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46330998-7983-5540-91B7-74CD5783F971}"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T5" i="1"/>
  <c r="BF6" i="1"/>
  <c r="BT6" i="1"/>
  <c r="BF7" i="1"/>
  <c r="BT7" i="1"/>
  <c r="BF8" i="1"/>
  <c r="BT8" i="1"/>
  <c r="BF9" i="1"/>
  <c r="BT9" i="1"/>
  <c r="BF10" i="1"/>
  <c r="BT10" i="1"/>
  <c r="BF11" i="1"/>
  <c r="BT11" i="1"/>
  <c r="BF12" i="1"/>
  <c r="BT12" i="1"/>
  <c r="BF13" i="1"/>
  <c r="BT13"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T107"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T121" i="1"/>
  <c r="BT122" i="1"/>
  <c r="BF123" i="1"/>
  <c r="BT123" i="1"/>
  <c r="BF124" i="1"/>
  <c r="BT124" i="1"/>
  <c r="BF125" i="1"/>
  <c r="BT125" i="1"/>
  <c r="BF126" i="1"/>
  <c r="BT126" i="1"/>
  <c r="BF127" i="1"/>
  <c r="BT127" i="1"/>
  <c r="BF128" i="1"/>
  <c r="BT128" i="1"/>
  <c r="BF129" i="1"/>
  <c r="BT129" i="1"/>
  <c r="BT130" i="1"/>
  <c r="BT131" i="1"/>
  <c r="BF132" i="1"/>
  <c r="BT132" i="1"/>
  <c r="BF133" i="1"/>
  <c r="BT133" i="1"/>
  <c r="BF134" i="1"/>
  <c r="BT134" i="1"/>
  <c r="BF135" i="1"/>
  <c r="BT135" i="1"/>
  <c r="BF136" i="1"/>
  <c r="BT136" i="1"/>
  <c r="BF137" i="1"/>
  <c r="BT137" i="1"/>
  <c r="BF138" i="1"/>
  <c r="BT138"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T179" i="1"/>
  <c r="BF180" i="1"/>
  <c r="BT180" i="1"/>
  <c r="BF181" i="1"/>
  <c r="BT181" i="1"/>
  <c r="BF182" i="1"/>
  <c r="BT182" i="1"/>
  <c r="BF183" i="1"/>
  <c r="BT183" i="1"/>
  <c r="BF184" i="1"/>
  <c r="BT184" i="1"/>
  <c r="BF185" i="1"/>
  <c r="BT185" i="1"/>
  <c r="BF186" i="1"/>
  <c r="BT186" i="1"/>
  <c r="BF187" i="1"/>
  <c r="BT187" i="1"/>
  <c r="BF188" i="1"/>
  <c r="BT188"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T244" i="1"/>
  <c r="BF245" i="1"/>
  <c r="BT245" i="1"/>
  <c r="BF246" i="1"/>
  <c r="BT246" i="1"/>
  <c r="BF247" i="1"/>
  <c r="BT247" i="1"/>
  <c r="BF248" i="1"/>
  <c r="BT248" i="1"/>
  <c r="BF249" i="1"/>
  <c r="BT249" i="1"/>
  <c r="BF250" i="1"/>
  <c r="BT250" i="1"/>
  <c r="BT251" i="1"/>
  <c r="BT252"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T326" i="1"/>
  <c r="BF327" i="1"/>
  <c r="BT327" i="1"/>
  <c r="BF328" i="1"/>
  <c r="BT328" i="1"/>
  <c r="BF329" i="1"/>
  <c r="BT329" i="1"/>
  <c r="BF330" i="1"/>
  <c r="BT330"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T432"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T465" i="1"/>
  <c r="BT466" i="1"/>
  <c r="BF467" i="1"/>
  <c r="BT467" i="1"/>
  <c r="BF468" i="1"/>
  <c r="BT468" i="1"/>
  <c r="BF469" i="1"/>
  <c r="BT469" i="1"/>
  <c r="BF470" i="1"/>
  <c r="BT470" i="1"/>
  <c r="BF471" i="1"/>
  <c r="BT471"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T520" i="1"/>
  <c r="BF521" i="1"/>
  <c r="BT521" i="1"/>
  <c r="BF522" i="1"/>
  <c r="BT522" i="1"/>
  <c r="BF523" i="1"/>
  <c r="BT523" i="1"/>
  <c r="BF524" i="1"/>
  <c r="BT524" i="1"/>
  <c r="BF525" i="1"/>
  <c r="BT525" i="1"/>
  <c r="BF526" i="1"/>
  <c r="BT526" i="1"/>
  <c r="BF527" i="1"/>
  <c r="BT527" i="1"/>
  <c r="BF528" i="1"/>
  <c r="BT528"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T616" i="1"/>
  <c r="BF617" i="1"/>
  <c r="BT617" i="1"/>
  <c r="BF618" i="1"/>
  <c r="BT618" i="1"/>
  <c r="BF619" i="1"/>
  <c r="BT619" i="1"/>
  <c r="BF620" i="1"/>
  <c r="BT620" i="1"/>
  <c r="BT621" i="1"/>
  <c r="BF622" i="1"/>
  <c r="BT622" i="1"/>
  <c r="BF623" i="1"/>
  <c r="BT623" i="1"/>
  <c r="BT624"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T742" i="1"/>
  <c r="BF743" i="1"/>
  <c r="BT743" i="1"/>
  <c r="BF744" i="1"/>
  <c r="BT744" i="1"/>
  <c r="BF745" i="1"/>
  <c r="BT745" i="1"/>
  <c r="BF746" i="1"/>
  <c r="BT746" i="1"/>
  <c r="BF747" i="1"/>
  <c r="BT747" i="1"/>
  <c r="BF748" i="1"/>
  <c r="BT748" i="1"/>
  <c r="BF749" i="1"/>
  <c r="BT749" i="1"/>
  <c r="BF750" i="1"/>
  <c r="BT750" i="1"/>
  <c r="BF751" i="1"/>
  <c r="BT751" i="1"/>
  <c r="BF752" i="1"/>
  <c r="BT752"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T802" i="1"/>
  <c r="BF803" i="1"/>
  <c r="BT803" i="1"/>
  <c r="BT804" i="1"/>
  <c r="BT805" i="1"/>
  <c r="BT806" i="1"/>
  <c r="BT807" i="1"/>
  <c r="BT808" i="1"/>
  <c r="BT809" i="1"/>
  <c r="BT810" i="1"/>
  <c r="BF811" i="1"/>
  <c r="BT811" i="1"/>
  <c r="BF812" i="1"/>
  <c r="BT812" i="1"/>
  <c r="BF813" i="1"/>
  <c r="BT813" i="1"/>
  <c r="BF814" i="1"/>
  <c r="BT814" i="1"/>
  <c r="BF815" i="1"/>
  <c r="BT815" i="1"/>
  <c r="BF816" i="1"/>
  <c r="BT816" i="1"/>
  <c r="BF817" i="1"/>
  <c r="BT817" i="1"/>
  <c r="BF818" i="1"/>
  <c r="BT818" i="1"/>
  <c r="BF819" i="1"/>
  <c r="BT819" i="1"/>
  <c r="BT820" i="1"/>
  <c r="BT821" i="1"/>
  <c r="BT822" i="1"/>
  <c r="BT823" i="1"/>
  <c r="BT824" i="1"/>
  <c r="BT825" i="1"/>
  <c r="BT826"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T843" i="1"/>
  <c r="BF844" i="1"/>
  <c r="BT844" i="1"/>
  <c r="BF845" i="1"/>
  <c r="BT845" i="1"/>
  <c r="BF846" i="1"/>
  <c r="BT846" i="1"/>
  <c r="BF847" i="1"/>
  <c r="BT847" i="1"/>
  <c r="BF848" i="1"/>
  <c r="BT848"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T925" i="1"/>
  <c r="BF926" i="1"/>
  <c r="BT926" i="1"/>
  <c r="BF927" i="1"/>
  <c r="BT927" i="1"/>
  <c r="BF928" i="1"/>
  <c r="BT928" i="1"/>
  <c r="BT929" i="1"/>
  <c r="BT930" i="1"/>
  <c r="BT931" i="1"/>
  <c r="BT932" i="1"/>
  <c r="BT933" i="1"/>
  <c r="BT934" i="1"/>
  <c r="BT935" i="1"/>
  <c r="BT936" i="1"/>
  <c r="BT937" i="1"/>
  <c r="BT938" i="1"/>
  <c r="BT939" i="1"/>
  <c r="BT940" i="1"/>
  <c r="BT941" i="1"/>
  <c r="BT942" i="1"/>
  <c r="BT943" i="1"/>
  <c r="BT944" i="1"/>
  <c r="BT945" i="1"/>
  <c r="BT946"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<sst xmlns="http://schemas.openxmlformats.org/spreadsheetml/2006/main" count="59571" uniqueCount="17673">
  <si>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</si>
  <si>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</si>
  <si>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</si>
  <si>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</si>
  <si>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</si>
  <si>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</si>
  <si>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</si>
  <si>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</si>
  <si>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</si>
  <si>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</si>
  <si>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</si>
  <si>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</si>
  <si>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</si>
  <si>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</si>
  <si>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</si>
  <si>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</si>
  <si>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</si>
  <si>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</si>
  <si>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</si>
  <si>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</si>
  <si>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</si>
  <si>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</si>
  <si>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</si>
  <si>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</si>
  <si>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</si>
  <si>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</si>
  <si>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</si>
  <si>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</si>
  <si>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</si>
  <si>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</si>
  <si>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</si>
  <si>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</si>
  <si>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</si>
  <si>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</si>
  <si>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</si>
  <si>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</si>
  <si>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</si>
  <si>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</si>
  <si>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</si>
  <si>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</si>
  <si>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</si>
  <si>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</si>
  <si>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</si>
  <si>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</si>
  <si>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</si>
  <si>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</si>
  <si>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</si>
  <si>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</si>
  <si>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</si>
  <si>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</si>
  <si>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</si>
  <si>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</si>
  <si>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</si>
  <si>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</si>
  <si>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</si>
  <si>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</si>
  <si>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</si>
  <si>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</si>
  <si>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</si>
  <si>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</si>
  <si>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</si>
  <si>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</si>
  <si>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</si>
  <si>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</si>
  <si>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</si>
  <si>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</si>
  <si>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</si>
  <si>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</si>
  <si>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</si>
  <si>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</si>
  <si>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</si>
  <si>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</si>
  <si>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</si>
  <si>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Wanless, RM; Cooper, J; Slabber, MJ; Ryan, PG</t>
  </si>
  <si>
    <t/>
  </si>
  <si>
    <t>Wanless, Ross M.; Cooper, John; Slabber, Martin J.; Ryan, Peter G.</t>
  </si>
  <si>
    <t>Risk assessment of birds foraging terrestrially at Marion and Gough Islands to primary and secondary poisoning by rodenticides</t>
  </si>
  <si>
    <t>WILDLIFE RESEARCH</t>
  </si>
  <si>
    <t>English</t>
  </si>
  <si>
    <t>Article</t>
  </si>
  <si>
    <t>LESSER SHEATHBILLS; BREEDING BIOLOGY; NEW-ZEALAND; ERADICATION; MICE; BEHAVIOR; MAMMALS; SIZE</t>
  </si>
  <si>
    <t>Context. Aerial application of poison bait pellets is an established and widely used method for removing invasive rodents and restoring insular ecological processes. However, the non-target effects of saturation poisoning require very careful consideration and precautionary risk-avoidance strategies. Aims. We assessed the risk of primary and secondary poisoning by rodenticides to terrestrially foraging lesser sheathbills (Chionis minor marionensis), Gough moorhens (Gallinula comeri) and Gough buntings (Rowettia goughensis) at Marion and Gough Islands. Methods. Birds taken into temporary captivity were offered non-toxic bait pellets dyed different colours and the carcasses of house mice (Mus musculus). In addition, dead mice were offered to these three species in the field, as well as to sub-Antarctic skuas (Catharacta antarctica) at both islands. Response to captivity was assessed by daily weighings. Key results. Individual birds either gained or lost mass overall during their 4-7 days in captivity. Whereas all captive birds pecked at the pellets, minimal amounts were consumed. However, Gough moorhens offered pellets in the field did consume them. Sheathbills (in captivity and in the field) and moorhens (in the field) consumed mouse carcasses, whereas buntings in captivity ate little from them. Sub-Antarctic skuas offered mouse carcasses in the field at both islands readily consumed them. At Gough Island some, but not all, skuas consumed bait in the field. Conclusions. Although the levels of assessed risk to primary and secondary poisoning differed among the three main species studied, it is recommended that populations for subsequent reintroduction be taken into temporary captivity before and during a poison-bait exercise as a precautionary measure. It is not deemed necessary to take sub-Antarctic skuas into captivity because they will be largely absent during a poisoning exercise in winter (the most likely period). Implications. Captive studies to assess susceptibility to primary and secondary poisoning are useful for determining positive risk; however, cage effects can cause false negatives by altering behaviours, and should be conducted with complimentary field trials. Where endemic species show any degree of risk (e. g. are vulnerable to the poison, regardless of how it might be ingested), precaution dictates that the risk be mitigated.</t>
  </si>
  <si>
    <t>[Cooper, John] Univ Cape Town, Dept Zool, Anim Demog Unit, ZA-7701 Rondebosch, South Africa; [Wanless, Ross M.; Ryan, Peter G.] Univ Cape Town, Percy FitzPatrick Inst, DST NRF Ctr Excellence, ZA-7701 Rondebosch, South Africa; [Wanless, Ross M.] BirdLife S Africa, Seabird Div, ZA-2125 Randburg, South Africa; [Cooper, John] Univ Stellenbosch, Dept Bot &amp; Zool, DST NRF Ctr Excellence Invas Biol, ZA-7602 Matieland, South Africa</t>
  </si>
  <si>
    <t>University of Cape Town; National Research Foundation - South Africa; University of Cape Town; National Research Foundation - South Africa; Stellenbosch University</t>
  </si>
  <si>
    <t>Cooper, J (corresponding author), Univ Cape Town, Dept Zool, Anim Demog Unit, ZA-7701 Rondebosch, South Africa.</t>
  </si>
  <si>
    <t>John.Cooper61@gmail.com</t>
  </si>
  <si>
    <t>Ryan, Peter/0000-0002-3356-2056</t>
  </si>
  <si>
    <t>United Kingdom Overseas Territories Environment Programme via the Tristan da Cunha Government on Gough Island; DEAT</t>
  </si>
  <si>
    <t>Logistical support was provided by the then South African Department of Environmental Affairs and Tourism (DEAT) through the South African National Antarctic Programme. We thank the United Kingdom Overseas Territories Environment Programme for financial support via the Tristan da Cunha Government on Gough Island and DEAT for financial support on Marion Island. We thank Animal Control Products for donating non-toxic bait. Research on Gough Island was conducted with the permission of the Administrator and Island Council of Tristan da Cunha and with the approval of the Tristan Biodiversity Advisory Group, and on Marion Island with the permission of the Prince Edward Islands Management Committee. Neither island's research-vetting system required a specific animal-ethics clearance procedure. Brian Bowie, Jonathan Kotze, Petrus Kritzinger, Henk Louw and Paul Visser are thanked for assistance and observations on Gough Island and Jen Lee for assistance on Marion Island. We thank Pete McClelland, Thierry Micol and Keith Springer for making unpublished information on eradication exercises available to us.</t>
  </si>
  <si>
    <t>CSIRO PUBLISHING</t>
  </si>
  <si>
    <t>CLAYTON</t>
  </si>
  <si>
    <t>UNIPARK, BLDG 1, LEVEL 1, 195 WELLINGTON RD, LOCKED BAG 10, CLAYTON, VIC 3168, AUSTRALIA</t>
  </si>
  <si>
    <t>1035-3712</t>
  </si>
  <si>
    <t>1448-5494</t>
  </si>
  <si>
    <t>WILDLIFE RES</t>
  </si>
  <si>
    <t>Wildl. Res.</t>
  </si>
  <si>
    <t>10.1071/WR10005</t>
  </si>
  <si>
    <t>Ecology; Zoology</t>
  </si>
  <si>
    <t>Science Citation Index Expanded (SCI-EXPANDED)</t>
  </si>
  <si>
    <t>Environmental Sciences &amp; Ecology; Zoology</t>
  </si>
  <si>
    <t>667GQ</t>
  </si>
  <si>
    <t>2024-04-21</t>
  </si>
  <si>
    <t>WOS:000283181400010</t>
  </si>
  <si>
    <t>C</t>
  </si>
  <si>
    <t>Hampai, D; Dabagov, SB; Cappuccio, G; Cibin, G; Longoni, A; Frizzi, T; Marcelli, A; Maggi, V</t>
  </si>
  <si>
    <t>Denecke, MA; Walker, CT</t>
  </si>
  <si>
    <t>Hampai, D.; Dabagov, S. B.; Cappuccio, G.; Cibin, G.; Longoni, A.; Frizzi, T.; Marcelli, A.; Maggi, V.</t>
  </si>
  <si>
    <t>Research and Development of X-Ray Spectroscopy Based on Polycapillary Optics at Laboratori Nazionali di Frascati</t>
  </si>
  <si>
    <t>X-RAY OPTICS AND MICROANALYSIS, PROCEEDINGS</t>
  </si>
  <si>
    <t>AIP Conference Proceedings</t>
  </si>
  <si>
    <t>Proceedings Paper</t>
  </si>
  <si>
    <t>20th International Congress on X-Ray Optics and Microanalysis</t>
  </si>
  <si>
    <t>SEP 15-18, 2009</t>
  </si>
  <si>
    <t>Karlsruhe, GERMANY</t>
  </si>
  <si>
    <t>TXRF; X-ray imaging; microXRF; polycapillary optics; low concentration</t>
  </si>
  <si>
    <t>ICE CORE; FLUORESCENCE; SPECTROMETER; PROPAGATION; VARIABILITY; ANTARCTICA; CLIMATE</t>
  </si>
  <si>
    <t>In the last years, at the Laboratori Nazionali di Frascati the X-ray optics group has developed a series of prototypes based on polycapillary optics that allow to perform a full X spectroscopy analysis. This paper presents preliminary results for three different prototypes: the first allows transmission X-imaging with a resolution less than 6 pm; the second one allows 2D elemental mapping with a resolution less than 100x100 The identification of ice core insoluble mineral aerosol source areas is an important tool for the understanding of present day and past pathways of atmospheric transport toward the poles and the paleoclimatic information. To achieve this result it is very helpful to determine the geochemical composition of atmospheric dust particles deposited over the ice sheets and archived in ice core samples and to compare it with the composition of potential source areas sediments. The main experimental challenge is the very low concentration of mineral materials trapped in the snow, especially for Antarctic firn and ice samples, typically around 10-20 ppb ( 5000 particles / cm3). A complete studies of elemental concentrations in the ppb range (such as insoluble dust in deep ice core) require ultimate cleaning procedures to collect, prepare and perform nondestructive experiments, that require a very bright X-ray sources, such as synchrotron radiation, combined with a total external reflection regime. Based on a polycapillary semi-lens, here is reported preliminary results of a complete portable prototype that allows to obtain elemental measurements in total external reflection regime. At Laboratori Nazionali di Frascati is currently under development and design of a single prototype that allows users to make all the techniques of fluorescence spectroscopy and X-imaging.</t>
  </si>
  <si>
    <t>[Hampai, D.; Dabagov, S. B.; Cappuccio, G.; Marcelli, A.] INFN LNF, Via E Fermi 40, I-00044 Frascati, RM, Italy; [Hampai, D.] RAS PN Lebedev Phys Inst, Moscow 119991, Russia; [Cibin, G.] Diamond Light Source Ltd, Chilton OX11 ODE, England; [Frizzi, T.] Politecn Milan, Dipartimento Elettronica Informazione, I-20133 Milan, Italy; [Maggi, V.] Univ Milan, Earth Sci Dept, I-20126 Milan, Italy; [Maggi, V.] Univ Milan, DISAT, I-20126 Milan, Italy</t>
  </si>
  <si>
    <t>Istituto Nazionale di Fisica Nucleare (INFN); Russian Academy of Sciences; Russian Academy of Science Lebedev Physical Institute; Diamond Light Source; Polytechnic University of Milan; University of Milan; University of Milan</t>
  </si>
  <si>
    <t>Hampai, D (corresponding author), INFN LNF, Via E Fermi 40, I-00044 Frascati, RM, Italy.</t>
  </si>
  <si>
    <t>Marcelli, Augusto/B-1456-2010; Dabagov, Sultan/GWV-1867-2022; Maggi, Valter/AAX-5728-2020; Hampai, Dariush/AAW-2056-2021; Dabagov/L-4204-2019; Maggi, Valter/E-1878-2014; Marcelli, Augusto/H-3868-2019; Cibin, Giannantonio/G-2809-2015</t>
  </si>
  <si>
    <t>Marcelli, Augusto/0000-0002-8138-7547; Dabagov, Sultan/0000-0003-3087-1205; Maggi, Valter/0000-0001-6287-1213; Hampai, Dariush/0000-0002-8881-0520; Dabagov/0000-0003-3087-1205; Marcelli, Augusto/0000-0002-8138-7547; Cibin, Giannantonio/0000-0001-5761-6760</t>
  </si>
  <si>
    <t>AMER INST PHYSICS</t>
  </si>
  <si>
    <t>MELVILLE</t>
  </si>
  <si>
    <t>2 HUNTINGTON QUADRANGLE, STE 1NO1, MELVILLE, NY 11747-4501 USA</t>
  </si>
  <si>
    <t>0094-243X</t>
  </si>
  <si>
    <t>978-0-7354-0764-0</t>
  </si>
  <si>
    <t>AIP CONF PROC</t>
  </si>
  <si>
    <t>+</t>
  </si>
  <si>
    <t>10.1063/1.3399249</t>
  </si>
  <si>
    <t>Nanoscience &amp; Nanotechnology; Optics; Physics, Applied</t>
  </si>
  <si>
    <t>Conference Proceedings Citation Index - Science (CPCI-S)</t>
  </si>
  <si>
    <t>Science &amp; Technology - Other Topics; Optics; Physics</t>
  </si>
  <si>
    <t>BPC75</t>
  </si>
  <si>
    <t>WOS:000278534600033</t>
  </si>
  <si>
    <t>Howes, BD; Giordano, D; Boechi, L; Mucciacciaro, S; Fittipaldi, M; Estrin, DA; Coletta, M; Verde, C; Smulevich, G</t>
  </si>
  <si>
    <t>Champion, PM; Ziegler, LD</t>
  </si>
  <si>
    <t>Howes, Barry D.; Giordano, Daniela; Boechi, Leonardo; Mucciacciaro, Simona; Fittipaldi, Maria; Estrin, Dario A.; Coletta, Massimo; Verde, Cinzia; Smulevich, Giulietta</t>
  </si>
  <si>
    <t>High Protein Structural Flexibility Of A Truncated Hemoglobin From An Antarctic Cold-Adapted Bacterium.</t>
  </si>
  <si>
    <t>XXII INTERNATIONAL CONFERENCE ON RAMAN SPECTROSCOPY</t>
  </si>
  <si>
    <t>22nd International Conference on Raman Spectroscopy</t>
  </si>
  <si>
    <t>AUG 08-13, 2010</t>
  </si>
  <si>
    <t>Boston, MA</t>
  </si>
  <si>
    <t>[Howes, Barry D.; Mucciacciaro, Simona; Fittipaldi, Maria; Smulevich, Giulietta] Univ Florence, Dipartimento Chim, Via Lastruccia 3, I-50019 Sesto Fiorentino, Fi, Italy; [Giordano, Daniela; Verde, Cinzia] Inst Protein Biochem, CNR, I-80131 Naples, Italy; [Boechi, Leonardo; Estrin, Dario A.; Smulevich, Giulietta] Univ Buenos Aires, Ciudad Univ, Dept Quim Inorgan, Analit Quim Fis, RA-C1428EHA Buenos Aires, DF, Argentina; [Coletta, Massimo] Univ Roma Tor Vergata, Dept Medicina Sperimentale Sci Biochimiche, I-00133 Rome, Italy</t>
  </si>
  <si>
    <t>University of Florence; Consiglio Nazionale delle Ricerche (CNR); Istituto di Biochimica delle Proteine (IBP-CNR); University of Buenos Aires; University of Rome Tor Vergata</t>
  </si>
  <si>
    <t>Howes, BD (corresponding author), Univ Florence, Dipartimento Chim, Via Lastruccia 3, I-50019 Sesto Fiorentino, Fi, Italy.</t>
  </si>
  <si>
    <t>Estrin, Dario/AAY-7549-2020; Coletta, Massimiliano/GSN-5927-2022; Giordano, Daniela/AFK-7772-2022; smulevich, giulietta/A-6510-2008; Fittipaldi, Maria/H-2509-2017; Coletta, Massimo/N-9049-2015</t>
  </si>
  <si>
    <t>Giordano, Daniela/0000-0002-8891-6245; Fittipaldi, Maria/0000-0002-6254-2003; COLETTA, Massimiliano/0000-0002-5489-9467; Estrin, Dario/0000-0002-5006-7225; VERDE, Cinzia/0000-0001-6185-282X; Smulevich, Giulietta/0000-0003-3021-8919</t>
  </si>
  <si>
    <t>Italian Ministero dell' Istruzione; dell'Universita e della Ricerca (MIUR)</t>
  </si>
  <si>
    <t>Italian Ministero dell' Istruzione(Ministry of Education, Universities and Research (MIUR)); dell'Universita e della Ricerca (MIUR)(Ministry of Education, Universities and Research (MIUR))</t>
  </si>
  <si>
    <t>This work is financially supported by grants from the Italian Ministero dell' Istruzione, dell'Universita e della Ricerca (MIUR) (PRIN 2007SFZXZ7, Structure, function and evolution of heme proteins from Arctic and Antarctic marine organisms: cold adaptation mechanisms and acquisition of new functions).</t>
  </si>
  <si>
    <t>978-0-7354-0818-0</t>
  </si>
  <si>
    <t>10.1063/1.3482523</t>
  </si>
  <si>
    <t>Physics, Applied</t>
  </si>
  <si>
    <t>Physics</t>
  </si>
  <si>
    <t>BQK65</t>
  </si>
  <si>
    <t>Green Published, Bronze, Green Submitted</t>
  </si>
  <si>
    <t>WOS:000281210900014</t>
  </si>
  <si>
    <t>Paudel, B; Bhattarai, HD; Lee, HK; Oh, H; Shin, HW; Yim, JH</t>
  </si>
  <si>
    <t>Paudel, Babita; Bhattarai, Hari Datta; Lee, Hong Kum; Oh, Hyuncheol; Shin, Hyun Woung; Yim, Joung Han</t>
  </si>
  <si>
    <t>Antibacterial Activities of Ramalin, Usnic Acid and its Three Derivatives Isolated from the Antarctic Lichen Ramalina terebrata</t>
  </si>
  <si>
    <t>ZEITSCHRIFT FUR NATURFORSCHUNG SECTION C-A JOURNAL OF BIOSCIENCES</t>
  </si>
  <si>
    <t>Antimicrobial; Antarctic Lichen; Rumalina terebrata; Usnic Acid</t>
  </si>
  <si>
    <t>ANTIMICROBIAL ACTIVITY; (-)-USNIC ACID; IN-VITRO; METABOLITES; CONSTITUENTS; BACTERIA</t>
  </si>
  <si>
    <t>The development of new antibacterial compounds is an urgent issue to meet the evolution of resistivity of pathogenic bacteria against the available drugs. The objective of this study was to investigate the antibacterial compounds from the Antarctic lichen species Ramalina terebrata. A total of five compounds, usnic acid, usimine A, usimine B, usimine C. and ramalin, were isolated by bioactivity guided-fractionation of the methanol extract of R. terebrata after several chromatographic procedures. The qualitative antibacterial activities of the crude extract and isolated compounds were determined by the disk diffusion method While the minimum inhibitory concentration (MIC) determination assay gave the quantitative strength of the test samples. All the test samples showed antibacterial activity against Bacillus subtilis. The crude extract and usnic acid showed antibacterial activity against Staphylococcus aureus. The MIC values of the isolated compounds against B. subtilis were in the range of 1 to 26 mu g/mL. These observed experimental data showed the strong antibacterial potential of these compounds against B. subtilis,</t>
  </si>
  <si>
    <t>[Paudel, Babita; Bhattarai, Hari Datta; Lee, Hong Kum; Yim, Joung Han] KOPRI, Korea Polar Res Inst, Polar BioCtr, Inchon 406840, South Korea; [Oh, Hyuncheol] Silla Univ, Coll Med &amp; Life Sci, Pusan 617736, South Korea; [Paudel, Babita; Shin, Hyun Woung] Soonchunhyang Univ, Dept Marine Biotechnol, Asan 336745, South Korea</t>
  </si>
  <si>
    <t>Korea Polar Research Institute (KOPRI); Korea Institute of Ocean Science &amp; Technology (KIOST); Silla University; Soonchunhyang University</t>
  </si>
  <si>
    <t>Yim, JH (corresponding author), KOPRI, Korea Polar Res Inst, Polar BioCtr, Songdo Technopk,Songdo Dong 7-50, Inchon 406840, South Korea.</t>
  </si>
  <si>
    <t>jhyim@kopri.re.kr</t>
  </si>
  <si>
    <t>Korea Polar Research Institute (KOPRI) [PE09050]</t>
  </si>
  <si>
    <t>Korea Polar Research Institute (KOPRI)</t>
  </si>
  <si>
    <t>This work was supported by a grant to the Korea Polar Research Institute (KOPRI) under the project PE09050.</t>
  </si>
  <si>
    <t>WALTER DE GRUYTER GMBH</t>
  </si>
  <si>
    <t>BERLIN</t>
  </si>
  <si>
    <t>GENTHINER STRASSE 13, D-10785 BERLIN, GERMANY</t>
  </si>
  <si>
    <t>0939-5075</t>
  </si>
  <si>
    <t>1865-7125</t>
  </si>
  <si>
    <t>Z NATURFORSCH C</t>
  </si>
  <si>
    <t>Z.Naturforsch.(C)</t>
  </si>
  <si>
    <t>JAN-FEB</t>
  </si>
  <si>
    <t>1-2</t>
  </si>
  <si>
    <t>Biochemistry &amp; Molecular Biology; Pharmacology &amp; Pharmacy</t>
  </si>
  <si>
    <t>563BI</t>
  </si>
  <si>
    <t>WOS:000275100000006</t>
  </si>
  <si>
    <t>Riehl, T; Brandt, A</t>
  </si>
  <si>
    <t>Riehl, Torben; Brandt, Angelika</t>
  </si>
  <si>
    <t>Descriptions of two new species in the genus Macrostylis Sars, 1864 (Isopoda, Asellota, Macrostylidae) from the Weddell Sea (Southern Ocean), with a synonymisation of the genus Desmostylis Brandt, 1992 with Macrostylis</t>
  </si>
  <si>
    <t>ZOOKEYS</t>
  </si>
  <si>
    <t>Antarctic; deep sea; Macrostylis uniformis sp n.; Macrostylis antennamagna sp n.; ANDEEP; Janiroidea; taxonomy; macrobenthos</t>
  </si>
  <si>
    <t>DEEP-SEA; ATLANTIC SECTOR; INDIAN-OCEAN; CRUSTACEA; BIODIVERSITY; MALACOSTRACA; DIVERSITY; MORPHOLOGY; GENERA; SETAE</t>
  </si>
  <si>
    <t>Descriptions of Macrostylis antennamagna sp. n. and M. uniformis sp. n. are presented with notes on intraspecific variability and sexual dimorphism. M. uniformis sp. n. showes differences to M. antennamagna sp. n. in the length of the antenna 2, the shape of the pleotelson and length of uropods. The genus Desmostylis Brandt, 1992 (formerly including the two species D. obscurus Brandt, 1992 and D. gerdesi Brandt, 2002) is synonymised with the genus Macrostylis. Based on type material additional remarks and additions to the original descriptions are provided for both species. Results lead to following nomenclatorial changes: M. obscurus (Brandt, 1992), comb. n. and M. gerdesi (Brandt, 2002), comb. n. A setal nomenclature is proposed and the diagnosis for the family is revised.</t>
  </si>
  <si>
    <t>[Riehl, Torben] Biozentrum Grindel, D-20146 Hamburg, Germany; Zool Museum, D-20146 Hamburg, Germany</t>
  </si>
  <si>
    <t>University of Hamburg</t>
  </si>
  <si>
    <t>Riehl, T (corresponding author), Biozentrum Grindel, Martin Luther King Pl 3, D-20146 Hamburg, Germany.</t>
  </si>
  <si>
    <t>t.riehl@gmx.de</t>
  </si>
  <si>
    <t>Riehl, Torben/C-3711-2013; Brandt, Angelika/C-1630-2018</t>
  </si>
  <si>
    <t>Riehl, Torben/0000-0002-7363-4421</t>
  </si>
  <si>
    <t>German Science Foundation [DFG Br 1121/26]; CeDAMar (Census of the Diversity of Abyssal Marine life)</t>
  </si>
  <si>
    <t>German Science Foundation(German Research Foundation (DFG)); CeDAMar (Census of the Diversity of Abyssal Marine life)</t>
  </si>
  <si>
    <t>We are very grateful to the German Science Foundation for financial support (DFG Br 1121/26) and to Marina Malyutina and an anonymous reviewer for their corrections and comments leading to an improved manuscript. This is ANDEEP publication # 137. ANDEEP was financially also supported by CeDAMar (Census of the Diversity of Abyssal Marine life). For helpful comments on the manuscript we would like to thank Dr. Stefanie Kaiser. Chester J. Sands kindly corrected the English. Helpful discussions with Drs Saskia Brix, Marina Malyutina, Karin Meissner, Ralph Peters and George D.F. Wilson are appreciated. We also appreciate the help of Marylin Schotte, T. Chad Walter and the IZ staff at NMNH and of Christine LeBeau at AMNH.</t>
  </si>
  <si>
    <t>PENSOFT PUBL</t>
  </si>
  <si>
    <t>SOFIA</t>
  </si>
  <si>
    <t>12 PROF GEORGI ZLATARSKI ST, SOFIA, 1700, BULGARIA</t>
  </si>
  <si>
    <t>1313-2989</t>
  </si>
  <si>
    <t>1313-2970</t>
  </si>
  <si>
    <t>ZooKeys</t>
  </si>
  <si>
    <t>10.3897/zookeys.57.310</t>
  </si>
  <si>
    <t>Zoology</t>
  </si>
  <si>
    <t>683SG</t>
  </si>
  <si>
    <t>Green Published, Green Submitted, gold</t>
  </si>
  <si>
    <t>WOS:000284494900002</t>
  </si>
  <si>
    <t>Bowie, AR; Lannuzel, D; Remenyi, TA; Wagener, T; Lam, PJ; Boyd, PW; Guieu, C; Townsend, AT; Trull, TW</t>
  </si>
  <si>
    <t>Bowie, Andrew R.; Lannuzel, Delphine; Remenyi, Tomas A.; Wagener, Thibaut; Lam, Phoebe J.; Boyd, Philip W.; Guieu, Cecile; Townsend, Ashley T.; Trull, Thomas W.</t>
  </si>
  <si>
    <t>Biogeochemical iron budgets of the Southern Ocean south of Australia: Decoupling of iron and nutrient cycles in the subantarctic zone by the summertime supply</t>
  </si>
  <si>
    <t>GLOBAL BIOGEOCHEMICAL CYCLES</t>
  </si>
  <si>
    <t>DISSOLVED IRON; BIOLOGICAL RESPONSE; PHYTOPLANKTON BLOOM; SEASONAL EVOLUTION; TRACE-ELEMENTS; DUST SOURCES; ROSS SEA; FERTILIZATION; SECTOR; LIMITATION</t>
  </si>
  <si>
    <t>Climate change is projected to significantly alter the delivery (stratification, boundary currents, aridification of landmasses, glacial melt) of iron to the Southern Ocean. We report the most comprehensive suite of biogeochemical iron budgets to date for three contrasting sites in subantarctic and polar frontal waters south of Australia. Distinct regional environments were responsible for differences in the mode and strength of iron supply mechanisms, with higher iron stocks and fluxes observed in surface northern subantarctic waters, where atmospheric iron fluxes were greater. Subsurface waters southeast of Tasmania were also enriched with particulate iron, manganese and aluminum, indicative of a strong advective source from shelf sediments. Subantarctic phytoplankton blooms are thus driven by both seasonal iron supply from southward advection of subtropical waters and by wind-blown dust deposition, resulting in a strong decoupling of iron and nutrient cycles. We discuss the broader global significance our iron budgets for other ocean regions sensitive to climate-driven changes in iron supply.</t>
  </si>
  <si>
    <t>[Bowie, Andrew R.; Lannuzel, Delphine; Remenyi, Tomas A.; Trull, Thomas W.] Univ Tasmania, Antarctic Climate &amp; Ecosyst CRC, Hobart, Tas 7001, Australia; [Wagener, Thibaut; Guieu, Cecile] Univ Paris 06, Lab Oceanog Villefranche Mer, CNRS, UMR 7093, F-06238 Villefranche Sur Mer, France; [Lam, Phoebe J.] Woods Hole Oceanog Inst, Dept Marine Chem &amp; Geochem, Woods Hole, MA 02543 USA; [Boyd, Philip W.] Univ Otago, Dept Chem, NIWA Ctr Chem &amp; Phys Oceanog, Dunedin 9014, New Zealand; [Townsend, Ashley T.] Univ Tasmania, Cent Sci Lab, Hobart, Tas 7001, Australia; [Trull, Thomas W.] CSIRO Marine &amp; Atmospher Res, Hobart, Tas, Australia; [Trull, Thomas W.] Univ Tasmania, Inst Antarctic &amp; So Ocean Studies, Hobart, Tas 7001, Australia</t>
  </si>
  <si>
    <t>University of Tasmania; Centre National de la Recherche Scientifique (CNRS); CNRS - National Institute for Earth Sciences &amp; Astronomy (INSU); Sorbonne Universite; Woods Hole Oceanographic Institution; University of Otago; University of Tasmania; Commonwealth Scientific &amp; Industrial Research Organisation (CSIRO); University of Tasmania</t>
  </si>
  <si>
    <t>Bowie, AR (corresponding author), Univ Tasmania, Antarctic Climate &amp; Ecosyst CRC, Private Bag 80, Hobart, Tas 7001, Australia.</t>
  </si>
  <si>
    <t>andrew.bowie@utas.edu.au</t>
  </si>
  <si>
    <t>Lam, Phoebe/GQQ-7325-2022; Guieu, Cecile/AAU-6883-2021; Townsend, Ashley/J-7445-2014; Trull, Tom W/B-7028-2014; lannuzel, delphine/J-7937-2014; Boyd, Philip/J-7624-2014; Bowie, Andrew/C-8677-2013</t>
  </si>
  <si>
    <t>Guieu, Cecile/0000-0001-6373-8326; Townsend, Ashley/0000-0002-2972-2678; lannuzel, delphine/0000-0001-6154-1837; Boyd, Philip/0000-0001-7850-1911; Bowie, Andrew/0000-0002-5144-7799; wagener, thibaut/0000-0002-3968-0678; Lam, Phoebe J./0000-0001-6609-698X; Remenyi, Tomas/0000-0002-4145-9323</t>
  </si>
  <si>
    <t>Belgian Belcanto; International Polar Foundation; CNRS; Region PACA; New Zealand FRST Coasts and Oceans OBI; Australian Government; Australian Antarctic Science project 2720</t>
  </si>
  <si>
    <t>Belgian Belcanto; International Polar Foundation; CNRS(Centre National de la Recherche Scientifique (CNRS)); Region PACA(Region Provence-Alpes-Cote d'Azur); New Zealand FRST Coasts and Oceans OBI; Australian Government(Australian Government); Australian Antarctic Science project 2720</t>
  </si>
  <si>
    <t>We would like to thank the captain, officers, and crew of the RSV Aurora Australis for all their support during SAZ-Sense. We are grateful to Mark Rosenberg and the hydrography team for provision of CTD data, Neil Johnson and Alicia Navidad for nutrients analysis, Alan Poole and Aaron Spurr for technical support, Remi Losno for assistance in aerosol analysis, Mathieu Mongin for tracer release model simulations, and Karen Westwood for gross primary productivity data. Thanks to Brian Griffiths, Doug Mackie, Richard Matear, Klaus Meiners, and Alessandro Tagliabue for providing useful comments on the manuscript. The NERC Earth Observation Data Acquisition and Analysis Service (NEODAAS) provided the remote sensing data in Figure 1, the NASA-Goddard Space Flight Centre-Ozone Processing Team provided daily data of OMI Aerosol Index, and the NOAA Air Resource Laboratory (ARL) provided the HYSPLIT model. D. L. was supported by a travel grant from the Belgian Belcanto (Belgian research on Carbon uptake in the Antarctic Ocean) project and a BePoles fellowship from the International Polar Foundation. T. W. was supported by a BDI grant from CNRS and Region PACA, by CNRS PICS project 3604, and by the Soutien a la mer'' CSOA CNRS-INSU. P. W. B. was supported by the New Zealand FRST Coasts and Oceans OBI. This research was supported by the Australian Government Cooperative Research Centres Programme through the Antarctic Climate and Ecosystems CRC (ACE CRC) and Australian Antarctic Science project 2720.</t>
  </si>
  <si>
    <t>AMER GEOPHYSICAL UNION</t>
  </si>
  <si>
    <t>WASHINGTON</t>
  </si>
  <si>
    <t>2000 FLORIDA AVE NW, WASHINGTON, DC 20009 USA</t>
  </si>
  <si>
    <t>0886-6236</t>
  </si>
  <si>
    <t>1944-9224</t>
  </si>
  <si>
    <t>GLOBAL BIOGEOCHEM CY</t>
  </si>
  <si>
    <t>Glob. Biogeochem. Cycle</t>
  </si>
  <si>
    <t>DEC 31</t>
  </si>
  <si>
    <t>GB4034</t>
  </si>
  <si>
    <t>10.1029/2009GB003500</t>
  </si>
  <si>
    <t>Environmental Sciences; Geosciences, Multidisciplinary; Meteorology &amp; Atmospheric Sciences</t>
  </si>
  <si>
    <t>Environmental Sciences &amp; Ecology; Geology; Meteorology &amp; Atmospheric Sciences</t>
  </si>
  <si>
    <t>539LI</t>
  </si>
  <si>
    <t>Green Published</t>
  </si>
  <si>
    <t>WOS:000273255500003</t>
  </si>
  <si>
    <t>Rilling, S; Mukasa, S; Wilson, T; Lawver, L; Hall, C</t>
  </si>
  <si>
    <t>Rilling, S.; Mukasa, S.; Wilson, T.; Lawver, L.; Hall, C.</t>
  </si>
  <si>
    <t>New determinations of 40Ar/39Ar isotopic ages and flow volumes for Cenozoic volcanism in the Terror Rift, Ross Sea, Antarctica</t>
  </si>
  <si>
    <t>JOURNAL OF GEOPHYSICAL RESEARCH-SOLID EARTH</t>
  </si>
  <si>
    <t>MOUNT EREBUS; ERUPTIVE HISTORY; VICTORIA-LAND; 3 GPA; SYSTEM; EVOLUTION; MANTLE; ISLAND; EAST; GEOCHRONOLOGY</t>
  </si>
  <si>
    <t>This study provides new determinations of 40Ar/39Ar isotopic ages and flow volumes for submarine and subaerial Neogene volcanism developed within the Terror Rift, Ross Sea, Antarctica, the youngest segment of the West Antarctic Rift System. The study is based on the first dredged samples from seven seamounts north of Ross Island, as well as new data from Franklin and Beaufort Islands. The sampled foidite and basanitic lavas range in age from Quaternary (90 +/- 66 ka) on a small seamount similar to 10 km north of Franklin Island to 6.80 +/- 0.05 Ma on Beaufort Island. These ages are consistent with ages of volcanism in both the Melbourne and Erebus Volcanic Provinces and significantly expand the documented area of Neogene magmatism in Victoria Land. There is no geographic progression of volcanism through time, but volcanism was voluminous in the Pliocene and particularly widespread during the Pleistocene. Two of the dredges sampled edifices comprised of less than 0.2 km(3) of volcanic materials. The largest seamount in the study area has 58.8 km(3) of volcanic material and represents growth over a period of several thousand years. Estimated minimum eruption rates range from 2 x 10(-4) km(3) y(-1) to 2 x 10(-3) km(3) y(-1), consistent with rates proposed for other rift systems and nearby Mt. Erebus. Recent estimates of extension magnitude for the Terror Rift correspond to minimal decompression of only 0.10 to 0.22 GPa and therefore limited melt output of a typical peridotite source.</t>
  </si>
  <si>
    <t>[Rilling, S.; Mukasa, S.; Hall, C.] Univ Michigan, Dept Geol Sci, Ann Arbor, MI 48109 USA; [Wilson, T.] Sch Earth Sci, Mendenhall Lab 275, Columbus, OH 43210 USA; [Lawver, L.] Inst Geophys, Austin, TX 78758 USA</t>
  </si>
  <si>
    <t>University of Michigan System; University of Michigan</t>
  </si>
  <si>
    <t>Rilling, S (corresponding author), Univ Michigan, Dept Geol Sci, 2534 CC Little Bldg,1100 N Univ Ave, Ann Arbor, MI 48109 USA.</t>
  </si>
  <si>
    <t>srilling.geology@gmail.com</t>
  </si>
  <si>
    <t>Lawver, Lawrence/A-1630-2009</t>
  </si>
  <si>
    <t>NSF [ANT-0125624, ANT-0739617]; Directorate For Geosciences [0739617] Funding Source: National Science Foundation; Directorate For Geosciences; Office of Polar Programs (OPP) [1321588] Funding Source: National Science Foundation; Office of Polar Programs (OPP) [0739617]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</si>
  <si>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</si>
  <si>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We greatly appreciate the support of Captain Mike Watson, the RPSC technical staff, and the crew of the RVIB Nathanial B. Palmer in acquiring data during NBP04-01. The USGS-406 seismic line was provided by the Antarctic Seismic Data Library System. We would like to thank Sergio Rocchi and Gianfranco Di Vincenzo for their thoughtful reviews and suggestions and Editor Patrick Taylor for his helpful comments and assistance. Participation of TJW in the NBP0401 cruise and data analysis, and funding for the isotopic ages, was provided by NSF award ANT-0125624. SER's work was funded by NSF award ANT-0739617 to SBM.</t>
  </si>
  <si>
    <t>2169-9313</t>
  </si>
  <si>
    <t>2169-9356</t>
  </si>
  <si>
    <t>J GEOPHYS RES-SOL EA</t>
  </si>
  <si>
    <t>J. Geophys. Res.-Solid Earth</t>
  </si>
  <si>
    <t>B12207</t>
  </si>
  <si>
    <t>10.1029/2009JB006303</t>
  </si>
  <si>
    <t>Geochemistry &amp; Geophysics</t>
  </si>
  <si>
    <t>539MI</t>
  </si>
  <si>
    <t>Bronze</t>
  </si>
  <si>
    <t>WOS:000273258300001</t>
  </si>
  <si>
    <t>Hassold, NJC; Rea, DK; van der Pluijm, BA; Parés, JM</t>
  </si>
  <si>
    <t>Hassold, N. J. C.; Rea, D. K.; van der Pluijm, B. A.; Pares, J. M.</t>
  </si>
  <si>
    <t>Mid-Pliocene to Recent abyssal current flow along the Antarctic Peninsula: Results from ODP Leg 178, Site 1101</t>
  </si>
  <si>
    <t>PALAEOGEOGRAPHY PALAEOCLIMATOLOGY PALAEOECOLOGY</t>
  </si>
  <si>
    <t>Antarctic Peninsula; Ocean current; Anisotropy of magnetic susceptibility; ODP Leg 178; Paleoclimatology</t>
  </si>
  <si>
    <t>NORTHERN-HEMISPHERE GLACIATION; BOTTOM-WATER VELOCITY; DEEP-SEA SEDIMENT; CIRCUMPOLAR CURRENT; ICE-SHEET; VEMA CHANNEL; GRAIN-SIZE; PROGRESSIVE INTENSIFICATION; PACIFIC MARGIN; PARTICLE-SIZE</t>
  </si>
  <si>
    <t>Sediments recovered from a drift deposit located on the Pacific side of the Antarctic Peninsula (ODP Leg 178, Site 1101) give a physical record of a bottom current, sourced from the Weddell Sea Deep Water. for the past 3 Ma. Sediment grain size and magnetic fabric analyses indicate a contourite depositional environment and little change in the average intensity of this current. Terrigenous fluxes decreased around the time of the onset of Northern Hemisphere Glaciation, which we interpret as a freezing of the base of the Antarctic Peninsula Ice Cap. Terrigenous fluxes have increased since 1.7 Ma implying a possible return of the Antarctic Peninsula Ice Cap to a more wet-based ice sheet. (C) 2009 Elsevier B.V. All rights reserved.</t>
  </si>
  <si>
    <t>[Hassold, N. J. C.; Rea, D. K.; van der Pluijm, B. A.; Pares, J. M.] Univ Michigan, Dept Geol Sci, Ann Arbor, MI 48109 USA</t>
  </si>
  <si>
    <t>Hassold, NJC (corresponding author), Univ Michigan, Earth &amp; Resource Sci Dept, 303 E Kearsley St, Flint, MI USA.</t>
  </si>
  <si>
    <t>nhassold@umflint.edu</t>
  </si>
  <si>
    <t>van der Pluijm, Ben/M-3155-2019; Pares, Josep M./K-9299-2014</t>
  </si>
  <si>
    <t>van der Pluijm, Ben/0000-0001-7737-2791;</t>
  </si>
  <si>
    <t>NSF [OPP-0337091]</t>
  </si>
  <si>
    <t>NSF(National Science Foundation (NSF))</t>
  </si>
  <si>
    <t>We would like to thank Walter Hale and the staff of the IODP Bremen Core Repository for assisting us in acquiring samples from ODP Site 1101. Marlon jean assisted in the chemical isolation of the terrigenous fraction. This work was funded by the NSF Grant OPP-0337091. We thank two anonymous reviewers for their helpful comments.</t>
  </si>
  <si>
    <t>ELSEVIER SCIENCE BV</t>
  </si>
  <si>
    <t>AMSTERDAM</t>
  </si>
  <si>
    <t>PO BOX 211, 1000 AE AMSTERDAM, NETHERLANDS</t>
  </si>
  <si>
    <t>0031-0182</t>
  </si>
  <si>
    <t>1872-616X</t>
  </si>
  <si>
    <t>PALAEOGEOGR PALAEOCL</t>
  </si>
  <si>
    <t>Paleogeogr. Paleoclimatol. Paleoecol.</t>
  </si>
  <si>
    <t>DEC 30</t>
  </si>
  <si>
    <t>3-4</t>
  </si>
  <si>
    <t>10.1016/j.palaeo.2009.09.011</t>
  </si>
  <si>
    <t>Geography, Physical; Geosciences, Multidisciplinary; Paleontology</t>
  </si>
  <si>
    <t>Physical Geography; Geology; Paleontology</t>
  </si>
  <si>
    <t>535IJ</t>
  </si>
  <si>
    <t>WOS:000272960700002</t>
  </si>
  <si>
    <t>Beu, AG</t>
  </si>
  <si>
    <t>Beu, A. G.</t>
  </si>
  <si>
    <t>Before the ice: Biogeography of Antarctic Paleogene molluscan faunas</t>
  </si>
  <si>
    <t>Review</t>
  </si>
  <si>
    <t>Antarctica; Biogeography; Eocene; McMurdo Sound; Mollusca; New Zealand; Oligocene; Paleocene; Seymour Island; South America; Subantarctic</t>
  </si>
  <si>
    <t>KING-GEORGE-ISLAND; POLONEZ COVE FORMATION; NEW-ZEALAND MOLLUSCA; LA-MESETA FORMATION; SEYMOUR ISLAND; SOUTHERN-OCEAN; MCMURDO SOUND; LATE EOCENE; MOLECULAR PHYLOGENY; BENTHIC COMMUNITIES</t>
  </si>
  <si>
    <t>New identifications are listed of Antarctic Paleogene molluscan faunas (Lopez de Bertodano and Sobral Formations, Seymour Island, Paleocene; La Meseta Formation, Seymour Island, Eocene; McMurdo Sound erratics, Eocene; and King George Island, Oligocene-Early Miocene). These show that both cosmopolitan and Antarctic-subantarctic genera increased regularly as percentages of faunas with time; 15% of Paleocene genera, 30% of Eocene genera and 59% of Oligocene-Early Miocene genera still live in the Antarctic-subantarctic region. The present major Antarctic families of larger molluscs have remained the most diverse ones since Middle Eocene time, and the Antarctic fauna was well established by then. However, Mytilidae and Veneridae have decreased markedly in diversity, Mactridae and oysters have disappeared from the Antarctic, and Antarctic Trochidae, Volutidae and Conoidea are now distinct guilds of more offshore taxa. This reflects the present Antarctic ice cover; shallow-water taxa that are no longer able physically to live in Antarctica provide an index of Antarctic glaciation. Glaciation was not extensive on the Antarctic Peninsula by Late Eocene time, and a few genera of shoreface molluscs still inhabited the King George Island area during Oligocene-Early Miocene time. Subduction has left only sparse localities around the margins of the Pacific and Indian/Australian plates containing shallow-water early Paleogene macrofossils; almost none are known from the central regions of these plates. Few data points are available, so apparent indications of taxa originating in Antarctica are not interpretable. New names are provided for two junior homonyms (Gaimardia zinsmeisten, replacing Gaimardia flemingi Zinsmeister, 1984; Prosipho stilwelli, replacing Aeneator huttoni Stilwell and Zinsmeister, 1992). (C) 2009 Elsevier B.V. All rights reserved.</t>
  </si>
  <si>
    <t>GNS Sci, Lower Hutt 5040, New Zealand</t>
  </si>
  <si>
    <t>GNS Science - New Zealand</t>
  </si>
  <si>
    <t>Beu, AG (corresponding author), GNS Sci, POB 30368, Lower Hutt 5040, New Zealand.</t>
  </si>
  <si>
    <t>a.beu@gns.cri.nz</t>
  </si>
  <si>
    <t>ELSEVIER</t>
  </si>
  <si>
    <t>RADARWEG 29, 1043 NX AMSTERDAM, NETHERLANDS</t>
  </si>
  <si>
    <t>10.1016/j.palaeo.2009.09.025</t>
  </si>
  <si>
    <t>WOS:000272960700007</t>
  </si>
  <si>
    <t>Tian, J; Shevenell, A; Wang, PX; Zhao, QH; Li, QY; Cheng, XR</t>
  </si>
  <si>
    <t>Tian, Jun; Shevenell, Amelia; Wang, Pinxian; Zhao, Quanhong; Li, Qianyu; Cheng, Xinrong</t>
  </si>
  <si>
    <t>Reorganization of Pacific Deep Waters linked to middle Miocene Antarctic cryosphere expansion: A perspective from the South China Sea</t>
  </si>
  <si>
    <t>Middle Miocene; Monterey carbon isotope excursion; Oceanic circulation reorganization; Global cooling</t>
  </si>
  <si>
    <t>ATMOSPHERIC CARBON-DIOXIDE; ICE-SHEET DEVELOPMENT; CENOZOIC CLIMATE; EVOLUTION; OCEAN; PALEOCEANOGRAPHY; RECORD; MG/CA; CIRCULATION; PLEISTOCENE</t>
  </si>
  <si>
    <t>Changes in intermediate and deep ocean circulation likely played a significant role in global carbon cycling and meridional heat/moisture transport during the middle Miocene climate transition (similar to 14 Ma). High-resolution middle Miocene (16-13 Ma) benthic foraminifer stable isotope records from the South China Sea reveal a reorganization of regional bottom waters, which preceded the globally recognized middle Miocene similar to 1 parts per thousand delta(18)O increase (13.8 Ma) by 100,000 years. An observed reversal of the benthic foraminifera delta(13)C gradient between ODP Sites 1146 (2092 m) and 1148 (3294 m; 13.9-13.5 Ma) is interpreted to reflect an increase in the southward flux of low delta(13)C deep (&gt; 2000 m) Pacific Ocean waters (Flower and Kennett, 1993; Shevenell and Kennett, 2004). Large-scale changes in Pacific intermediate and deep ocean circulation, coupled with enhanced global carbon cycling at the end of the Monterey Carbon Isotope excursion, likely acted as internal feedbacks to the Earth's climate system. These feedbacks reduced the sensitivity of Antarctica to lower latitude-derived heat/moisture and facilitated the transition of the Earth's climate system to a new, relatively stable glacial state. (C) 2009 Elsevier B.V. All rights reserved.</t>
  </si>
  <si>
    <t>[Tian, Jun; Wang, Pinxian; Zhao, Quanhong; Li, Qianyu; Cheng, Xinrong] Tongji Univ, State Key Lab Marine Geol, Shanghai 200092, Peoples R China; [Shevenell, Amelia] UCL, Dept Geog, London WC1E 6BT, England; [Shevenell, Amelia] UCL, Dept Earth Sci, London WC1E 6BT, England</t>
  </si>
  <si>
    <t>Tongji University; University of London; University College London; University of London; University College London</t>
  </si>
  <si>
    <t>Tian, J (corresponding author), Tongji Univ, State Key Lab Marine Geol, Shanghai 200092, Peoples R China.</t>
  </si>
  <si>
    <t>tianjun@tongji.edu.cn</t>
  </si>
  <si>
    <t>Wu, Jiale/JQV-3750-2023; Shevenell, Amelia E/C-2757-2015; li, qianyu/GXV-6594-2022; shevenell, Amelia/A-4161-2009</t>
  </si>
  <si>
    <t>NSFC [40976024, 40776028]; NKBRSF [2007CB815902]; FANEDD [2005036]; Program for New Century Excellent Talents in University; Fok Ying Tong Education Foundation [111016]; Alexander Von Humboldt Foundation</t>
  </si>
  <si>
    <t>NSFC(National Natural Science Foundation of China (NSFC)); NKBRSF(National Basic Research Program of China); FANEDD(Foundation for the Author of National Excellent Doctoral Dissertation of China); Program for New Century Excellent Talents in University(Program for New Century Excellent Talents in University (NCET)); Fok Ying Tong Education Foundation(Fok Ying Tung Education Foundation); Alexander Von Humboldt Foundation(Alexander von Humboldt Foundation)</t>
  </si>
  <si>
    <t>We thank Ocean Drilling Program (ODP) for providing the samples. Funding for this research was provided by the NSFC (grant no. 40976024,40776028), the NKBRSF (grant no. 2007CB815902) and the FANEDD (grant no. 2005036). This research was also supported by Program for New Century Excellent Talents in University NCET, Fok Ying Tong Education Foundation (111016) and the Alexander Von Humboldt Foundation. We thank G. Wefer, and T. Bickert for the discussions. We thank Xin Li for plotting the bathymetry of the SCS (Fig. La). This manuscript benefited from the careful reviews of two anonymous reviewers.</t>
  </si>
  <si>
    <t>10.1016/j.palaeo.2009.10.019</t>
  </si>
  <si>
    <t>WOS:000272960700019</t>
  </si>
  <si>
    <t>Eakin, RR; Eastman, JT; Near, TJ</t>
  </si>
  <si>
    <t>Eakin, Richard R.; Eastman, Joseph T.; Near, Thomas J.</t>
  </si>
  <si>
    <t>A New Species and a Molecular Phylogenetic Analysis of the Antarctic Fish Genus Pogonophryne (Notothenioidei: Artedidraconidae)</t>
  </si>
  <si>
    <t>COPEIA</t>
  </si>
  <si>
    <t>DOLLOIDRACO-LONGEDORSALIS PERCIFORMES; MENTAL BARBEL; PISCES; MITOCHONDRIAL; EVOLUTION; SEA</t>
  </si>
  <si>
    <t>Pogonophryne steward, new species, is described from collections made at 1700 m on the continental slope of the Indian Ocean Sector of the Southern Ocean, off Wilkes Land, Antarctica. The new species Is assigned to the unspotted P. albipinna species group and is related to P. immaculata. It Is distinguished from all other species of the P. albipinna species group by the following combination of characters: a long (about 15-20% SL) mental barbel without a terminal expansion, a shallow head and slender trunk with only slight taper to caudal peduncle, 8-13 middle lateral-line pores, and divergence In the mitochondrial ND2 gene. We discuss the composition and validity of the A albipinna group, which, up to this point, has been based on three holotype specimens. We provide meristic and morphometric data for seven recently collected adult specimens of P. immaculata. Bayesian analyses of mitochondrial gene sequences for I I of the now 19 recognized species of Pogonophryne, sampled from all five of the proposed species groups, resulted In reciprocal monophyly of the monotypic species groups. The P. albipinna and A mentella species groups were each monophyletic and resolved as sister lineages. We provide a revised key for the four species of Pogonophryne classified In the P. albipinna group.</t>
  </si>
  <si>
    <t>[Eastman, Joseph T.] Ohio Univ, Dept Biomed Sci, Athens, OH 45701 USA; [Near, Thomas J.] Yale Univ, Dept Ecol &amp; Evolutionary Biol, New Haven, CT 06520 USA; [Near, Thomas J.] Yale Univ, Peabody Museum Nat Hist, New Haven, CT 06520 USA</t>
  </si>
  <si>
    <t>University System of Ohio; Ohio University; Yale University; Yale University</t>
  </si>
  <si>
    <t>Eastman, JT (corresponding author), Ohio Univ, Dept Biomed Sci, Athens, OH 45701 USA.</t>
  </si>
  <si>
    <t>dreakin@windstream.net; eastman@ohiou.edu; thomas.near@yale.edu</t>
  </si>
  <si>
    <t>Near, Thomas J./K-1204-2012; Eastman, Joseph T./O-6150-2019; Eastman, Joseph T/A-9786-2008</t>
  </si>
  <si>
    <t>Near, Thomas J./0000-0002-7398-6670; Eastman, Joseph T./0000-0003-3868-261X;</t>
  </si>
  <si>
    <t>NSF [ANT 04-36190, DEB-0716155, ANT-0839007, DBI-0847899]; New Zealand International Polar Year-Census of Antarctic Marine Life Project [1: So001IPY, 2: IPY2007-01]; Ministry of Fisheries Science Team; Ocean Survey 20/20 CAML Advisory Group; Office of Polar Programs (OPP); Directorate For Geosciences [0839007] Funding Source: National Science Foundation</t>
  </si>
  <si>
    <t>NSF(National Science Foundation (NSF)); New Zealand International Polar Year-Census of Antarctic Marine Life Project; Ministry of Fisheries Science Team; Ocean Survey 20/20 CAML Advisory Group; Office of Polar Programs (OPP); Directorate For Geosciences(National Science Foundation (NSF)NSF - Directorate for Geosciences (GEO))</t>
  </si>
  <si>
    <t>We thank crew and observers aboard the FV San Aspiring for collecting the specimens of P. stewarti and the staff of the Fish Section at the Museum of New Zealand Te Papa Tongarewa for making this material as well as the specimens of P. immaculata available to us. We greatly appreciate the talent and efforts of D. Pratt in illustrating Figure 1. P. Marriott (NIWA) kindly provided photos for Figure 3. The authors thank C. Jones, the United States Antarctic Marine Living Resources Program (AMLR), and the officers and crew of the RV Yuzhmorgeologiya for providing support for the collection of specimens in the South Shetlands, Bransfield Strait, and Elephant Island. This work was supported by NSF grants ANT 04-36190 to JTE, and DEB-0716155, ANT-0839007 and DBI-0847899 to TJN. The IPY/CAML expedition and research was funded by the New Zealand Government under the New Zealand International Polar Year-Census of Antarctic Marine Life Project (Phase 1: So001IPY; Phase 2: IPY2007-01). We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Atmosphere Ltd.).</t>
  </si>
  <si>
    <t>AMER SOC ICHTHYOLOGISTS &amp; HERPETOLOGISTS</t>
  </si>
  <si>
    <t>MIAMI</t>
  </si>
  <si>
    <t>MAUREEN DONNELLY, SECRETARY FLORIDA INT UNIV BIOLOGICAL SCIENCES, 11200 SW 8TH STREET, MIAMI, FL 33199 USA</t>
  </si>
  <si>
    <t>0045-8511</t>
  </si>
  <si>
    <t>1938-5110</t>
  </si>
  <si>
    <t>Copeia</t>
  </si>
  <si>
    <t>DEC 29</t>
  </si>
  <si>
    <t>10.1643/CI-09-024</t>
  </si>
  <si>
    <t>542BX</t>
  </si>
  <si>
    <t>WOS:000273467400010</t>
  </si>
  <si>
    <t>Lannoo, MJ; Eastman, JT; Orr, JW</t>
  </si>
  <si>
    <t>Lannoo, Michael J.; Eastman, Joseph T.; Orr, James W.</t>
  </si>
  <si>
    <t>Nervous and Sensory Systems in Sub-Arctic and Antarctic Snailfishes of the Genus Paraliparis (Teleostei: Scorpaeniformes: Liparidae)</t>
  </si>
  <si>
    <t>SUBDERMAL EXTRACELLULAR-MATRIX; ALEUTIAN ISLANDS; NOTOTHENIOID FISHES; BRAIN MORPHOLOGY; EVOLUTION; DEVRIESI; SEA; DIVERSIFICATION; CAREPROCTUS; RADIATION</t>
  </si>
  <si>
    <t>Scorpaeniform fishes of the family Liparidae (snailfishes) are anatomically distinctive, morphologically variable, ecologically diverse, and globally distributed. Liparids have both boreal and austral centers of diversity; they are one of the most speciose fish families In the North Pacific Ocean, and are the most speciose fish family in the Antarctic Southern Ocean. In a previous communication we described the nervous and sensory systems of Paraliparis devriesi from the Ross Sea of Antarctica. Our goal with the present communication is to expand and generalize these findings by examining the nervous and sensory systems of two North Pacific/sub-Arctic species, A pectoralis and A ulochir, which live along the northwestern coast of North America and in the Bering Sea. We find that the brains and sensory systems of all three species are grossly similar, more similar to each other than to species outside the family. These brains are derived. In response to the cold and dark conditions of the deep sea, species of Paraliparis have an augmented olfactory system, a large cephalic lateral line system, an enhanced trunk somatosensory system, and an enlarged motor coordination (cerebellar) system. But they also have a reduced, rod-only visual system, a highly reduced trunk lateral line system, and have lost some portion of the higher order processing networks for these systems (in the tectum, telencephalon, and Inferior lobes). It Is these reductions that give the overall Impression (confirmed by outgroup comparison) that the brains of these species are comparatively small. The genus Paraliparis represents a successful evolutionary lineage by the criteria of both species diversity (106 currently described species) and distribution (global, among deep-sea [&gt;200 m] marine environments). This evolutionary success appears to be tied to the ability to Inhabit the deep-sea, the world's largest living space. For Paraliparis, the loss of brain mass is one tradeoff for occupying the world's largest habitable space and the evolutionary advantages this confers.</t>
  </si>
  <si>
    <t>[Lannoo, Michael J.] Indiana Univ, Sch Med Terre Haute, ISU, Terre Haute, IN 47809 USA; [Eastman, Joseph T.] Ohio Univ, Dept Biomed Sci, Athens, OH 45701 USA; [Orr, James W.] NOAA, Fisheries Serv, Alaska Fisheries Sci Ctr, RACE Div, Seattle, WA 98115 USA</t>
  </si>
  <si>
    <t>Indiana University System; University System of Ohio; Ohio University; National Oceanic Atmospheric Admin (NOAA) - USA</t>
  </si>
  <si>
    <t>Lannoo, MJ (corresponding author), Indiana Univ, Sch Med Terre Haute, ISU, Room 135 Holmstedt Hall, Terre Haute, IN 47809 USA.</t>
  </si>
  <si>
    <t>mlannoo@iupui.edu; eastman@ohiou.edu; James.Orr@noaa.gov</t>
  </si>
  <si>
    <t>Eastman, Joseph T/A-9786-2008; Eastman, Joseph T./O-6150-2019</t>
  </si>
  <si>
    <t>Eastman, Joseph T./0000-0003-3868-261X</t>
  </si>
  <si>
    <t>NSF [ANT 04-36190]; NIH [NS30702-01]</t>
  </si>
  <si>
    <t>NSF(National Science Foundation (NSF)); NIH(United States Department of Health &amp; Human ServicesNational Institutes of Health (NIH) - USA)</t>
  </si>
  <si>
    <t>We thank D. Pratt for producing the illustrations, J. Crawford and W. Peterman for assistance with manuscript preparation, S. Lannoo for providing histological assistance, and K. Maslenikov and T. Pietsch for access to collections and loans of specimens. A. DeVries developed the techniques for successfully trapping Antarctic liparids and aided greatly in collection of the specimens from McMurdo Sound. The North Pacific specimens were supplied by K. Maslenikov, Collections Manager, University of Washington Fish Collection. Thanks to S. Lannoo and M. Wilkins for commenting on earlier drafts of this manuscript. This work was supported by NSF grant ANT 04-36190 to J.T.E. and NIH grant NS30702-01 to M.J.L.</t>
  </si>
  <si>
    <t>10.1643/CG-08-157</t>
  </si>
  <si>
    <t>WOS:000273467400014</t>
  </si>
  <si>
    <t>Shukla, SK; Mohan, R; Sudhakar, M</t>
  </si>
  <si>
    <t>Shukla, Sunil Kumar; Mohan, Rahul; Sudhakar, M.</t>
  </si>
  <si>
    <t>Diatoms: a potential tool to understand past oceanographic settings</t>
  </si>
  <si>
    <t>CURRENT SCIENCE</t>
  </si>
  <si>
    <t>Diatoms; palaeoceanography; sediment; tracers</t>
  </si>
  <si>
    <t>SOUTHERN-OCEAN SEDIMENTS; SEA-ICE EXTENT; SURFACE SEDIMENTS; PRYDZ BAY; ROSS SEA; ATLANTIC SECTOR; BIOGENIC SILICA; VESTFOLD HILLS; INDIAN SECTOR; WEDDELL SEA</t>
  </si>
  <si>
    <t>Diatoms are being potentially used to decipher palaeoceanography and past climatic changes. They are marine primary producers which play an important role in carbon, silica and nutrient budgets of modern oceans. Their importance lies in the role they play for the export of organic carbon to the deep sea and the efficiency of the biological pump for CO2 exchange. They are useful as biostratigraphical zone fossils in marine deposits from high latitudes or at deeper water depths, both of which lack calcareous microfossils. The role of diatoms as tracers of past oceanographic conditions with recent perspectives in diatom research is reviewed in this article.</t>
  </si>
  <si>
    <t>[Shukla, Sunil Kumar; Mohan, Rahul; Sudhakar, M.] Natl Ctr Antarctic &amp; Ocean Res, Vasco Da Gama 403804, Goa, India</t>
  </si>
  <si>
    <t>Ministry of Earth Sciences (MoES) - India; National Centre for Polar and Ocean Research (NCPOR)</t>
  </si>
  <si>
    <t>Mohan, R (corresponding author), Natl Ctr Antarctic &amp; Ocean Res, Vasco Da Gama 403804, Goa, India.</t>
  </si>
  <si>
    <t>rahulmohangupta@gmail.com</t>
  </si>
  <si>
    <t>Shukla, Sunil/GLR-0323-2022</t>
  </si>
  <si>
    <t>Shukla, Sunil/0000-0002-7517-5564</t>
  </si>
  <si>
    <t>Ministry of Earth Sciences; NCAOR</t>
  </si>
  <si>
    <t>We thank Secretary, Ministry of Earth Sciences and Director, NCAOR for all support for this study. R. M. thanks Prof. M. S. Srinivasan for the subject idea. We also thank anonymous reviewers for their valuable suggestions to improve the paper. This is NCAOR Contribution No. R-53.</t>
  </si>
  <si>
    <t>INDIAN ACAD SCIENCES</t>
  </si>
  <si>
    <t>BANGALORE</t>
  </si>
  <si>
    <t>C V RAMAN AVENUE, SADASHIVANAGAR, P B #8005, BANGALORE 560 080, INDIA</t>
  </si>
  <si>
    <t>0011-3891</t>
  </si>
  <si>
    <t>CURR SCI INDIA</t>
  </si>
  <si>
    <t>Curr. Sci.</t>
  </si>
  <si>
    <t>DEC 25</t>
  </si>
  <si>
    <t>Multidisciplinary Sciences</t>
  </si>
  <si>
    <t>Science &amp; Technology - Other Topics</t>
  </si>
  <si>
    <t>536LJ</t>
  </si>
  <si>
    <t>WOS:000273045600015</t>
  </si>
  <si>
    <t>Anschütz, H; Müller, K; Isaksson, E; McConnell, JR; Fischer, H; Miller, H; Albert, M; Winther, JG</t>
  </si>
  <si>
    <t>Anschuetz, H.; Mueller, K.; Isaksson, E.; McConnell, J. R.; Fischer, H.; Miller, H.; Albert, M.; Winther, J. -G.</t>
  </si>
  <si>
    <t>Revisiting sites of the South Pole Queen Maud Land Traverses in East Antarctica: Accumulation data from shallow firn cores</t>
  </si>
  <si>
    <t>JOURNAL OF GEOPHYSICAL RESEARCH-ATMOSPHERES</t>
  </si>
  <si>
    <t>SURFACE MASS-BALANCE; SNOW ACCUMULATION; SPATIAL-DISTRIBUTION; ICE-SHEET; TEMPORAL VARIABILITY; DOME FUJI; AMUNDSENISEN; RECORD; PLATEAU; PITS</t>
  </si>
  <si>
    <t>Ground-based accumulation measurements are scarce on the high East Antarctic plateau, but highly necessary for model validation and the interpretation of satellite data for the determination of Antarctic mass balance. Here, we present accumulation results obtained from four shallow firn cores drilled in the Antarctic summer season 2007/2008. The cores were drilled along the first leg of the Norwegian-US IPY traverse through East Antarctica, visiting sites like Plateau Station and Pole of Relative Inaccessibility that have been covered by the South Pole Queen Maud Land Traverses (SPQMLT) in the 1960s. Accumulation has been determined from volcanic chronology established from the conductivity records measured by dielectric profiling (DEP). The Tambora 1815/unknown 1809 double peak is clearly visible in the conductivity data and serves as a reliable time marker. Accumulation rates averaged over the period 1815-2007 are in the range of 16 to 32 kg m(-2) a(-1), somewhat lower than expected from the SPQMLT data. The spatial pattern is mainly influenced by elevation and continentality. Three of the firn cores show a decrease of more than 20% in accumulation for the time period 1815-2007 in relation to accumulation rates during the period 1641-1815. The spatial representativity of the firn cores is assessed by ground-penetrating radar, showing a rather smoothly layered pattern around the drill sites. Validation of the DEP results is utilized by comparison with chemistry data, proving the validity of the DEP method for dating firn cores. The results help understanding the status of the East Antarctic ice sheet and will be important for e. g. future model-derived estimates of the mass balance of Antarctica.</t>
  </si>
  <si>
    <t>[Anschuetz, H.; Isaksson, E.; Winther, J. -G.] Norwegian Polar Res Inst, Polar Environm Ctr, N-9296 Tromso, Norway; [Mueller, K.] Univ Oslo, Dept Geosci, N-0316 Oslo, Norway; [McConnell, J. R.] Desert Res Inst, Div Hydrol Sci, Reno, NV 89512 USA; [Fischer, H.; Miller, H.] Alfred Wegener Inst Polar &amp; Marine Res, D-27568 Bremerhaven, Germany; [Fischer, H.] Univ Bern, Inst Phys, CH-3012 Bern, Switzerland; [Fischer, H.] Univ Bern, Oeschger Ctr Climate Change Res, CH-3012 Bern, Switzerland; [Albert, M.] Thayer Sch Engn Dartmouth, Hanover, NH 03755 USA</t>
  </si>
  <si>
    <t>Norwegian Polar Institute; University of Oslo; Nevada System of Higher Education (NSHE); Desert Research Institute NSHE; Helmholtz Association; Alfred Wegener Institute, Helmholtz Centre for Polar &amp; Marine Research; University of Bern; University of Bern; Dartmouth College</t>
  </si>
  <si>
    <t>Anschütz, H (corresponding author), Norwegian Polar Res Inst, Polar Environm Ctr, N-9296 Tromso, Norway.</t>
  </si>
  <si>
    <t>helgard.anschuetz@npolar.no; karsten.muller@geo.uio.no; elisabeth.isaksson@npolar.no; joe.mcconnell@dri.edu; hubertus.fischer@climate.unibe.ch; heinrich.miller@awi.de; mary.r.albert@dartmouth.edu; winther@npolar.no</t>
  </si>
  <si>
    <t>Fischer, Hubertus/A-1211-2014</t>
  </si>
  <si>
    <t>Fischer, Hubertus/0000-0002-2787-4221; Albert, Mary/0000-0001-7842-2359; Miller, Heinrich/0000-0003-1015-2828</t>
  </si>
  <si>
    <t>Norwegian Polar Institute, the Research Council of Norway; National Science Foundation of the United States</t>
  </si>
  <si>
    <t>Norwegian Polar Institute, the Research Council of Norway(Research Council of Norway); National Science Foundation of the United States(National Science Foundation (NSF))</t>
  </si>
  <si>
    <t>This work has been carried out under the umbrella of TASTE-IDEA within the framework of IPY project 152 funded by Norwegian Polar Institute, the Research Council of Norway, and the National Science Foundation of the United States. This work is also a contribution to ITASE. Sanja Forsstrom and Ryan Banta, Ross Edwards, Dan Pasteris, and Tommy Cox are gratefully acknowledged for help in the lab. Help with Figure 1 was provided by Stein Tronstad and Anders Skoglund. Special thanks goes to the traverse team 2007/2008. Comments by three reviewers significantly improved the manuscript.</t>
  </si>
  <si>
    <t>2169-897X</t>
  </si>
  <si>
    <t>2169-8996</t>
  </si>
  <si>
    <t>J GEOPHYS RES-ATMOS</t>
  </si>
  <si>
    <t>J. Geophys. Res.-Atmos.</t>
  </si>
  <si>
    <t>D24106</t>
  </si>
  <si>
    <t>10.1029/2009JD012204</t>
  </si>
  <si>
    <t>Meteorology &amp; Atmospheric Sciences</t>
  </si>
  <si>
    <t>536LS</t>
  </si>
  <si>
    <t>WOS:000273046500001</t>
  </si>
  <si>
    <t>Cherel, Y; Kernaléguen, L; Richard, P; Guinet, C</t>
  </si>
  <si>
    <t>Cherel, Y.; Kernaleguen, L.; Richard, P.; Guinet, C.</t>
  </si>
  <si>
    <t>Whisker isotopic signature depicts migration patterns and multi-year intra- and inter-individual foraging strategies in fur seals</t>
  </si>
  <si>
    <t>BIOLOGY LETTERS</t>
  </si>
  <si>
    <t>individual specialization; otariid; Southern Ocean; stable isotopes</t>
  </si>
  <si>
    <t>STABLE-ISOTOPES; INDIVIDUAL SPECIALIZATION; SEASONAL-CHANGES; SOUTHERN-OCEAN; GROWTH; INVESTIGATE; PREDATORS; ECOLOGY; CARBON; NICHES</t>
  </si>
  <si>
    <t>The movement and dietary history of individuals can be studied using stable isotope records in archival keratinous tissues. Here, we present a chronology of temporally fine-scale data on the trophic niche of otariid seals by measuring the isotopic signature of serially sampled whiskers. Whiskers of male Antarctic fur seals breeding at the Crozet Islands showed synchronous and regular oscillations in both their delta(13)C and delta(15)N values that are likely to represent their annual migrations over the long term (mean 4.8 years). At the population level, male Antarctic fur seals showed substantial variation in both delta(13)C and delta(15)N values, occupying nearly all the 'isotopic space' created by the diversity of potential oceanic habitats (from high Antarctica to the subtropics) and prey (from Antarctic krill to sub-antarctic and subtropical mesopelagic fishes). At the individual level, whisker isotopic signatures depict a large diversity of foraging strategies. Some seals remained in either subantarctic or Antarctic waters, while the migratory cycle of most animals encompassed a wide latitudinal gradient where they fed on different prey. The isotopic signature of whiskers, therefore, revealed new multi-year foraging strategies of male Antarctic fur seals and is a powerful tool for investigating the ecological niche during cryptic stages of mammals' life.</t>
  </si>
  <si>
    <t>[Cherel, Y.; Kernaleguen, L.; Guinet, C.] CNRS, UPR 1934, Ctr Etud Biol Chize, F-79360 Villiers En Bois, France; [Richard, P.] Univ La Rochelle, CNRS, UMR 6250, F-17000 La Rochelle, France</t>
  </si>
  <si>
    <t>Centre National de la Recherche Scientifique (CNRS); Centre National de la Recherche Scientifique (CNRS); La Rochelle Universite</t>
  </si>
  <si>
    <t>Cherel, Y (corresponding author), CNRS, UPR 1934, Ctr Etud Biol Chize, F-79360 Villiers En Bois, France.</t>
  </si>
  <si>
    <t>cherel@cebc.cnrs.fr</t>
  </si>
  <si>
    <t>Guinet, Christophe/AAR-8457-2020; Richard, Pierre/N-6482-2014</t>
  </si>
  <si>
    <t>Richard, Pierre/0000-0002-0393-9967</t>
  </si>
  <si>
    <t>ANR-VMC IPSOS-SEAL; Institut Polaire Francais Paul Emile Victor [109]</t>
  </si>
  <si>
    <t>ANR-VMC IPSOS-SEAL(Agence Nationale de la Recherche (ANR)); Institut Polaire Francais Paul Emile Victor</t>
  </si>
  <si>
    <t>The authors thank F. Bailleul, S. Luque and J. Sinclair for their help in the field, D. Pinaud for the statistical analysis and G. Guillou for the stable isotope analysis. The present work was supported financially and logistically by the ANR-VMC IPSOS-SEAL and the Institut Polaire Francais Paul Emile Victor ( Programme no. 109, H. Weimerskirch).</t>
  </si>
  <si>
    <t>ROYAL SOC</t>
  </si>
  <si>
    <t>LONDON</t>
  </si>
  <si>
    <t>6-9 CARLTON HOUSE TERRACE, LONDON SW1Y 5AG, ENGLAND</t>
  </si>
  <si>
    <t>1744-9561</t>
  </si>
  <si>
    <t>BIOL LETTERS</t>
  </si>
  <si>
    <t>Biol. Lett.</t>
  </si>
  <si>
    <t>DEC 23</t>
  </si>
  <si>
    <t>10.1098/rsbl.2009.0552</t>
  </si>
  <si>
    <t>Biology; Ecology; Evolutionary Biology</t>
  </si>
  <si>
    <t>Life Sciences &amp; Biomedicine - Other Topics; Environmental Sciences &amp; Ecology; Evolutionary Biology</t>
  </si>
  <si>
    <t>517QM</t>
  </si>
  <si>
    <t>WOS:000271632000033</t>
  </si>
  <si>
    <t>Goldberg, D; Holland, DM; Schoof, C</t>
  </si>
  <si>
    <t>Goldberg, D.; Holland, D. M.; Schoof, C.</t>
  </si>
  <si>
    <t>Grounding line movement and ice shelf buttressing in marine ice sheets</t>
  </si>
  <si>
    <t>JOURNAL OF GEOPHYSICAL RESEARCH-EARTH SURFACE</t>
  </si>
  <si>
    <t>FINITE-ELEMENT-METHOD; WEST ANTARCTICA; PINE ISLAND; GLACIERS; FLOW; ACCELERATION; FLUCTUATIONS; SENSITIVITY; MODEL</t>
  </si>
  <si>
    <t>Understanding the dynamics of marine ice sheets is integral to studying the evolution of the Antarctic ice sheet in both the short and long terms. An important component of the dynamics, grounding line migration, has proved difficult to represent in numerical models, and most successful attempts have made use of techniques that are only readily applicable to flow line models. However, to capture the stress transmission involved in another important component, the buttressing of a marine ice sheet by its ice shelf, the transverse direction must also be resolved. We introduce a model that solves the time-dependent shelfy stream equations and makes use of mesh adaption techniques to overcome the difficulties typically associated with the numerics of grounding line migration. We compare the model output with a recent benchmark for flow line models and show that our model yields an accurate solution while using far less resources than would be required without mesh adaption. We also show that the mesh adapting techniques extend to two horizontal dimensions. Experiments are carried out to determine how both ice shelf buttressing and ice rises affect the marine instability predicted for an ice sheet on a foredeepened bed. We find that buttressing is not always sufficient to stabilize such a sheet but collapse of the grounded portion is still greatly delayed. We also find that the effect of an ice rise is similar to that of narrowing the ice shelf.</t>
  </si>
  <si>
    <t>[Goldberg, D.; Holland, D. M.] NYU, Courant Inst Math Sci, New York, NY 10012 USA; [Schoof, C.] Univ British Columbia, Dept Earth &amp; Ocean Sci, Vancouver, BC V6T 1Z4, Canada</t>
  </si>
  <si>
    <t>New York University; University of British Columbia</t>
  </si>
  <si>
    <t>Goldberg, D (corresponding author), NYU, Courant Inst Math Sci, 251 Mercer St, New York, NY 10012 USA.</t>
  </si>
  <si>
    <t>dgoldberg@cims.nyu.edu</t>
  </si>
  <si>
    <t>Schoof, Christian/A-8587-2013</t>
  </si>
  <si>
    <t>NASA Earth Science [NNX08AN52G, NNX07AU53G]; NYU Dean's Dissertation Fellowship; DOE [DE-FG02-08ER64587]; NSF [ANT-0732869, ARC-0806393]; NSERC [357193-08]</t>
  </si>
  <si>
    <t>NASA Earth Science; NYU Dean's Dissertation Fellowship; DOE(United States Department of Energy (DOE)); NSF(National Science Foundation (NSF)); NSERC(Natural Sciences and Engineering Research Council of Canada (NSERC))</t>
  </si>
  <si>
    <t>We acknowledge the efforts of our Editor and three reviewers in improving the clarity of the final manuscript. This work was made possible by the NASA Earth Science Fellowship, the NYU Dean's Dissertation Fellowship, the Canada Research Chair at the University of British Columbia, NASA grants NNX08AN52G and NNX07AU53G, DOE grant DE-FG02-08ER64587, NSF grants ANT-0732869 and ARC-0806393, and NSERC Discovery grant 357193-08.</t>
  </si>
  <si>
    <t>2169-9003</t>
  </si>
  <si>
    <t>2169-9011</t>
  </si>
  <si>
    <t>J GEOPHYS RES-EARTH</t>
  </si>
  <si>
    <t>J. Geophys. Res.-Earth Surf.</t>
  </si>
  <si>
    <t>F04026</t>
  </si>
  <si>
    <t>10.1029/2008JF001227</t>
  </si>
  <si>
    <t>Geosciences, Multidisciplinary</t>
  </si>
  <si>
    <t>Geology</t>
  </si>
  <si>
    <t>536MN</t>
  </si>
  <si>
    <t>Bronze, Green Published</t>
  </si>
  <si>
    <t>WOS:000273048600001</t>
  </si>
  <si>
    <t>Cramer, BS; Toggweiler, JR; Wright, JD; Katz, ME; Miller, KG</t>
  </si>
  <si>
    <t>Cramer, B. S.; Toggweiler, J. R.; Wright, J. D.; Katz, M. E.; Miller, K. G.</t>
  </si>
  <si>
    <t>Ocean overturning since the Late Cretaceous: Inferences from a new benthic foraminiferal isotope compilation</t>
  </si>
  <si>
    <t>PALEOCEANOGRAPHY</t>
  </si>
  <si>
    <t>DEEP-WATER CIRCULATION; SOUTHERN-OCEAN; DRAKE PASSAGE; EARLY OLIGOCENE; ATLANTIC-OCEAN; HIGH-LATITUDES; LATE MIOCENE; LATE EOCENE; HEAT-FLOW; EVOLUTION</t>
  </si>
  <si>
    <t>Benthic foraminiferal oxygen isotopic (delta O-18) and carbon isotopic (delta C-13) trends, constructed from compilations of data series from multiple ocean sites, provide one of the primary means of reconstructing changes in the ocean interior. These records are also widely used as a general climate indicator for comparison with local and more specific marine and terrestrial climate proxy records. We present new benthic foraminiferal delta O-18 and delta C-13 compilations for individual ocean basins that provide a robust estimate of benthic foraminiferal stable isotopic variations to similar to 80 Ma and tentatively to similar to 110 Ma. First-order variations in interbasinal isotopic gradients delineate transitions from interior ocean heterogeneity during the Late Cretaceous (&gt;similar to 65 Ma) to early Paleogene (35-65 Ma) homogeneity and a return to heterogeneity in the late Paleogene-early Neogene (35-0 Ma). We propose that these transitions reflect alterations in a first-order characteristic of ocean circulation: the ability of winds to make water in the deep ocean circulate. We document the initiation of large interbasinal delta O-18 gradients in the early Oligocene and link the variations in interbasinal delta O-18 gradients from the middle Eocene to Oligocene with the increasing influence of wind-driven mixing due to the gradual tectonic opening of Southern Ocean passages and initiation and strengthening of the Antarctic Circumpolar Current. The role of wind-driven upwelling, possibly associated with a Tethyan Circumequatorial Current, in controlling Late Cretaceous interior ocean heterogeneity should be the subject of further research.</t>
  </si>
  <si>
    <t>[Cramer, B. S.] Univ Oregon, Dept Geol Sci, Eugene, OR 97403 USA; [Toggweiler, J. R.] NOAA, Geophys Fluid Dynam Lab, Princeton, NJ 08542 USA; [Wright, J. D.; Miller, K. G.] Rutgers State Univ, Dept Earth &amp; Planetary Sci, Piscataway, NJ 08854 USA; [Katz, M. E.] Rensselaer Polytech Inst, Dept Earth &amp; Environm Sci, Troy, NY 12180 USA</t>
  </si>
  <si>
    <t>University of Oregon; National Oceanic Atmospheric Admin (NOAA) - USA; Rutgers University System; Rutgers University New Brunswick; Rensselaer Polytechnic Institute</t>
  </si>
  <si>
    <t>Cramer, BS (corresponding author), Theiss Res, 1214 W 17th Ave, Eugene, OR 97402 USA.</t>
  </si>
  <si>
    <t>b.s.cramer@theissresearch.org</t>
  </si>
  <si>
    <t>Toggweiler, J. R./O-5883-2019; Wright, James/AAF-7180-2019; Cramer, Benjamin S/A-5303-2008</t>
  </si>
  <si>
    <t>Toggweiler, J. R./0000-0001-6345-5756; Wright, James/0000-0001-5212-9146</t>
  </si>
  <si>
    <t>NSF [OCE06-23256]</t>
  </si>
  <si>
    <t>We thank Dennis Kent, Peter Barrett, Ellen Thomas, Philip Sexton, and two anonymous reviewers for useful comments that significantly improved the manuscript. This research was supported in part by NSF grant OCE06-23256.</t>
  </si>
  <si>
    <t>0883-8305</t>
  </si>
  <si>
    <t>1944-9186</t>
  </si>
  <si>
    <t>Paleoceanography</t>
  </si>
  <si>
    <t>PA4216</t>
  </si>
  <si>
    <t>10.1029/2008PA001683</t>
  </si>
  <si>
    <t>Geosciences, Multidisciplinary; Oceanography; Paleontology</t>
  </si>
  <si>
    <t>Geology; Oceanography; Paleontology</t>
  </si>
  <si>
    <t>536OW</t>
  </si>
  <si>
    <t>Green Published, Bronze</t>
  </si>
  <si>
    <t>WOS:000273054700001</t>
  </si>
  <si>
    <t>Townsend, AT; Snape, I; Palmer, AS; Seen, AJ</t>
  </si>
  <si>
    <t>Townsend, A. T.; Snape, I.; Palmer, A. S.; Seen, A. J.</t>
  </si>
  <si>
    <t>Lead isotopic signatures in Antarctic marine sediment cores: A comparison between 1 M HCl partial extraction and HF total digestion pre-treatments for discerning anthropogenic inputs</t>
  </si>
  <si>
    <t>SCIENCE OF THE TOTAL ENVIRONMENT</t>
  </si>
  <si>
    <t>Antarctica; Casey Station; Human impacts; Metal pollution; Lead isotope ratios; ICP-MS</t>
  </si>
  <si>
    <t>METAL CONTAMINATION; PB SOURCES; ICP-MS; RATIOS; POLLUTION; LAKE; IDENTIFICATION; HISTORY; STATION; SOIL</t>
  </si>
  <si>
    <t>Sensitive analytical techniques are typically required when dealing with samples from Antarctica as even low concentrations of contaminants can have detrimental environmental effects. Magnetic Sector ICP-MS is an ideal technique for environmental assessment as it offers high sensitivity, multi-element capability and the opportunity to determine isotope ratios. Here we consider the Pb isotope record of five marine sediment cores collected from three sites in the Windmill Islands area of East Antarctica: Brown Bay adjacent to the current Australian station Casey, Wilkes near the abandoned US/Australian Station and McGrady Cove lying midway between the two. Two sediment pre-treatment approaches were considered, namely partial extraction with 1 M HCl and total dissolution involving HF. Lead isotope ratio measurements made following sediment partial extraction provided a more sensitive indication of Pb contamination than either Pb concentrations alone (irrespective of sample pre-treatment method) or isotope ratios made after HF digestion, offering greater opportunity for discrimination between impacted and natural/geogenic samples and sites. Over 90% of the easily extractable Pb from sediments near Casey was anthropogenic in origin, consisting of Pb from major Australian deposits. At Wilkes impact from discarded batteries with a unique isotopic signature was found to be a key source of Pb contamination to the marine environment with similar to 70-80% of Pb being anthropogenic in origin. The country and source of origin of these batteries remain unknown. Little evidence was found suggesting contamination at Wilkes by Pb originating from the major US source, Missouri. No definitive assessment could be made regarding Pb impact at McGrady Cove as the collected sediment core was of insufficient depth. Although Pb isotope ratio signatures may indicate anthropogenic input, spatial concentration gradients at nearby Brown Bay suggest contamination at McGrady Cove is unlikely. We recommend Pb isotopic analysis following 1 M HCl partial extraction pre-treatment as a powerful and. sensitive method for tracing Pb contamination in marine sediments. (C) 2009 Elsevier B.V. All rights reserved.</t>
  </si>
  <si>
    <t>[Townsend, A. T.] Univ Tasmania, Cent Sci Lab, Hobart, Tas 7001, Australia; [Snape, I.; Palmer, A. S.] Australian Antarctic Div, Environm Protect &amp; Change Program, Kingston, Tas 7050, Australia; [Palmer, A. S.] Univ Tasmania, ACROSS, Sch Chem, Hobart, Tas 7001, Australia; [Seen, A. J.] Univ Tasmania, Sch Chem, Launceston, Tas 7250, Australia</t>
  </si>
  <si>
    <t>University of Tasmania; Australian Antarctic Division; University of Tasmania; University of Tasmania</t>
  </si>
  <si>
    <t>Townsend, AT (corresponding author), Univ Tasmania, Cent Sci Lab, Private Bag 74, Hobart, Tas 7001, Australia.</t>
  </si>
  <si>
    <t>Ashley.Townsend@utas.edu.au</t>
  </si>
  <si>
    <t>Townsend, Ashley/J-7445-2014</t>
  </si>
  <si>
    <t>Townsend, Ashley/0000-0002-2972-2678; Seen, Andrew/0000-0001-7788-579X</t>
  </si>
  <si>
    <t>Australian Antarctic Science [2201]</t>
  </si>
  <si>
    <t>Australian Antarctic Science</t>
  </si>
  <si>
    <t>Australian Antarctic Division staff and expeditioners are thanked for their help with the sample collection, especially Catherine Samson. Laboratory staff at the ARC Centre of Excellence in Ore Deposits-School of Earth Sciences, University of Tasmania, are thanked for performing the sediment HF digestions. Access to TIMS instrumentation at Latrobe and Adelaide University's (through Roland Maas and David Bruce) is appreciated. The facilities of the Australian Antarctic Division and the Central Science Laboratory, University of Tasmania are gratefully acknowledged. This work was supported by Australian Antarctic Science Grant 2201.</t>
  </si>
  <si>
    <t>0048-9697</t>
  </si>
  <si>
    <t>1879-1026</t>
  </si>
  <si>
    <t>SCI TOTAL ENVIRON</t>
  </si>
  <si>
    <t>Sci. Total Environ.</t>
  </si>
  <si>
    <t>DEC 20</t>
  </si>
  <si>
    <t>10.1016/j.scitotenv.2009.10.014</t>
  </si>
  <si>
    <t>Environmental Sciences</t>
  </si>
  <si>
    <t>Environmental Sciences &amp; Ecology</t>
  </si>
  <si>
    <t>530BS</t>
  </si>
  <si>
    <t>WOS:000272564500025</t>
  </si>
  <si>
    <t>Clark, PU; Huybers, P</t>
  </si>
  <si>
    <t>Clark, Peter U.; Huybers, Peter</t>
  </si>
  <si>
    <t>GLOBAL CHANGE Interglacial and future sea level</t>
  </si>
  <si>
    <t>NATURE</t>
  </si>
  <si>
    <t>Editorial Material</t>
  </si>
  <si>
    <t>ANTARCTIC ICE-SHEET</t>
  </si>
  <si>
    <t>[Clark, Peter U.] Oregon State Univ, Dept Geosci, Corvallis, OR 97331 USA; [Huybers, Peter] Harvard Univ, Dept Earth &amp; Planetary Sci, Cambridge, MA 02138 USA</t>
  </si>
  <si>
    <t>Oregon State University; Harvard University</t>
  </si>
  <si>
    <t>Clark, PU (corresponding author), Oregon State Univ, Dept Geosci, Corvallis, OR 97331 USA.</t>
  </si>
  <si>
    <t>clarkp@onid.orst.edu; phuybers@fas.harvard.edu</t>
  </si>
  <si>
    <t>Huybers, Peter/0000-0002-3734-8145</t>
  </si>
  <si>
    <t>NATURE PORTFOLIO</t>
  </si>
  <si>
    <t>HEIDELBERGER PLATZ 3, BERLIN, 14197, GERMANY</t>
  </si>
  <si>
    <t>0028-0836</t>
  </si>
  <si>
    <t>1476-4687</t>
  </si>
  <si>
    <t>Nature</t>
  </si>
  <si>
    <t>DEC 17</t>
  </si>
  <si>
    <t>10.1038/462856a</t>
  </si>
  <si>
    <t>533AX</t>
  </si>
  <si>
    <t>WOS:000272795400025</t>
  </si>
  <si>
    <t>Clague, DA; Paduan, JB; Duncan, RA; Huard, JJ; Davis, AS; Castillo, PR; Lonsdale, P; DeVogelaere, A</t>
  </si>
  <si>
    <t>Clague, D. A.; Paduan, J. B.; Duncan, R. A.; Huard, J. J.; Davis, A. S.; Castillo, P. R.; Lonsdale, P.; DeVogelaere, A.</t>
  </si>
  <si>
    <t>Five million years of compositionally diverse, episodic volcanism: Construction of Davidson Seamount atop an abandoned spreading center</t>
  </si>
  <si>
    <t>GEOCHEMISTRY GEOPHYSICS GEOSYSTEMS</t>
  </si>
  <si>
    <t>seamount; submarine volcano; explosive volcanism; remotely operated vehicle</t>
  </si>
  <si>
    <t>ANTARCTIC-PHOENIX RIDGE; CENTRAL CALIFORNIA; CONTINENTAL-MARGIN; JASPER SEAMOUNT; PACIFIC-OCEAN; HAWAII; SOUTHERN; VOLATILES; PETROLOGY; BASALTS</t>
  </si>
  <si>
    <t>Davidson Seamount, a volcano located about 80 km off the central California coast, has a volume of similar to 320 km(3) and consists of a series of parallel ridges serrated with steep cones. Davidson was sampled and its morphology observed during 27 ROV Tiburon dives. During those dives, 286 samples of lava, volcaniclastite, and erratics from the continental margin were collected, with additional samples from one ROV-collected push core and four gravity cores. We report glass compositions for 99 samples and (40)Ar-(39)Ar incremental heating age data for 20 of the samples. The glass analyses are of hawaiite (62%), mugearite (13%), alkalic basalt (9%), and tephrite (8%), with minor transitional basalt (2%), benmoreite (2%), and trachyandesite (2%). The lithologies are irregularly distributed in space and time. The volcano erupted onto crust inferred to be 20 Ma from seafloor magnetic anomalies. Ages of the lavas range from 9.8 to 14.8 Ma. The oldest rocks are from the central ridge, and the youngest are from the flanks and southern end of the edifice. The compositions of the 18 reliably dated volcanic cones vary with age such that the oldest lavas are the most fractionated. The melts lost 65% to nearly 95% of their initial S because of bubble loss during vesiculation, and the shallowest samples have S contents similar to lava erupted subaerially in Hawaii. Despite this similarity in S contents, there is scant other evidence to suggest that Davidson was ever an island. The numerous small cones of disparate chemistry and the long eruptive period suggest episodic growth of the volcano over at least 5 Myr and perhaps as long as 10 Myr if it began to grow when the spreading ridge was abandoned.</t>
  </si>
  <si>
    <t>[Clague, D. A.; Paduan, J. B.; Davis, A. S.] Monterey Bay Aquarium Res Inst, Moss Landing, CA 95039 USA; [Duncan, R. A.; Huard, J. J.] Oregon State Univ, Coll Ocean &amp; Atmospher Sci, Corvallis, OR 97331 USA; [Castillo, P. R.; Lonsdale, P.] Univ Calif San Diego, Scripps Inst Oceanog, La Jolla, CA 92093 USA; [DeVogelaere, A.] NOAA, Monterey, CA 93940 USA</t>
  </si>
  <si>
    <t>Monterey Bay Aquarium Research Institute; Oregon State University; University of California System; University of California San Diego; Scripps Institution of Oceanography; National Oceanic Atmospheric Admin (NOAA) - USA</t>
  </si>
  <si>
    <t>Clague, DA (corresponding author), Monterey Bay Aquarium Res Inst, 7700 Sandholdt Rd, Moss Landing, CA 95039 USA.</t>
  </si>
  <si>
    <t>clague@mbari.org</t>
  </si>
  <si>
    <t>Duncan, Robert A/A-2168-2013</t>
  </si>
  <si>
    <t>Monterey Bay Aquarium Research Institute; NOAA's West Coast NURP Office; NOAA's MBNMS; Ocean Exploration Program</t>
  </si>
  <si>
    <t>We wish to thank the captain and crew of the R/V Western Flyer and the ROV Tiburon pilots. We also thank NOAA's Sanctuary Program, the BBC, and Tessa Hill for including our work during their dives to Davidson. Mike McCann assisted in reconstructing the navigation for the 2000 dives and dive T425. D.A.C., A.S.D., and J.B.P. were supported by the Monterey Bay Aquarium Research Institute through a grant from the David and Lucile Packard Foundation. P.C. and P.L. were supported by a grant from NOAA's West Coast NURP Office, and A.P.D. was supported by NOAA's MBNMS and grants from the Ocean Exploration Program.</t>
  </si>
  <si>
    <t>1525-2027</t>
  </si>
  <si>
    <t>GEOCHEM GEOPHY GEOSY</t>
  </si>
  <si>
    <t>Geochem. Geophys. Geosyst.</t>
  </si>
  <si>
    <t>DEC 16</t>
  </si>
  <si>
    <t>Q12009</t>
  </si>
  <si>
    <t>10.1029/2009GC002665</t>
  </si>
  <si>
    <t>535BF</t>
  </si>
  <si>
    <t>WOS:000272940900001</t>
  </si>
  <si>
    <t>Turner, J; Anderson, P; Lachlan-Cope, T; Colwell, S; Phillips, T; Kirchgaessner, A; Marshall, GJ; King, JC; Bracegirdle, T; Vaughan, DG; Lagun, V; Orr, A</t>
  </si>
  <si>
    <t>Turner, John; Anderson, Phil; Lachlan-Cope, Tom; Colwell, Steve; Phillips, Tony; Kirchgaessner, Amelie; Marshall, Gareth J.; King, John C.; Bracegirdle, Tom; Vaughan, David G.; Lagun, Victor; Orr, Andrew</t>
  </si>
  <si>
    <t>Record low surface air temperature at Vostok station, Antarctica</t>
  </si>
  <si>
    <t>REANALYSIS; VARIABILITY; CLIMATE; WINTER</t>
  </si>
  <si>
    <t>The lowest recorded air temperature at the surface of the Earth was a measurement of -89.2 degrees C made at Vostok station, Antarctica, at 0245 UT on 21 July 1983. Here we present the first detailed analysis of this event using meteorological reanalysis fields, in situ observations and satellite imagery. Surface temperatures at Vostok station in winter are highly variable on daily to interannual timescales as a result of the great sensitivity to intrusions of maritime air masses as Rossby wave activity changes around the continent. The record low temperature was measured following a near-linear cooling of over 30 K over a 10 day period from close to mean July temperatures. The event occurred because of five specific conditions that arose: (1) the temperature at the core of the midtropospheric vortex was at a near-record low value; (2) the center of the vortex moved close to the station; (3) an almost circular flow regime persisted around the station for a week resulting in very little warm air advection from lower latitudes; (4) surface wind speeds were low for the location; and (5) no cloud or diamond dust was reported above the station for a week, promoting the loss of heat to space via the emission of longwave radiation. We estimate that should a longer period of isolation occur the surface temperature at Vostok could drop to around -96 degrees C. The higher site of Dome Argus is typically 5-6 K colder than Vostok so has the potential to record an even lower temperature.</t>
  </si>
  <si>
    <t>[Turner, John; Anderson, Phil; Lachlan-Cope, Tom; Colwell, Steve; Phillips, Tony; Kirchgaessner, Amelie; Marshall, Gareth J.; King, John C.; Bracegirdle, Tom; Orr, Andrew] British Antarctic Survey, Climate Programme, Cambridge CB3 0E7, England; [Vaughan, David G.] British Antarctic Survey, Ice Sheets Program, Cambridge CB3 0E7, England; [Lagun, Victor] Arctic &amp; Antarctic Res Inst, St Petersburg 199397, Russia</t>
  </si>
  <si>
    <t>UK Research &amp; Innovation (UKRI); Natural Environment Research Council (NERC); NERC British Antarctic Survey; UK Research &amp; Innovation (UKRI); Natural Environment Research Council (NERC); NERC British Antarctic Survey; Arctic &amp; Antarctic Research Institute</t>
  </si>
  <si>
    <t>Turner, J (corresponding author), British Antarctic Survey, Climate Programme, High Cross,Madingley Rd, Cambridge CB3 0E7, England.</t>
  </si>
  <si>
    <t>jtu@bas.ac.uk</t>
  </si>
  <si>
    <t>Kirchgaessner, Amelie/JGL-9010-2023; Vaughan, David/C-8348-2011; Bracegirdle, Tom/AAD-6060-2020</t>
  </si>
  <si>
    <t>Kirchgaessner, Amelie/0000-0001-7483-3652; Turner, John/0000-0002-6111-5122; Vaughan, David/0000-0002-9065-0570; Bracegirdle, Thomas/0000-0002-8868-4739</t>
  </si>
  <si>
    <t>Natural Environment Research Council [bas0100023] Funding Source: researchfish; NERC [bas0100023] Funding Source: UKRI</t>
  </si>
  <si>
    <t>Natural Environment Research Council(UK Research &amp; Innovation (UKRI)Natural Environment Research Council (NERC)); NERC(UK Research &amp; Innovation (UKRI)Natural Environment Research Council (NERC))</t>
  </si>
  <si>
    <t>D24102</t>
  </si>
  <si>
    <t>10.1029/2009JD012104</t>
  </si>
  <si>
    <t>535CN</t>
  </si>
  <si>
    <t>Bronze, Green Accepted</t>
  </si>
  <si>
    <t>WOS:000272944300002</t>
  </si>
  <si>
    <t>Rogozov, V; Bermel, N</t>
  </si>
  <si>
    <t>Rogozov, Vladislav; Bermel, Neil</t>
  </si>
  <si>
    <t>Christmas 2009 Auto-appendectomy in the Antarctic: case report</t>
  </si>
  <si>
    <t>BRITISH MEDICAL JOURNAL</t>
  </si>
  <si>
    <t>[Rogozov, Vladislav] Sheffield Teaching Hosp, Dept Anaesthet, Sheffield S10 2JF, S Yorkshire, England; [Rogozov, Vladislav] Inst Clin &amp; Expt Med, Cardiac Ctr, Dept Anaesthesiol &amp; Resuscitat, Prague 14021, Czech Republic; [Bermel, Neil] Univ Sheffield, Dept Russian &amp; Slavon Studies, Sheffield S3 7RA, S Yorkshire, England</t>
  </si>
  <si>
    <t>University of Sheffield; Institute for Clinical &amp; Experimental Medicine (IKEM); University of Sheffield</t>
  </si>
  <si>
    <t>Rogozov, V (corresponding author), Sheffield Teaching Hosp, Dept Anaesthet, Sheffield S10 2JF, S Yorkshire, England.</t>
  </si>
  <si>
    <t>v.rogozov@sheffield.ac.uk</t>
  </si>
  <si>
    <t>Rogozov, Vladislav/HNI-9012-2023</t>
  </si>
  <si>
    <t>Rogozov, Vladislav/0009-0007-7232-1320</t>
  </si>
  <si>
    <t>B M J PUBLISHING GROUP</t>
  </si>
  <si>
    <t>BRITISH MED ASSOC HOUSE, TAVISTOCK SQUARE, LONDON WC1H 9JR, ENGLAND</t>
  </si>
  <si>
    <t>0959-535X</t>
  </si>
  <si>
    <t>BRIT MED J</t>
  </si>
  <si>
    <t>Br. Med. J.</t>
  </si>
  <si>
    <t>DEC 15</t>
  </si>
  <si>
    <t>b4965</t>
  </si>
  <si>
    <t>10.1136/bmj.b4965</t>
  </si>
  <si>
    <t>Medicine, General &amp; Internal</t>
  </si>
  <si>
    <t>General &amp; Internal Medicine</t>
  </si>
  <si>
    <t>534XG</t>
  </si>
  <si>
    <t>WOS:000272930200002</t>
  </si>
  <si>
    <t>Liwanag, HEM; Williams, TM; Costa, DP; Kanatous, SB; Davis, RW; Boyd, IL</t>
  </si>
  <si>
    <t>Liwanag, H. E. M.; Williams, T. M.; Costa, D. P.; Kanatous, S. B.; Davis, R. W.; Boyd, I. L.</t>
  </si>
  <si>
    <t>The effects of water temperature on the energetic costs of juvenile and adult California sea lions (Zalophus californianus): the importance of skeletal muscle thermogenesis for thermal balance</t>
  </si>
  <si>
    <t>JOURNAL OF EXPERIMENTAL BIOLOGY</t>
  </si>
  <si>
    <t>thermal neutral zone; lower critical temperature; California sea lion; thermal substitution; swimming energetics</t>
  </si>
  <si>
    <t>OTTER ENHYDRA-LUTRIS; ANTARCTIC FUR SEALS; NORTH-AMERICAN MINK; MARINE MAMMALS; OXYGEN-CONSUMPTION; METABOLIC-RATE; HEAT-EXCHANGE; THERMOREGULATION; PUPS; CAPABILITIES</t>
  </si>
  <si>
    <t>As highly mobile marine predators, many pinniped species routinely encounter a wide range of water temperatures during foraging and in association with seasonal, geographical and climatic changes. To determine how such variation in environmental temperature may impact energetic costs in otariids, we determined the thermal neutral zone of adult and juvenile California sea lions (Zalophus californianus) by measuring resting metabolic rate using open-flow respirometry. Five adult female (body mass range. 82.2-107.2 kg) and four juvenile (body mass. 26.2-36.5 kg) sea lions were examined over experimental water temperatures ranging from 0 to 20 degrees C (adults) or 5 to 20 degrees C (juveniles). The metabolic rate of adult sea lions averaged 6.4 +/- 0.64 ml O(2) kg(-1) min(-1) when resting within the thermal neutral zone. The lower critical temperature of adults was 6.4 +/- 2.2 degrees C, approximately 4 degrees C lower than sea surface temperatures routinely encountered off coastal California. In comparison, juvenile sea lions did not demonstrate thermal neutrality within the range of water temperatures examined. Resting metabolic rate of the younger animals, 6.3 +/- 0.53 ml O(2) kg(-1) min(-1), increased as water temperature approached 12 degrees C, and suggested a potential thermal limitation in the wild. To determine whether muscle thermogenesis during activity could mitigate this limitation, we measured the active metabolic rate of juveniles swimming at water temperature (T(water))=5, 12 and 20 degrees C. No significant difference (F=0.377, P=0.583) in swimming metabolic rate was found among water temperatures, suggesting that thermal disadvantages due to small body size in juvenile sea lions may be circumvented by recycling endogenous heat during locomotor activity.</t>
  </si>
  <si>
    <t>[Liwanag, H. E. M.; Williams, T. M.; Costa, D. P.] Univ Calif Santa Cruz, Dept Ecol &amp; Evolutionary Biol, Santa Cruz, CA 95060 USA; [Kanatous, S. B.] Colorado State Univ, Dept Biol, Ft Collins, CO 80523 USA; [Davis, R. W.] Texas A&amp;M Univ, Dept Marine Biol, Galveston, TX 77551 USA; [Boyd, I. L.] Univ St Andrews, Sea Mammal Res Unit, St Andrews KY16 9AJ, Fife, Scotland</t>
  </si>
  <si>
    <t>University of California System; University of California Santa Cruz; Colorado State University; Texas A&amp;M University System; University of St Andrews</t>
  </si>
  <si>
    <t>Liwanag, HEM (corresponding author), Univ Calif San Diego, 9500 Gilman Dr,MC 0370, La Jolla, CA 92093 USA.</t>
  </si>
  <si>
    <t>hliwanag@ucsd.edu</t>
  </si>
  <si>
    <t>Carlos, Universidade Federal de São/W-8832-2019; Costa, Daniel Paul/E-2616-2013</t>
  </si>
  <si>
    <t>Carlos, Universidade Federal de São/0000-0002-0334-3899; Liwanag, Heather/0000-0003-3250-2542; Costa, Daniel Paul/0000-0002-0233-5782</t>
  </si>
  <si>
    <t>Brookfield Zoo (Brookfield, IL, USA); Sea World (San Diego, CA, USA); Alaska SeaLife Center; Friends of Long Marine Laboratory; Earl H. Meyers and Ethel M. Meyers Oceanographic and Marine Biology Trust; American Cetacean Society of Monterey Bay; American Museum of Natural History Lerner-Gray Fund; SEASPACE; Natural Environment Research Council [smru10001] Funding Source: researchfish</t>
  </si>
  <si>
    <t>Brookfield Zoo (Brookfield, IL, USA); Sea World (San Diego, CA, USA); Alaska SeaLife Center; Friends of Long Marine Laboratory; Earl H. Meyers and Ethel M. Meyers Oceanographic and Marine Biology Trust; American Cetacean Society of Monterey Bay; American Museum of Natural History Lerner-Gray Fund; SEASPACE; Natural Environment Research Council(UK Research &amp; Innovation (UKRI)Natural Environment Research Council (NERC))</t>
  </si>
  <si>
    <t>The authors wish to thank the Brookfield Zoo (Brookfield, IL, USA) and Sea World (San Diego, CA, USA) for the use of their sea lions, as well as support of the research. We thank B. Long, T. Kendall, J. Gafney, and the volunteers of UCSC Long Marine Laboratory for training and animal care assistance. In addition, we thank S. Guest, K. Johnson, M. Rutishauser and S. Seganti for laboratory assistance, as well as C. Kuhn, members of the Costa and Williams labs at UCSC, D. A. Pabst and one anonymous reviewer for their thoughtful feedback on the manuscript. This study was funded by the Alaska SeaLife Center, the Friends of Long Marine Laboratory, the Earl H. Meyers and Ethel M. Meyers Oceanographic and Marine Biology Trust, the American Cetacean Society of Monterey Bay, the American Museum of Natural History Lerner-Gray Fund, and SEASPACE. All animal care and use protocols were evaluated and approved by the University of California Institutional Animal Care and Use Committee. Captive animal work was conducted under NMFS Scientific Research Permit 984-1587 to Terrie Williams.</t>
  </si>
  <si>
    <t>COMPANY OF BIOLOGISTS LTD</t>
  </si>
  <si>
    <t>CAMBRIDGE</t>
  </si>
  <si>
    <t>BIDDER BUILDING CAMBRIDGE COMMERCIAL PARK COWLEY RD, CAMBRIDGE CB4 4DL, CAMBS, ENGLAND</t>
  </si>
  <si>
    <t>0022-0949</t>
  </si>
  <si>
    <t>J EXP BIOL</t>
  </si>
  <si>
    <t>J. Exp. Biol.</t>
  </si>
  <si>
    <t>10.1242/jeb.033282</t>
  </si>
  <si>
    <t>Biology</t>
  </si>
  <si>
    <t>Life Sciences &amp; Biomedicine - Other Topics</t>
  </si>
  <si>
    <t>524PZ</t>
  </si>
  <si>
    <t>Green Submitted, Bronze</t>
  </si>
  <si>
    <t>WOS:000272156500010</t>
  </si>
  <si>
    <t>Olsen, SA; Ervik, A; Grahl-Nielsen, O</t>
  </si>
  <si>
    <t>Olsen, Siri Aaserud; Ervik, Arne; Grahl-Nielsen, Otto</t>
  </si>
  <si>
    <t>Deep-water shrimp (Pandalus borealis, Kroyer 1838) as indicator organism for fish-farm waste</t>
  </si>
  <si>
    <t>JOURNAL OF EXPERIMENTAL MARINE BIOLOGY AND ECOLOGY</t>
  </si>
  <si>
    <t>Fatty acid composition; Feeding experiment; Fish-farm waste; Lipid biomarker; Pandalus borealis; Tracers</t>
  </si>
  <si>
    <t>FATTY-ACID-COMPOSITION; SALMON SALMO-SALAR; DIET-INDUCED CHANGES; OIL FINISHING DIET; MARINE FISH; LIPID BIOMARKERS; EUPHAUSIA-SUPERBA; HOLDING CAPACITY; NORTHERN SHRIMP; ANTARCTIC KRILL</t>
  </si>
  <si>
    <t>A feeding experiment was carried out with deep-water shrimp (Pandalus borealis), a common benthic inhabitant of Norwegian fjords. Shrimp were reared in tanks for three months, fed either salmon feed or cod, and the fatty acid profile of their muscle tissue was monitored. The salmon feed pellets and cod had completely different fatty acid compositions, with significant differences in most of the analysed fatty acids, eight of them, 14:0, iso 16:0, 16:1n7. 16:2n11, 18:3n3, 20:0, 22:0 and 22:1n11, differing between the two diets by a factor of 10 or more. The levels of the fatty acids in the diets differed also substantially from the levels in the shrimp tissue at the start of the experiment. The shrimp were fed ad libitum and both groups increased significantly in total fatty acid content in the course of the experiment. Nevertheless, the fatty acids made up no more than 6.5 mg g(-1) muscle tissue, with 88 +/- 1% of them bound in polar, membrane lipids. Their composition in the tissue did also change to a certain extent, but the resulting tissue composition did not reflect the fatty acid composition of the diets. Only two fatty acids, 18:2n6 and 18:3n3, clearly followed the dietary level. They are abundant in commercial salmon feed since they are rich in plant oils used as additives to the commercial feed. Determination of fatty acid levels in shrimp tissue may enable shrimp to be used as indicator organisms for the influence of organic fish-farm waste on the food web in adjacent areas. (C) 2009 Elsevier B.V. All rights reserved.</t>
  </si>
  <si>
    <t>[Grahl-Nielsen, Otto] Univ Bergen, Dept Chem, N-5007 Bergen, Norway; [Olsen, Siri Aaserud; Ervik, Arne] Inst Marine Res, N-5817 Bergen, Norway</t>
  </si>
  <si>
    <t>University of Bergen; Institute of Marine Research - Norway</t>
  </si>
  <si>
    <t>Grahl-Nielsen, O (corresponding author), Univ Bergen, Dept Chem, N-5007 Bergen, Norway.</t>
  </si>
  <si>
    <t>Otto.Grahl-Nielsen@kj.uib.no</t>
  </si>
  <si>
    <t>Institute of Marine Research</t>
  </si>
  <si>
    <t>We thank H. Rudra, Institute of Marine Research, for guidance and technical support during the feeding experiment and A. K. Halvorsen, Department of Chemistry, University of Bergen, for pleasant guidance and skilful technical assistance during the laboratory work. The Institute of Marine Research funded this project. [SS]</t>
  </si>
  <si>
    <t>0022-0981</t>
  </si>
  <si>
    <t>1879-1697</t>
  </si>
  <si>
    <t>J EXP MAR BIOL ECOL</t>
  </si>
  <si>
    <t>J. Exp. Mar. Biol. Ecol.</t>
  </si>
  <si>
    <t>10.1016/j.jembe.2009.09.019</t>
  </si>
  <si>
    <t>Ecology; Marine &amp; Freshwater Biology</t>
  </si>
  <si>
    <t>Environmental Sciences &amp; Ecology; Marine &amp; Freshwater Biology</t>
  </si>
  <si>
    <t>526BW</t>
  </si>
  <si>
    <t>WOS:000272263500003</t>
  </si>
  <si>
    <t>Keigwin, LD; Guilderson, TP</t>
  </si>
  <si>
    <t>Keigwin, L. D.; Guilderson, T. P.</t>
  </si>
  <si>
    <t>Bioturbation artifacts in zero-age sediments</t>
  </si>
  <si>
    <t>NORTH-ATLANTIC; BANDED CORALS; ICE-AGE; RADIOCARBON; OCEAN; SEA; SCALE; C-14</t>
  </si>
  <si>
    <t>Most seafloor sediments are dated with radiocarbon, and the sediment is assumed to be zero-age (modern) when the signal of atmospheric testing of nuclear weapons is present (Fraction modern (Fm) &gt; 1). Using a simple mass balance, we show that even with Fm &gt; 1, half of the planktonic foraminifera at the seafloor can be centuries old, because of bioturbation. This calculation, and data from four core sites in the western North Atlantic indicate that, first, during some part of the Little Ice Age (LIA) there may have been more Antarctic Bottom Water than today in the deep western North Atlantic. Alternatively, bioturbation may have introduced much older benthic foraminifera into surface sediments. Second, paleo-based warming of Sargasso Sea surface waters since the LIA must lag the actual warming because of bioturbation of older and colder foraminifera.</t>
  </si>
  <si>
    <t>[Keigwin, L. D.] Woods Hole Oceanog Inst, Mclean Lab, Dept Geol &amp; Geophys, Woods Hole, MA 02543 USA; [Guilderson, T. P.] Lawrence Livermore Natl Lab, Livermore, CA 94550 USA; [Guilderson, T. P.] Univ Calif Santa Cruz, Dept Ocean Sci, Santa Cruz, CA 95064 USA; [Guilderson, T. P.] Univ Calif Santa Cruz, Inst Marine Sci, Santa Cruz, CA 95064 USA</t>
  </si>
  <si>
    <t>Woods Hole Oceanographic Institution; United States Department of Energy (DOE); Lawrence Livermore National Laboratory; University of California System; University of California Santa Cruz; University of California System; University of California Santa Cruz</t>
  </si>
  <si>
    <t>Keigwin, LD (corresponding author), Woods Hole Oceanog Inst, Mclean Lab, Dept Geol &amp; Geophys, MS 8,360 Woods Hole Rd, Woods Hole, MA 02543 USA.</t>
  </si>
  <si>
    <t>lkeigwin@whoi.edu</t>
  </si>
  <si>
    <t>Guilderson, Thomas/0000-0001-9371-7059</t>
  </si>
  <si>
    <t>Gary Comer Foundation; NSF [0214144]; Division Of Ocean Sciences; Directorate For Geosciences [0214144] Funding Source: National Science Foundation</t>
  </si>
  <si>
    <t>Gary Comer Foundation; NSF(National Science Foundation (NSF)); Division Of Ocean Sciences; Directorate For Geosciences(National Science Foundation (NSF)NSF - Directorate for Geosciences (GEO))</t>
  </si>
  <si>
    <t>We thank Olivier Marchal, Steve Barker, and an anonymous reviewer for comments on the manuscript, and helpful discussions with W. Jenkins and A. McNichol. R. Healy prepared Figure 3. This work was funded in part by the Gary Comer Foundation and by NSF grant 0214144. A portion of this work was performed under the auspices of the U. S. Department of Energy by Lawrence Livermore National Laboratory under Contract DE-AC52-07NA27344.</t>
  </si>
  <si>
    <t>PA4212</t>
  </si>
  <si>
    <t>10.1029/2008PA001727</t>
  </si>
  <si>
    <t>535DQ</t>
  </si>
  <si>
    <t>WOS:000272947400002</t>
  </si>
  <si>
    <t>Lacroix, P; Legresy, B; Remy, F; Blarel, F; Picard, G; Brucker, L</t>
  </si>
  <si>
    <t>Lacroix, P.; Legresy, B.; Remy, F.; Blarel, F.; Picard, G.; Brucker, L.</t>
  </si>
  <si>
    <t>Rapid change of snow surface properties at Vostok, East Antarctica, revealed by altimetry and radiometry</t>
  </si>
  <si>
    <t>REMOTE SENSING OF ENVIRONMENT</t>
  </si>
  <si>
    <t>Ice-sheets; Microwave; Altimetry; Radiometry; Snow surface properties; Mass-balance</t>
  </si>
  <si>
    <t>TEMPORAL VARIABILITY; ISOTOPE COMPOSITION; ICE SHEETS; GREENLAND; ENVISAT; ACCUMULATION; TOPOGRAPHY; STATION; GROWTH</t>
  </si>
  <si>
    <t>We present results of snow surface properties using the EWSAT dual frequency altimeter at S (3.2 GHz) and Ku (13.6 GHz) bands and the AMSR-E microwave radiometer at frequencies ranging between 6 and 36 GHz in the Vostok region, East Antarctica. The altimetric time series observed between 2002 and 2008 show variations at 3 different time scales (daily, seasonal and inter-annual), that correlate directly with variations in the snow surface properties. In this study we focus on the analysis of the rapid daily event, occurring on February 14th 2005, that created a jump of the backscatter coefficient of up to 5.3 dB at the S band and 2.5 dB at the Ku band. The ratio of V/H-polarization brightness temperature slowly decreased in December and January 2005, and suddenly increased on February 14th 2005. The origin of this rapid event is investigated using AWS data from Vostok station, altimetric and radiometric data simultaneously. Both snow surface density and roughness are found to vary during this event. This event is shown to be synchronous with strong wind occuring during a period of anomalous wind direction, and the presence of surface hoar. These particular conditions certainly modified the snow surface roughness and thus impacted the altimetric signal. We finally investigate the impact of this event on the calculation of the regional ice-sheet mass-balance using different corrections of height with echo shape variations. It is shown to be negligible only if the full echo shape correction (Legresy et al., 2006) is used. (C) 2009 Elsevier Inc. All rights reserved.</t>
  </si>
  <si>
    <t>[Lacroix, P.; Legresy, B.; Remy, F.; Blarel, F.] Lab Etud Geophys &amp; Oceanog Spatiale, F-31400 Toulouse, France; [Lacroix, P.] Lab Geophys Interne &amp; Tectonophys, F-38400 St Martin Dheres, France; [Picard, G.; Brucker, L.] Lab Glaciol &amp; Geophys Environm, F-38400 St Martin Dheres, France</t>
  </si>
  <si>
    <t>Universite de Toulouse; Universite Toulouse III - Paul Sabatier; Centre National de la Recherche Scientifique (CNRS); Institut de Recherche pour le Developpement (IRD); Laboratoire d'Etudes en Geophysique et oceanographie spatiales</t>
  </si>
  <si>
    <t>Lacroix, P (corresponding author), Lab Etud Geophys &amp; Oceanog Spatiale, 14 Av Edouard Belin, F-31400 Toulouse, France.</t>
  </si>
  <si>
    <t>lacroixp@ujf-grenoble.fr</t>
  </si>
  <si>
    <t>Picard, Ghislain/D-4246-2013; Brucker, Ludovic/L-5412-2019; Brucker, Ludovic/ACJ-3763-2022; Lacroix, Pascal/A-4205-2010; Brucker, Ludovic/A-8029-2010; legresy, benoit/K-6673-2018</t>
  </si>
  <si>
    <t>Picard, Ghislain/0000-0003-1475-5853; Brucker, Ludovic/0000-0001-7102-8084; Blarel, Fabien/0000-0002-4744-0471; legresy, benoit/0000-0002-1909-1630; Lacroix, Pascal/0000-0003-1282-9572</t>
  </si>
  <si>
    <t>Bernard Pirletta</t>
  </si>
  <si>
    <t>The authors would like to thank Richard Coleman for commenting the text and correcting the English. Constructive comments from 3 anonymous reviewers led also to major improvements in our manuscript. Weather data have been kindly provided by the Arctic and Antarctic Research Institute (AARI). Bernard Pirletta is acknowledged for his support.</t>
  </si>
  <si>
    <t>ELSEVIER SCIENCE INC</t>
  </si>
  <si>
    <t>NEW YORK</t>
  </si>
  <si>
    <t>STE 800, 230 PARK AVE, NEW YORK, NY 10169 USA</t>
  </si>
  <si>
    <t>0034-4257</t>
  </si>
  <si>
    <t>1879-0704</t>
  </si>
  <si>
    <t>REMOTE SENS ENVIRON</t>
  </si>
  <si>
    <t>Remote Sens. Environ.</t>
  </si>
  <si>
    <t>10.1016/j.rse.2009.07.019</t>
  </si>
  <si>
    <t>Environmental Sciences; Remote Sensing; Imaging Science &amp; Photographic Technology</t>
  </si>
  <si>
    <t>Environmental Sciences &amp; Ecology; Remote Sensing; Imaging Science &amp; Photographic Technology</t>
  </si>
  <si>
    <t>519MS</t>
  </si>
  <si>
    <t>WOS:000271771300008</t>
  </si>
  <si>
    <t>Massolo, S; Rivaro, P; Frache, R</t>
  </si>
  <si>
    <t>Massolo, Serena; Rivaro, Paola; Frache, Roberto</t>
  </si>
  <si>
    <t>Simultaneous determination of CFC-11, CFC-12 and CFC-113 in seawater samples using a purge and trap gas-chromatographic system</t>
  </si>
  <si>
    <t>TALANTA</t>
  </si>
  <si>
    <t>Chlorofluorocarbons; Gas-chromatography; Purge and trap technique; Seawater analysis; Environmental analysis</t>
  </si>
  <si>
    <t>ANTHROPOGENIC CARBON; SULFUR-HEXAFLUORIDE; WATER; CHLOROFLUOROCARBON-11; DISTRIBUTIONS; CIRCULATION; VENTILATION; TRACERS; CCL2F2; RATES</t>
  </si>
  <si>
    <t>We have optimized the analytical parameters of a homemade instrument for the simultaneous measurement of the chlorofluorocarbons CCl2F2 (CFC-12), CCl3F(CFC-11) and C2Cl3F3 (CFC-113) in seawater. Seawater samples are flame seated into 60 ml glass ampoules avoiding any contact with the atmosphere and stored in cold, dark condition until analysis. In the laboratory, after cracking the ampoule in an enclosed chamber filled with ultra-pure nitrogen, the seawater sample is transferred to a stripping chamber,where ultra-pure nitrogen is used to purge the dissolved CFCs from the seawater. The extracted gases are then cryogenically trapped, subsequently the trap is isolated and heated and the CFCs are transferred by a carrier gas stream into a precolumn and then are separated on a gaschromatographic packed column. To separate adequately CFC-12 from N2O. during the early part of the chromatographic run, the gas stream passes through a molecular sieve, which is then isolated and backflushed. The CFCs are detected on an electron capture detector (Ni-63 ECD). After a careful choice of the experimental conditions, the performances of the system were evaluated. The detection limits for seawater samples are: 0.0081 pmol kg(-1) for CFC-12, 0.0073 pmol kg(-1) for CFC-11 and 0.0043 pmol kg(-1) for CFC-113. The reproducibility of replicate samples lies within 5% for the three CFCs. The system has been successfully employed for CFC measurements in seawater samples collected in the Ross Sea (Antarctica) in the framework of the Italian Antarctic research project. (C) 2009 Elsevier B.V. All rights reserved.</t>
  </si>
  <si>
    <t>[Massolo, Serena; Rivaro, Paola; Frache, Roberto] Univ Genoa, Dept Chem &amp; Ind Chem, I-16146 Genoa, Italy</t>
  </si>
  <si>
    <t>University of Genoa</t>
  </si>
  <si>
    <t>Massolo, S (corresponding author), Univ Genoa, Dept Chem &amp; Ind Chem, Via Dodecaneso 31, I-16146 Genoa, Italy.</t>
  </si>
  <si>
    <t>massolo@chimica.unige.it; rivaro@chimica.unige.it; frache@chimica.unige.it</t>
  </si>
  <si>
    <t>Rivaro, Paola/I-8305-2012</t>
  </si>
  <si>
    <t>ENEA</t>
  </si>
  <si>
    <t>ENEA(ENEA, Italy)</t>
  </si>
  <si>
    <t>This study was performed as part of the Italian National Program for Research in Antarctica (PNRA) and was financially supported by ENEA through a joint research programme.</t>
  </si>
  <si>
    <t>0039-9140</t>
  </si>
  <si>
    <t>1873-3573</t>
  </si>
  <si>
    <t>Talanta</t>
  </si>
  <si>
    <t>10.1016/j.talanta.2009.08.021</t>
  </si>
  <si>
    <t>Chemistry, Analytical</t>
  </si>
  <si>
    <t>Chemistry</t>
  </si>
  <si>
    <t>518OI</t>
  </si>
  <si>
    <t>WOS:000271701900083</t>
  </si>
  <si>
    <t>Venables, HJ; Meredith, MP</t>
  </si>
  <si>
    <t>Venables, Hugh J.; Meredith, Michael P.</t>
  </si>
  <si>
    <t>Theory and observations of Ekman flux in the chlorophyll distribution downstream of South Georgia</t>
  </si>
  <si>
    <t>GEOPHYSICAL RESEARCH LETTERS</t>
  </si>
  <si>
    <t>NATURAL IRON FERTILIZATION; PHYTOPLANKTON BLOOM; HIGH-NUTRIENT; OCEAN; CURRENTS; PLATEAU</t>
  </si>
  <si>
    <t>A large phytoplankton bloom occurs downstream of South Georgia, an island on the northern edge of the Scotia Sea, Atlantic sector of the Southern Ocean. This is due to natural iron fertilisation being advected downstream in the Antarctic Circumpolar Current. Mapping of SeaWiFS chl-a in dynamic height/longitude space reveals the trajectory of surface water under the dual influences of geostrophic flow and Ekman flux. A theoretical estimate of the trajectory shows good agreement with observations. The trajectory is dependent on the wind stress: mixed layer depth ratio, but independent of the latitudinal separation of dynamic height contours. The chl-a distribution suggests that iron reaches 20 degrees W below the mixed layer, away from the effects of Ekman flux, but beyond the iron is confined to the surface layer. Chl-a reduces monotonically east of South Georgia with the signal detectable to 15 degrees E, over 3500 km downstream, indicating the basin-scale biogeochemical influence of the iron supply. Citation: Venables, H.J., and M. P. Meredith (2009), Theory and observations of Ekman flux in the chlorophyll distribution downstream of South Georgia, Geophys. Res. Lett., 36, L23610, doi: 10.1029/2009GL041371.</t>
  </si>
  <si>
    <t>[Venables, Hugh J.; Meredith, Michael P.] British Antarctic Survey, Cambridge CB3 0ET, England</t>
  </si>
  <si>
    <t>UK Research &amp; Innovation (UKRI); Natural Environment Research Council (NERC); NERC British Antarctic Survey</t>
  </si>
  <si>
    <t>Venables, HJ (corresponding author), British Antarctic Survey, Madingley Rd, Cambridge CB3 0ET, England.</t>
  </si>
  <si>
    <t>hjv@bas.ac.uk</t>
  </si>
  <si>
    <t>Meredith, Michael/0000-0002-7342-7756</t>
  </si>
  <si>
    <t>NERC [bas0100028] Funding Source: UKRI; Natural Environment Research Council [bas0100028] Funding Source: researchfish</t>
  </si>
  <si>
    <t>NERC(UK Research &amp; Innovation (UKRI)Natural Environment Research Council (NERC)); Natural Environment Research Council(UK Research &amp; Innovation (UKRI)Natural Environment Research Council (NERC))</t>
  </si>
  <si>
    <t>0094-8276</t>
  </si>
  <si>
    <t>1944-8007</t>
  </si>
  <si>
    <t>GEOPHYS RES LETT</t>
  </si>
  <si>
    <t>Geophys. Res. Lett.</t>
  </si>
  <si>
    <t>DEC 12</t>
  </si>
  <si>
    <t>L23610</t>
  </si>
  <si>
    <t>10.1029/2009GL041371</t>
  </si>
  <si>
    <t>532AB</t>
  </si>
  <si>
    <t>WOS:000272714100005</t>
  </si>
  <si>
    <t>Wang, YT; Hou, SG</t>
  </si>
  <si>
    <t>Wang, Yetang; Hou, Shugui</t>
  </si>
  <si>
    <t>A new interpolation method for Antarctic surface temperature</t>
  </si>
  <si>
    <t>PROGRESS IN NATURAL SCIENCE-MATERIALS INTERNATIONAL</t>
  </si>
  <si>
    <t>Surface temperature; DEM; Antarctica</t>
  </si>
  <si>
    <t>MASS-BALANCE; ICE CORE; DOME; PRECIPITATION; GREENLAND</t>
  </si>
  <si>
    <t>We propose a new methodology for the spatial interpolation of annual mean temperature into a regular grid with a geographic resolution of 0.01 degrees for Antarctica by applying a recent compilation of the Antarctic temperature data. A multiple linear regression model of the dependence of temperature on some geographic parameters (i.e., latitude, longitude, and elevation) is proposed empirically, and the kriging method is used to determine the spatial distribution of regional and local deviations from the temperature calculated from the multiple linear regression model. The modeled value and residual grids are combined to derive a high-resolution map of surface air temperature. The performance of our new methodology is superior to a variety of benchmark methods (e.g., inverse distance weighting, kriging, and spline methods) via cross-validation techniques. Our simulation resembles well with those distinct spatial features of surface temperature, such as the decrease in annual mean surface temperature with increasing latitude and the distance away from the coast line; and it also reveals the complex topographic effects on the spatial distribution of surface temperature. (C) 2009 National Natural Science Foundation of China and Chinese Academy of Sciences. Published by Elsevier Limited and Science in China Press. All rights reserved.</t>
  </si>
  <si>
    <t>[Wang, Yetang; Hou, Shugui] Chinese Acad Sci, Cold &amp; Arid Reg Environm &amp; Engn Res Inst, State Key Lab Cryospher Sci, Lanzhou 73000, Peoples R China; [Wang, Yetang] Monitoring Ctr Ocean Environm Shandong Prov, Yantai 264006, Peoples R China; [Hou, Shugui] Nanjing Univ, Sch Geog &amp; Oceanog Sci, Key Lab Coast &amp; Isl Dev, MOE, Nanjing 210093, Peoples R China</t>
  </si>
  <si>
    <t>Chinese Academy of Sciences; Cold &amp; Arid Regions Environmental &amp; Engineering Research Institute, CAS; Nanjing University</t>
  </si>
  <si>
    <t>Hou, SG (corresponding author), Chinese Acad Sci, Cold &amp; Arid Reg Environm &amp; Engn Res Inst, State Key Lab Cryospher Sci, Lanzhou 73000, Peoples R China.</t>
  </si>
  <si>
    <t>shugui@lzb.ac.cn</t>
  </si>
  <si>
    <t>Hou, Shugui/J-3651-2015</t>
  </si>
  <si>
    <t>Hou, Shugui/0000-0002-0905-3542</t>
  </si>
  <si>
    <t>National Key Technology R D Program [2006BAB18B01]; National Natural Science Foundation of China [40825017, SKLCS-ZZ0-2008-06]; 100 Talents Project of the Chinese Academy of Sciences</t>
  </si>
  <si>
    <t>National Key Technology R D Program(National Key Technology R&amp;D Program); National Natural Science Foundation of China(National Natural Science Foundation of China (NSFC)); 100 Talents Project of the Chinese Academy of Sciences(Chinese Academy of Sciences)</t>
  </si>
  <si>
    <t>This work was supported by the National Key Technology R &amp; D Program (2006BAB18B01), the National Natural Science Foundation of China (40825017), SKLCS-ZZ0-2008-06, and the 100 Talents Project of the Chinese Academy of Sciences.</t>
  </si>
  <si>
    <t>1002-0071</t>
  </si>
  <si>
    <t>1745-5391</t>
  </si>
  <si>
    <t>PROG NAT SCI-MATER</t>
  </si>
  <si>
    <t>Prog. Nat. Sci.</t>
  </si>
  <si>
    <t>DEC 10</t>
  </si>
  <si>
    <t>10.1016/j.pnsc.2009.07.012</t>
  </si>
  <si>
    <t>Materials Science, Multidisciplinary; Multidisciplinary Sciences</t>
  </si>
  <si>
    <t>Materials Science; Science &amp; Technology - Other Topics</t>
  </si>
  <si>
    <t>521EG</t>
  </si>
  <si>
    <t>hybrid</t>
  </si>
  <si>
    <t>WOS:000271902400023</t>
  </si>
  <si>
    <t>Muench, RD; Wåhlin, AK; Özgökmen, TM; Hallberg, R; Padman, L</t>
  </si>
  <si>
    <t>Muench, R. D.; Wahlin, A. K.; Oezgoekmen, T. M.; Hallberg, R.; Padman, L.</t>
  </si>
  <si>
    <t>Impacts of bottom corrugations on a dense Antarctic outflow: NW Ross Sea</t>
  </si>
  <si>
    <t>SUBMARINE CANYONS; OVERFLOWS; WATER; ENTRAINMENT; CURRENTS; RIDGES; MODELS; SHELF</t>
  </si>
  <si>
    <t>Prominent seabed corrugations, axially oriented roughly down-slope, are present along the Antarctic continental slope. We use analytical and numerical model results to assess the potential impact of these corrugations on outflows of dense shelf water that contribute to Antarctic Bottom Water. Down-slope flow increases with increasing corrugation height and varies with along-slope wavelength. For parameters appropriate to the northwest Ross Sea, where heights and wavelengths are similar to 10-20 m and similar to 1.5 km, respectively, we estimate that the corrugations increase the down-slope transport of dense water, relative to the smooth bottom case, by similar to 13%. Corrugations enhance entrainment and reduce along-slope speed of the dense outflow. Larger amplitude corrugations (similar to 100 m) observed in other regions may impact outflows elsewhere around the poorly mapped Antarctic continental margin. Our results emphasize the need to consider small-scale local topography when modeling dense outflows. Citation: Muench, R. D., A. K. Wahlin, T. M. Ozgokmen, R. Hallberg, and L. Padman (2009), Impacts of bottom corrugations on a dense Antarctic outflow: NW Ross Sea, Geophys. Res. Lett., 36, L23607, doi: 10.1029/2009GL041347.</t>
  </si>
  <si>
    <t>[Muench, R. D.] Earth &amp; Space Res, Seattle, WA 98125 USA; [Hallberg, R.] NOAA, Geophys Fluid Dynam Lab, Princeton, NJ 08542 USA; [Oezgoekmen, T. M.] Univ Miami, Rosenstiel Sch Marine &amp; Atmospher Sci, Miami, FL USA; [Padman, L.] Earth &amp; Space Res, Corvallis, OR 97333 USA; [Wahlin, A. K.] Univ Gothenburg, Dept Earth Sci, SE-40530 Gothenburg, Sweden</t>
  </si>
  <si>
    <t>National Oceanic Atmospheric Admin (NOAA) - USA; University of Miami; University of Gothenburg</t>
  </si>
  <si>
    <t>Muench, RD (corresponding author), Earth &amp; Space Res, 10533 Ravenna Ave NE, Seattle, WA 98125 USA.</t>
  </si>
  <si>
    <t>rmuench@esr.org</t>
  </si>
  <si>
    <t>Padman, Laurence/AAH-3808-2021; Wåhlin, Anna/U-3790-2017</t>
  </si>
  <si>
    <t>Wåhlin, Anna/0000-0003-1799-6476; Padman, Laurence/0000-0003-2010-642X</t>
  </si>
  <si>
    <t>NSF [OPP-01256023, ANT-0440656, OCE 0611579]; ONR [N00014-03-1-0067, N00014-08-1-0548]; Swedish Research Council; Directorate For Geosciences; Division Of Ocean Sciences [0961369] Funding Source: National Science Foundation</t>
  </si>
  <si>
    <t>NSF(National Science Foundation (NSF)); ONR(Office of Naval Research); Swedish Research Council(Swedish Research Council); Directorate For Geosciences; Division Of Ocean Sciences(National Science Foundation (NSF)NSF - Directorate for Geosciences (GEO))</t>
  </si>
  <si>
    <t>This study was supported by the NSF (grants OPP-01256023 and ANT-0440656 to ESR, and grant OCE 0611579 to RSMAS), ONR (grants N00014-03-1-0067 and N00014-08-1-0548 to ESR), NOAA, and the Swedish Research Council. This is Earth and Space Research contribution 140.</t>
  </si>
  <si>
    <t>DEC 9</t>
  </si>
  <si>
    <t>L23607</t>
  </si>
  <si>
    <t>10.1029/2009GL041347</t>
  </si>
  <si>
    <t>531ZW</t>
  </si>
  <si>
    <t>WOS:000272713500007</t>
  </si>
  <si>
    <t>Wilchinsky, AV; Feltham, DL</t>
  </si>
  <si>
    <t>Wilchinsky, Alexander V.; Feltham, Daniel L.</t>
  </si>
  <si>
    <t>Numerical simulation of the Filchner overflow</t>
  </si>
  <si>
    <t>JOURNAL OF GEOPHYSICAL RESEARCH-OCEANS</t>
  </si>
  <si>
    <t>RONNE ICE SHELF; CONTINENTAL-SHELF; BAROCLINIC EDDIES; BOTTOM; CIRCULATION; CURRENTS; SEA; VARIABILITY; FRONTS; SLOPES</t>
  </si>
  <si>
    <t>The plume of Ice Shelf Water (ISW) flowing into the Weddell Sea over the Filchner sill contributes to the formation of Antarctic Bottom Water. The Filchner overflow is simulated using a hydrostatic, primitive equation three-dimensional ocean model with a 0.5-2 Sv ISW influx above the Filchner sill. The best fit to mooring temperature observations is found with influxes of 0.5 and 1 Sv, below a previous estimate of 1.6 +/- 0.5 Sv based on sparse mooring velocities. The plume first moves north over the continental shelf, and then turns west, along slope of the continental shelf break where it breaks up into subplumes and domes, some of which then move downslope. Other subplumes run into the eastern submarine ridge and propagate along the ridge downslope in a chaotic manner. The next, western ridge is crossed by the plume through several paths. Despite a number of discrepancies with observational data, the model reproduces many attributes of the flow. In particular, we argue that the temporal variability shown by the observations can largely be attributed to the unstable structure of the flow, where the temperature fluctuations are determined by the motion of the domes past the moorings. Our sensitivity studies show that while thermobaricity plays a role, its effect is small for the flows considered. Smoothing the ridges out demonstrate that their presence strongly affects the plume shape around the ridges. An increase in the bottom drag or viscosity leads to slowing down, and hence thickening and widening of the plume.</t>
  </si>
  <si>
    <t>[Wilchinsky, Alexander V.; Feltham, Daniel L.] UCL, Natl Ctr Earth Observat, Ctr Polar Observat &amp; Modeling, London WC1E 6BT, England; [Feltham, Daniel L.] British Antarctic Survey, Cambridge CB3 0ET, England</t>
  </si>
  <si>
    <t>UK Research &amp; Innovation (UKRI); Natural Environment Research Council (NERC); NERC National Centre for Earth Observation; University of London; University College London; UK Research &amp; Innovation (UKRI); Natural Environment Research Council (NERC); NERC British Antarctic Survey</t>
  </si>
  <si>
    <t>Wilchinsky, AV (corresponding author), UCL, Natl Ctr Earth Observat, Ctr Polar Observat &amp; Modeling, Gower St, London WC1E 6BT, England.</t>
  </si>
  <si>
    <t>aw@cpom.ucl.ac.uk; dlf@cpom.ucl.ac.uk</t>
  </si>
  <si>
    <t>Feltham, Daniel/0000-0003-2289-014X</t>
  </si>
  <si>
    <t>Leverhulme Trust; NERC [bas0100028] Funding Source: UKRI; Natural Environment Research Council [bas0100028] Funding Source: researchfish</t>
  </si>
  <si>
    <t>Leverhulme Trust(Leverhulme Trust); NERC(UK Research &amp; Innovation (UKRI)Natural Environment Research Council (NERC)); Natural Environment Research Council(UK Research &amp; Innovation (UKRI)Natural Environment Research Council (NERC))</t>
  </si>
  <si>
    <t>Comments of the anonymous reviewers helped us improve the manuscript substantially. D. L. Feltham acknowledges financial support made possible through the award of a Prize by the Leverhulme Trust. We thank Keith Nicholls, Keith Makinson, and Paul Holland for useful discussions.</t>
  </si>
  <si>
    <t>2169-9275</t>
  </si>
  <si>
    <t>2169-9291</t>
  </si>
  <si>
    <t>J GEOPHYS RES-OCEANS</t>
  </si>
  <si>
    <t>J. Geophys. Res.-Oceans</t>
  </si>
  <si>
    <t>C12012</t>
  </si>
  <si>
    <t>10.1029/2008JC005013</t>
  </si>
  <si>
    <t>Oceanography</t>
  </si>
  <si>
    <t>532AQ</t>
  </si>
  <si>
    <t>Green Accepted, Green Published</t>
  </si>
  <si>
    <t>WOS:000272715900001</t>
  </si>
  <si>
    <t>Wang, F; Zheng, XS; Lee, JIK; Choe, WH; Evans, N; Zhu, RX</t>
  </si>
  <si>
    <t>Wang, Fei; Zheng, Xiang-Shen; Lee, Jong I. K.; Choe, Won Hie; Evans, Noreen; Zhu, Ri-Xiang</t>
  </si>
  <si>
    <t>An 40Ar/39Ar geochronology on a mid-Eocene igneous event on the Barton and Weaver peninsulas: Implications for the dynamic setting of the Antarctic Peninsula</t>
  </si>
  <si>
    <t>40Ar/39Ar geochronology; igneous event; geodynamics; delamination; Antarctic</t>
  </si>
  <si>
    <t>SOUTH SHETLAND ISLANDS; KING-GEORGE-ISLAND; K-AR; PACIFIC MARGIN; SUBDUCTION HISTORY; LIVINGSTON ISLAND; VOLCANIC-ROCKS; DRAKE PASSAGE; AGE; RIDGE</t>
  </si>
  <si>
    <t>The genesis of basaltic to andesitic lavas, mafic dikes, and granitoid plutons composing the subaerial cover on the Barton and Weaver peninsulas, Antarctica, is related to arc formation and subduction processes. Precise dating of these polar rocks using conventional 40Ar/39Ar techniques is compromised by the high degree of alteration (with loss on ignition as high as 8%). In order to minimize the alteration effects we have followed a sample preparation process that includes repeated acid leaching, acetone washing, and hand picking, followed by an overnight bake at 250 degrees C. After this procedure, groundmass samples can yield accurate age plateaus consisting of 70%-100% of the total 39 Ark released using high-resolution heating schedules. The different rock types studied on the Barton and Weaver peninsulas yielded almost coeval ages, suggesting a giant igneous event in the Weaver and Barton peninsulas at 44.5 Ma. A compilation of newly published ages indicate that this event took place throughout the whole South Shetland Islands, suggesting a dynamic incident occurred at this stage during the arc evolution history. We related this igneous event to a mantle delamination mechanism during Eocene times. The delamination process began at similar to 52 Ma, and the resultant upwelling of asthenosphere baffled the subduction of Phoenix plate, causing an abrupt decrease in convergence rate. Then multiple magmatic sources were triggered, resulting in a culminating igneous activity during 50-40 Ma with a peak at similar to 45 Ma along the archipelago. The delamination also caused the extension regime indicated by the dike swarm, plugs and sills all over the archipelago, and the uplift of Smith metamorphic complex and Livingston Island. Delamination process may have finished at some time during 40-30 Ma, leaving a weak igneous activity at that stage and thereafter. The convergence rate then recovered gradually, as indicated by the magnetic anomaly identifications. This model is supported by seismic observation of deep velocity anomalies beneath the Antarctic Peninsula.</t>
  </si>
  <si>
    <t>[Wang, Fei; Zheng, Xiang-Shen; Zhu, Ri-Xiang] Chinese Acad Sci, Inst Geol &amp; Geophys, Paleomagnetism &amp; Geochronol Lab, State Key Lab Lithospher Evolut, Beijing 100029, Peoples R China; [Lee, Jong I. K.; Choe, Won Hie] KORDI, Korea Polar Res Inst, Inchon 406840, South Korea; [Evans, Noreen] CSIRO Explorat &amp; Min, Kensington, WA 6151, Australia; [Evans, Noreen] Curtin Univ Technol, Dept Appl Geol, John de Laeter Ctr Mass Spectrometry, Perth, WA 6845, Australia</t>
  </si>
  <si>
    <t>Chinese Academy of Sciences; Institute of Geology &amp; Geophysics, CAS; Korea Institute of Ocean Science &amp; Technology (KIOST); Korea Polar Research Institute (KOPRI); Commonwealth Scientific &amp; Industrial Research Organisation (CSIRO); Curtin University</t>
  </si>
  <si>
    <t>Wang, F (corresponding author), Chinese Acad Sci, Inst Geol &amp; Geophys, Paleomagnetism &amp; Geochronol Lab, State Key Lab Lithospher Evolut, Beijing 100029, Peoples R China.</t>
  </si>
  <si>
    <t>wangfei@mail.iggcas.ac.cn</t>
  </si>
  <si>
    <t>wang, fei/ISA-9531-2023; Zhu, Rixiang/F-2126-2018</t>
  </si>
  <si>
    <t>Evans, Noreen/0000-0002-7615-8328</t>
  </si>
  <si>
    <t>KOPRI [PE09020, PP09030]; Chinese Science Foundation [40221402, 40873046, 40672056, 90714007]</t>
  </si>
  <si>
    <t>KOPRI(Korea Polar Research Institute of Marine Research Placement (KOPRI)); Chinese Science Foundation(National Natural Science Foundation of China (NSFC))</t>
  </si>
  <si>
    <t>We thank A. A. P. Koppers and an anonymous reviewer for their thorough and helpful reviews that have significantly improved the manuscript. This work was supported by KOPRI projects (PE09020 and PP09030) and Chinese Science Foundation (40221402, 40873046, 40672056, and 90714007).</t>
  </si>
  <si>
    <t>DEC 8</t>
  </si>
  <si>
    <t>Q12006</t>
  </si>
  <si>
    <t>10.1029/2009GC002874</t>
  </si>
  <si>
    <t>531ZK</t>
  </si>
  <si>
    <t>WOS:000272712200001</t>
  </si>
  <si>
    <t>Notz, D</t>
  </si>
  <si>
    <t>Notz, Dirk</t>
  </si>
  <si>
    <t>The future of ice sheets and sea ice: Between reversible retreat and unstoppable loss</t>
  </si>
  <si>
    <t>PROCEEDINGS OF THE NATIONAL ACADEMY OF SCIENCES OF THE UNITED STATES OF AMERICA</t>
  </si>
  <si>
    <t>Greenland; West Antarctic; climate change; tipping point; Arctic</t>
  </si>
  <si>
    <t>THICKNESS DISTRIBUTION; CLIMATE; OCEAN; MODEL; DEGLACIATION; INSTABILITY; STABILITY; RADIATION; GROWTH</t>
  </si>
  <si>
    <t>We discuss the existence of cryospheric tipping points in the Earth's climate system. Such critical thresholds have been suggested to exist for the disappearance of Arctic sea ice and the retreat of ice sheets: Once these ice masses have shrunk below an anticipated critical extent, the ice-albedo feedback might lead to the irreversible and unstoppable loss of the remaining ice. We here give an overview of our current understanding of such threshold behavior. By using conceptual arguments, we review the recent findings that such a tipping point probably does not exist for the loss of Arctic summer sea ice. Hence, in a cooler climate, sea ice could recover rapidly from the loss it has experienced in recent years. In addition, we discuss why this recent rapid retreat of Arctic summer sea ice might largely be a consequence of a slow shift in ice-thickness distribution, which will lead to strongly increased year-to-year variability of the Arctic summer sea-ice extent. This variability will render seasonal forecasts of the Arctic summer sea-ice extent increasingly difficult. We also discuss why, in contrast to Arctic summer sea ice, a tipping point is more likely to exist for the loss of the Greenland ice sheet and the West Antarctic ice sheet.</t>
  </si>
  <si>
    <t>Max Planck Inst Meteorol, D-20146 Hamburg, Germany</t>
  </si>
  <si>
    <t>Max Planck Society</t>
  </si>
  <si>
    <t>Notz, D (corresponding author), Max Planck Inst Meteorol, Bundesstr 55, D-20146 Hamburg, Germany.</t>
  </si>
  <si>
    <t>dirk.notz@zmaw.de</t>
  </si>
  <si>
    <t>Notz, Dirk/P-4428-2017</t>
  </si>
  <si>
    <t>Notz, Dirk/0000-0003-0365-5654</t>
  </si>
  <si>
    <t>German Max Planck Society</t>
  </si>
  <si>
    <t>German Max Planck Society(Max Planck Society)</t>
  </si>
  <si>
    <t>I am indebted to Jochem Marotzke, Richard Alley, Ian Eisenman, Mike Winton, Steffen Tietsche, Nina Wilkens, Florian Rauser and Kay Hubner for helpful discussions and comments on a previous version of this manuscript. I am very thankful for comments and suggestions by three anonymous reviewers that helped to significantly improve this manuscript. This work was funded through a Junior Research Fellowship from the German Max Planck Society.</t>
  </si>
  <si>
    <t>NATL ACAD SCIENCES</t>
  </si>
  <si>
    <t>2101 CONSTITUTION AVE NW, WASHINGTON, DC 20418 USA</t>
  </si>
  <si>
    <t>0027-8424</t>
  </si>
  <si>
    <t>P NATL ACAD SCI USA</t>
  </si>
  <si>
    <t>Proc. Natl. Acad. Sci. U. S. A.</t>
  </si>
  <si>
    <t>10.1073/pnas.0902356106</t>
  </si>
  <si>
    <t>529XP</t>
  </si>
  <si>
    <t>Green Submitted, Green Published</t>
  </si>
  <si>
    <t>WOS:000272553000010</t>
  </si>
  <si>
    <t>Archer, D; Buffett, B; Brovkin, V</t>
  </si>
  <si>
    <t>Archer, David; Buffett, Bruce; Brovkin, Victor</t>
  </si>
  <si>
    <t>Ocean methane hydrates as a slow tipping point in the global carbon cycle</t>
  </si>
  <si>
    <t>clathrate; climate</t>
  </si>
  <si>
    <t>GAS HYDRATE; INTERMEDIATE COMPLEXITY; ATMOSPHERIC CH4; STABILITY ZONE; SYSTEM MODEL; BLAKE RIDGE; CLIMATE; CLIMBER-2; DISSOCIATION; EQUILIBRIUM</t>
  </si>
  <si>
    <t>We present a model of the global methane inventory as hydrate and bubbles below the sea floor. The model predicts the inventory of CH4 in the ocean today to be approximate to 1600-2,000 Pg of C. Most of the hydrate in the model is in the Pacific, in large part because lower oxygen levels enhance the preservation of organic carbon. Because the oxygen concentration today may be different from the long-term average, the sensitivity of the model to O-2 is a source of uncertainty in predicting hydrate inventories. Cold water column temperatures in the high latitudes lead to buildup of hydrates in the Arctic and Antarctic at shallower depths than is possible in low latitudes. A critical bubble volume fraction threshold has been proposed as a critical threshold at which gas migrates all through the sediment column. Our model lacks many factors that lead to heterogeneity in the real hydrate reservoir in the ocean, such as preferential hydrate formation in sandy sediments and subsurface gas migration, and is therefore conservative in its prediction of releasable methane, finding only 35 Pg of C released after 3 degrees C of uniform warming by using a 10% critical bubble volume. If 2.5% bubble volume is taken as critical, then 940 Pg of C might escape in response to 3 degrees C warming. This hydrate model embedded into a global climate model predicts approximate to 0.4-0.5 degrees C additional warming from the hydrate response to fossil fuel CO2 release, initially because of methane, but persisting through the 10-kyr duration of the simulations because of the CO2 oxidation product of methane.</t>
  </si>
  <si>
    <t>[Archer, David] Univ Chicago, Dept Geophys Sci, Chicago, IL 60637 USA; [Buffett, Bruce] Univ Calif Berkeley, Dept Earth &amp; Planetary Sci, Berkeley, CA 94720 USA; [Brovkin, Victor] Max Planck Inst Meteorol, D-20146 Hamburg, Germany</t>
  </si>
  <si>
    <t>University of Chicago; University of California System; University of California Berkeley; Max Planck Society</t>
  </si>
  <si>
    <t>Archer, D (corresponding author), Univ Chicago, Dept Geophys Sci, 5734 S Ellis Ave, Chicago, IL 60637 USA.</t>
  </si>
  <si>
    <t>d-archer@uchicago.edu</t>
  </si>
  <si>
    <t>Brovkin, Victor/C-2803-2016; Brovkin, Victor/I-7450-2012; Archer, David/K-7371-2012</t>
  </si>
  <si>
    <t>Brovkin, Victor/0000-0001-6420-3198; Archer, David/0000-0002-4523-7912; Buffett, Bruce/0000-0001-5488-7602</t>
  </si>
  <si>
    <t>National Science Foundation [0403862]; Division Of Earth Sciences; Directorate For Geosciences [0403862] Funding Source: National Science Foundation</t>
  </si>
  <si>
    <t>National Science Foundation(National Science Foundation (NSF)); Division Of Earth Sciences; Directorate For Geosciences(National Science Foundation (NSF)NSF - Directorate for Geosciences (GEO))</t>
  </si>
  <si>
    <t>This work was supported by National Science Foundation Grant 0403862.</t>
  </si>
  <si>
    <t>10.1073/pnas.0800885105</t>
  </si>
  <si>
    <t>WOS:000272553000011</t>
  </si>
  <si>
    <t>Appleton, DR; Chuen, CS; Berridge, MV; Webb, VL; Copp, BR</t>
  </si>
  <si>
    <t>Appleton, David R.; Chuen, Cheah Shiau; Berridge, Michael V.; Webb, Victoria L.; Copp, Brent R.</t>
  </si>
  <si>
    <t>Rossinones A and B, Biologically Active Meroterpenoids from the Antarctic Ascidian, Aplidium species</t>
  </si>
  <si>
    <t>JOURNAL OF ORGANIC CHEMISTRY</t>
  </si>
  <si>
    <t>RESPIRATORY BURST; MARINE; METABOLITES; DERIVATIVES; INHIBITORS</t>
  </si>
  <si>
    <t>Rossinones A (1) and B (2), biologically active meroterpene derivatives, were isolated from an Antarctic collection of the ascidian Aplidium species and structurally characterized with spectroscopic methods. The absolute configuration of 1 was deduced by using the modified Mosher method. The rossinones exhibit anti-inflammatory, antiviral and antiproliferative activities.</t>
  </si>
  <si>
    <t>[Appleton, David R.; Copp, Brent R.] Univ Auckland, Dept Chem, Auckland, New Zealand; [Appleton, David R.; Chuen, Cheah Shiau] Univ Malaya, Fac Med, Dept Pharmacol, Ctr Nat Prod Res &amp; Drug Discovery, Kuala Lumpur 50603, Malaysia; [Berridge, Michael V.] Malaghan Inst Med Res, Wellington, New Zealand; [Webb, Victoria L.] Natl Inst Water &amp; Atmospher Res NIMA Ltd, Wellington, New Zealand</t>
  </si>
  <si>
    <t>University of Auckland; Universiti Malaya; Victoria University Wellington; Malaghan Institute; National Institute of Water &amp; Atmospheric Research (NIWA) - New Zealand</t>
  </si>
  <si>
    <t>Copp, BR (corresponding author), Univ Auckland, Dept Chem, Private Bag 92019, Auckland, New Zealand.</t>
  </si>
  <si>
    <t>b.copp@auckland.ac.nz</t>
  </si>
  <si>
    <t>Cheah, Shiau-Chuen/H-7564-2013; Berridge, Michael V/I-3969-2013; Copp, Brent/D-3706-2009</t>
  </si>
  <si>
    <t>Berridge, Michael/0000-0003-2619-7473; Copp, Brent/0000-0001-5492-5269</t>
  </si>
  <si>
    <t>Auckland Medical Research Foundation; University of Auckland Research Committee; University of Auckland for the award of a Doctoral Scholarship; Coral Reef Foundation; NIWA [C01809]</t>
  </si>
  <si>
    <t>Auckland Medical Research Foundation; University of Auckland Research Committee; University of Auckland for the award of a Doctoral Scholarship; Coral Reef Foundation; NIWA</t>
  </si>
  <si>
    <t>We gratefully acknowledge funding From the Auckland Medical Research Foundation and The University of Auckland Research Committee. D.R.A. would like to thank The University of Auckland for the award of a Doctoral Scholarship. We wish to thank Mrs. Gill Ellis for the P388 antiproliferative, antiviral, and antimicrobial assays, Mr. An S. Tan for the anti-inflammatory assays, and Ms. Putri Narrima Mohd Fauzi for the DPPH assay. We would also like to thank the Coral Reef Foundation (under contract from the NCI, Bethesda; supported by NIWA (NZ FRST contract C01809)) for collection of Aplidium specimens and Prof. Pat Kott (Queensland Museum) for taxonomic identification, and we acknowledge the prior studies of Ms. Heather Wansbrough related to hydroquinones 6 and 7. We are also extremely grateful to Mr Michael Walker and Prof. Andrew Dingley for the acquisition of MS data and assistance with M R data collection.</t>
  </si>
  <si>
    <t>AMER CHEMICAL SOC</t>
  </si>
  <si>
    <t>1155 16TH ST, NW, WASHINGTON, DC 20036 USA</t>
  </si>
  <si>
    <t>0022-3263</t>
  </si>
  <si>
    <t>1520-6904</t>
  </si>
  <si>
    <t>J ORG CHEM</t>
  </si>
  <si>
    <t>J. Org. Chem.</t>
  </si>
  <si>
    <t>DEC 4</t>
  </si>
  <si>
    <t>10.1021/jo901846j</t>
  </si>
  <si>
    <t>Chemistry, Organic</t>
  </si>
  <si>
    <t>Science Citation Index Expanded (SCI-EXPANDED); Index Chemicus (IC)</t>
  </si>
  <si>
    <t>523ON</t>
  </si>
  <si>
    <t>WOS:000272083700034</t>
  </si>
  <si>
    <t>Cooper, KM; Eiler, JM; Sims, KWW; Langmuir, CH</t>
  </si>
  <si>
    <t>Cooper, Kari M.; Eiler, John M.; Sims, Kenneth W. W.; Langmuir, Charles H.</t>
  </si>
  <si>
    <t>Distribution of recycled crust within the upper mantle: Insights from the oxygen isotope composition of MORB from the Australian-Antarctic Discordance</t>
  </si>
  <si>
    <t>oxygen isotopes; mantle geochemistry; geochemical modeling</t>
  </si>
  <si>
    <t>EAST PACIFIC RISE; GARNET PYROXENITE; INDIAN RIDGE; GEOCHEMISTRY; ORIGIN; SR; HETEROGENEITY; BASALTS; RATIOS; ND</t>
  </si>
  <si>
    <t>Geochemical heterogeneity within the mantle has long been recognized through the diversity of trace element and radiogenic isotopic compositions of mantle-derived rocks, yet the specific origin, abundance, and distribution of enriched material within the mantle have been difficult to quantify. In particular, the origin of the distinctive geochemical characteristics of Indian mantle has been debated for decades. We present new laser fluorination oxygen isotope measurements of mid-ocean ridge basalt from the Australian-Antarctic Discordance (AAD), an area where a particularly abrupt transition occurs between Pacific-type mid-ocean ridge basalts (MORB) and Atlantic-type MORB. These data show no distinction in average delta O-18 between Pacific-and Atlantic-type MORB, indicating that the origin of Indian-type mantle cannot be attributed to the presence of pelagic sediment. The combined radiogenic isotope, delta O-18, and trace element characteristics of Indian-type MORB at the AAD are consistent with contamination of the Indian upper mantle by lower crustal material. We also present a compilation of available laser fluorination delta O-18 data for MORB and use these data to evaluate the nature and percentage of enriched material within the upper mantle globally. Data for each ocean basin fit a normal distribution, with indistinguishable means and standard deviations, implying that the variation in delta O-18 of MORB reflects a stochastic process that operates similarly across all ocean basins. Monte Carlo simulations show that the mean and standard deviation of the MORB data are robust indicators of the mean and standard deviation of the parent distribution of data. Further, although some skewness in the data cannot be ruled out, Monte Carlo results are most consistent with a normal parent distribution. This similarity in characteristics of the delta O-18 data between ocean basins, together with correlations of delta O-18 with radiogenic isotope and trace element characteristics of subsets of the data, suggest that the upper mantle globally contains an average of similar to 5-10% recycled crustal material and that the depleted mantle in the absence of this component would have delta O-18 of similar to 5.25%. The Monte Carlo simulations also suggest that additional oxygen isotope data may be used in the future to test the ability of geodynamical models to predict the physical distribution of enriched domains within the upper mantle.</t>
  </si>
  <si>
    <t>[Cooper, Kari M.] Univ Calif Davis, Dept Geol, Davis, CA 95616 USA; [Eiler, John M.] CALTECH, Div Geol &amp; Planetary Sci, Pasadena, CA 91125 USA; [Sims, Kenneth W. W.] Woods Hole Oceanog Inst, Dept Geol &amp; Geophys, Woods Hole, MA 02543 USA; [Langmuir, Charles H.] Harvard Univ, Dept Earth &amp; Planetary Sci, Cambridge, MA 02138 USA</t>
  </si>
  <si>
    <t>University of California System; University of California Davis; California Institute of Technology; Woods Hole Oceanographic Institution; Harvard University</t>
  </si>
  <si>
    <t>Cooper, KM (corresponding author), Univ Calif Davis, Dept Geol, 1 Shields Ave, Davis, CA 95616 USA.</t>
  </si>
  <si>
    <t>kmcooper@ucdavis.edu</t>
  </si>
  <si>
    <t>Sims, Kenneth/HOC-7512-2023; langmuir, charles/ISV-3278-2023; Cooper, Kari M/G-8261-2012</t>
  </si>
  <si>
    <t>Sims, Kenneth/0000-0001-6179-6610</t>
  </si>
  <si>
    <t>DEC 3</t>
  </si>
  <si>
    <t>Q12004</t>
  </si>
  <si>
    <t>10.1029/2009GC002728</t>
  </si>
  <si>
    <t>528JR</t>
  </si>
  <si>
    <t>Green Published, Green Accepted, Bronze</t>
  </si>
  <si>
    <t>WOS:000272440800002</t>
  </si>
  <si>
    <t>Brooks, LA; Townend, J; Gerstoft, P; Bannister, S; Carter, L</t>
  </si>
  <si>
    <t>Brooks, Laura A.; Townend, John; Gerstoft, Peter; Bannister, Stephen; Carter, Lionel</t>
  </si>
  <si>
    <t>Fundamental and higher-mode Rayleigh wave characteristics of ambient seismic noise in New Zealand</t>
  </si>
  <si>
    <t>MICROSEISMS; VELOCITY; COASTAL</t>
  </si>
  <si>
    <t>In order to use ambient seismic noise for mapping Earth's structure, it is important to understand the spatio-temporal characteristics of the noise field. This study uses data collected during four austral winter months of 2002 to investigate New Zealand's ambient seismic noise field in the double-ocean-wave-frequency range (0.1-0.3 Hz). It is shown via beamforming analysis that there are two distinct dispersive waves in the data. These waves can be separated. Their estimated phase velocities (2.5-2 and 4-3 km/s in the frequency range 0.14-0.25 Hz) match well with fundamental and higher-mode Rayleigh dispersion curves. Studies of double-wave-frequency microseisms elsewhere generally show the Rayleigh noise fields to be dominated by fundamental mode waves. The reason why higher-mode signals are observed here may reflect a combination of long ocean wave periods, large waveheights, the direct deep water approach to narrow continental margins, and the proximity of the seismograph array to the source regions. Citation: Brooks, L. A., J. Townend, P. Gerstoft, S. Bannister, and L. Carter (2009), Fundamental and higher-mode Rayleigh wave characteristics of ambient seismic noise in New Zealand, Geophys. Res. Lett., 36, L23303, doi:10.1029/2009GL040434.</t>
  </si>
  <si>
    <t>[Brooks, Laura A.; Townend, John] Victoria Univ Wellington, Sch Geog Environm &amp; Earth Sci, Wellington 6140, New Zealand; [Gerstoft, Peter] Univ Calif San Diego, Scripps Inst Oceanog, La Jolla, CA 92093 USA; [Bannister, Stephen] GNS Sci, Lower Hutt 6315, New Zealand; [Carter, Lionel] Victoria Univ Wellington, Antarctic Res Ctr, Wellington 6140, New Zealand</t>
  </si>
  <si>
    <t>Victoria University Wellington; University of California System; University of California San Diego; Scripps Institution of Oceanography; GNS Science - New Zealand; Victoria University Wellington</t>
  </si>
  <si>
    <t>Brooks, LA (corresponding author), Victoria Univ Wellington, Sch Geog Environm &amp; Earth Sci, POB 600, Wellington 6140, New Zealand.</t>
  </si>
  <si>
    <t>lbrook02@gmail.com</t>
  </si>
  <si>
    <t>Gerstoft, Peter/B-2842-2009; Townend, John/B-5923-2012</t>
  </si>
  <si>
    <t>Gerstoft, Peter/0000-0002-0471-062X; Townend, John/0000-0002-7017-620X; Bannister, Stephen/0000-0002-2125-0506</t>
  </si>
  <si>
    <t>Royal Society of New Zealand's Marsden fund [VUW0712]</t>
  </si>
  <si>
    <t>Royal Society of New Zealand's Marsden fund(Royal Society of New ZealandMarsden Fund (NZ))</t>
  </si>
  <si>
    <t>This work was supported by the Royal Society of New Zealand's Marsden fund grant no. VUW0712. The seismic data were downloaded from IRIS Data Management Center and the wave model data were supplied by Richard Gorman, National Institute of Water and Atmospheric Research.</t>
  </si>
  <si>
    <t>DEC 2</t>
  </si>
  <si>
    <t>L23303</t>
  </si>
  <si>
    <t>10.1029/2009GL040434</t>
  </si>
  <si>
    <t>528JV</t>
  </si>
  <si>
    <t>WOS:000272441400002</t>
  </si>
  <si>
    <t>Chereskin, TK; Donohue, KA; Watts, DR; Tracey, KL; Firing, YL; Cutting, AL</t>
  </si>
  <si>
    <t>Chereskin, T. K.; Donohue, K. A.; Watts, D. R.; Tracey, K. L.; Firing, Y. L.; Cutting, A. L.</t>
  </si>
  <si>
    <t>Strong bottom currents and cyclogenesis in Drake Passage</t>
  </si>
  <si>
    <t>ANTARCTIC CIRCUMPOLAR CURRENT; GULF-STREAM; VARIABILITY; TRANSPORT; VELOCITY; FIELDS; OCEAN</t>
  </si>
  <si>
    <t>Observations from 38 bottom-moored Current and Pressure Recording Inverted Echo Sounders (CPIES) deployed in Drake Passage during the 2007-2008 International Polar Year provide unprecedented coverage of near-bottom currents and pressures spanning the entire Antarctic Circumpolar Current. Year-long-mean currents exceed 10 cm s(-1) north of the Polar Front, and mean directions are not, in general, aligned with the surface fronts. Topographic steering is most evident at the continental margins. Deep eddy kinetic energy (EKE) is maximum at about 200 cm(2) s(-2) between the Subantarctic and Polar Fronts, coinciding with the location but about one quarter of the value of a maximum in surface EKE. Multiple high-speed current events, with peak speeds of 60-70 cm s(-1) and lasting 30 to 70 days, are coherent across sites separated by 45 km. The observed spinup of eddies coinciding with meanders in the surface fronts is consistent with deep cyclogenesis. Citation: Chereskin, T. K., K. A. Donohue, D. R. Watts, K. L. Tracey, Y. L. Firing, and A. L. Cutting (2009), Strong bottom currents and cyclogenesis in Drake Passage, Geophys. Res. Lett., 36, L23602, doi:10.1029/2009GL040940.</t>
  </si>
  <si>
    <t>[Chereskin, T. K.; Firing, Y. L.] Univ Calif San Diego, Scripps Inst Oceanog, La Jolla, CA 92093 USA; [Donohue, K. A.; Watts, D. R.; Tracey, K. L.; Cutting, A. L.] Univ Rhode Isl, Grad Sch Oceanog, Narragansett, RI 02882 USA</t>
  </si>
  <si>
    <t>University of California System; University of California San Diego; Scripps Institution of Oceanography; University of Rhode Island</t>
  </si>
  <si>
    <t>Chereskin, TK (corresponding author), Univ Calif San Diego, Scripps Inst Oceanog, 9500 Gilman Dr, La Jolla, CA 92093 USA.</t>
  </si>
  <si>
    <t>tchereskin@ucsd.edu</t>
  </si>
  <si>
    <t>Watts, D Randolph/0000-0002-6738-5916; Firing, Yvonne/0000-0002-3640-3974; Chereskin, Teresa/0000-0003-1214-0978</t>
  </si>
  <si>
    <t>NSF [ANT-0636493, ANT-0635437]</t>
  </si>
  <si>
    <t>The National Science Foundation Office of Polar Programs supported this work under NSF grants ANT-0636493 and ANT-0635437. We thank G. Chaplin, S. Escher, D. Holloway, E. Sousa and A. Troisi, the captains and crew of the RVIB Nathaniel B. Palmer and Raytheon Polar Services for their excellent technical and logistical support during the cruises.</t>
  </si>
  <si>
    <t>L23602</t>
  </si>
  <si>
    <t>10.1029/2009GL040940</t>
  </si>
  <si>
    <t>WOS:000272441400007</t>
  </si>
  <si>
    <t>Marino, F; Castellano, E; Nava, S; Chiari, M; Ruth, U; Wegner, A; Lucarelli, F; Udisti, R; Delmonte, B; Maggi, V</t>
  </si>
  <si>
    <t>Marino, F.; Castellano, E.; Nava, S.; Chiari, M.; Ruth, U.; Wegner, A.; Lucarelli, F.; Udisti, R.; Delmonte, B.; Maggi, V.</t>
  </si>
  <si>
    <t>Coherent composition of glacial dust on opposite sides of the East Antarctic Plateau inferred from the deep EPICA ice cores</t>
  </si>
  <si>
    <t>PAST 800,000 YEARS; CONTINENTAL-CRUST; SOUTH-AMERICA; DEPOSITION; CYCLES; ORIGIN; LOESS; FLUX</t>
  </si>
  <si>
    <t>The dust provenance identification through isotopic and geochemical tracers focused mostly on ice cores drilled in the Pacific-Indian sector of Antarctica, where a common provenance of dust from Southern South America during glacial ages was demonstrated. Conversely, in other areas of the East Antarctic Plateau as Dronning Maud Land provenance was deduced indirectly from back trajectory analyses and soluble chemistry records. In this work, we present the first comparison of major elemental composition of dust archived in two ice cores from opposite sides of Antarctica, in the framework of the EPICA Project. Mineral particles extracted from the EDC and EDML cores date back to glacial MIS 2, 4 and 6, over the last 200 kyr. Results reveal a coherent geochemical dust composition at both locations, providing experimental evidence of a common provenance over the wide area of East Antarctica during glacials, and key analytical constrains for atmospheric general circulation models. Citation: Marino, F., E. Castellano, S. Nava, M. Chiari, U. Ruth, A. Wegner, F. Lucarelli, R. Udisti, B. Delmonte, and V. Maggi (2009), Coherent composition of glacial dust on opposite sides of the East Antarctic Plateau inferred from the deep EPICA ice cores, Geophys. Res. Lett., 36, L23703, doi:10.1029/2009GL040732.</t>
  </si>
  <si>
    <t>[Marino, F.; Castellano, E.; Udisti, R.] Univ Florence, Dept Chem, I-50019 Florence, Italy; [Marino, F.; Delmonte, B.; Maggi, V.] Univ Milano Bicocca, DISAT, I-20126 Milan, Italy; [Marino, F.; Lucarelli, F.] Univ Florence, Dept Phys, I-50019 Florence, Italy; [Nava, S.; Chiari, M.; Lucarelli, F.] Ist Nazl Fis Nucl, I-50019 Florence, Italy; [Ruth, U.; Wegner, A.] AWI, D-27568 Bremerhaven, Germany</t>
  </si>
  <si>
    <t>University of Florence; University of Milano-Bicocca; University of Florence; Istituto Nazionale di Fisica Nucleare (INFN); Helmholtz Association; Alfred Wegener Institute, Helmholtz Centre for Polar &amp; Marine Research</t>
  </si>
  <si>
    <t>Marino, F (corresponding author), Univ Florence, Dept Chem, I-50019 Florence, Italy.</t>
  </si>
  <si>
    <t>Federica.marino@unifi.it</t>
  </si>
  <si>
    <t>Chiari, Massimo/ABE-2523-2020; Maggi, Valter/AAX-5728-2020; Udisti, Roberto/M-7966-2015; Maggi, Valter/E-1878-2014; Delmonte, Barbara/L-2555-2015; Chiari, Massimo/ABE-2530-2020; Lucarelli, Franco/F-3465-2013</t>
  </si>
  <si>
    <t>Maggi, Valter/0000-0001-6287-1213; Udisti, Roberto/0000-0003-4440-8238; Delmonte, Barbara/0000-0002-9074-2061; Chiari, Massimo/0000-0001-6993-3149; Becagli, Silvia/0000-0003-3633-4849; Lucarelli, Franco/0000-0001-7772-8858</t>
  </si>
  <si>
    <t>EU</t>
  </si>
  <si>
    <t>EU(European Union (EU))</t>
  </si>
  <si>
    <t>This work is a contribution to the European Project for Ice Coring in Antarctica (EPICA), a joint European Science Foundation/European Commission scientific program, funded by the EU and by national contributions from Belgium, Denmark, France, Germany, Italy, Netherlands, Norway, Sweden, Switzerland, and the United Kingdom. The main logistic support was provided by IPEV and PNRA (at Dome C) and AWI (at Dronning Maud Land). This is EPICA publication 244.</t>
  </si>
  <si>
    <t>L23703</t>
  </si>
  <si>
    <t>10.1029/2009GL040732</t>
  </si>
  <si>
    <t>WOS:000272441400005</t>
  </si>
  <si>
    <t>Cheon, WG; Stössel, A</t>
  </si>
  <si>
    <t>Cheon, Woo Geun; Stoessel, Achim</t>
  </si>
  <si>
    <t>Oceanic response to interactive momentum flux over Southern Hemisphere sea ice</t>
  </si>
  <si>
    <t>ANTARCTIC BOTTOM WATER; ATLANTIC DEEP-WATER; CIRCUMPOLAR CURRENT; WEDDELL SEA; THERMOHALINE CIRCULATION; DRAKE PASSAGE; MODEL; CONVECTION; WINDS; SENSITIVITY</t>
  </si>
  <si>
    <t>The Southern Ocean (SO) winds affect the global ocean circulation via their direct atmosphere-to-ocean wind-stirring effects remotely driving the North Atlantic (NA) overturning. In this study, an indirect atmosphere-sea ice-ocean buoyancy-driven effects under the SO winds are investigated in the framework of a coupled sea ice-ocean general circulation model. Over the SO sea ice, an interactive momentum flux (IMF) forcing is introduced to investigate the effect of the strength of the sea ice-atmosphere coupling on the long-term ocean circulation. To estimate the robustness of the oceanic response to the IMF parameterization, it is applied to three fundamentally different reference experiments. By allowing the strength of the momentum flux between atmosphere and sea ice to vary in response to the simulated sea ice conditions, the IMF enhances wind-driven sea ice divergence to increase the fraction of leads and polynyas, which intensifies convection. The ensuing increase in dense water formation along Antarctica increases the amount of Antarctic Bottom Water being formed, which intensifies the Southern Hemisphere (SH) overturning and indirectly weakens the NA overturning. As a result of these hemispheric changes, the meridional density gradient across the Antarctic Circumpolar Current (ACC) increases, leading to an increase in the ACC. This study shows that the SH atmosphere-sea ice-ocean system can play an active, primary role in the global ocean circulation and provides insights on the possible linkage between the SH winds, the SH overturning, and the NA overturning via buoyancy-driven effects associated with SO sea ice.</t>
  </si>
  <si>
    <t>[Cheon, Woo Geun; Stoessel, Achim] Texas A&amp;M Univ, Dept Oceanog, College Stn, TX 77843 USA</t>
  </si>
  <si>
    <t>Texas A&amp;M University System; Texas A&amp;M University College Station</t>
  </si>
  <si>
    <t>Cheon, WG (corresponding author), Yonsei Univ, Dept Atmospher Sci, 262 Seongsanno, Seoul 120749, South Korea.</t>
  </si>
  <si>
    <t>wcheon@ocean.tamu.edu</t>
  </si>
  <si>
    <t>NASA [NNG05GN87G]; NSF [ATM-0333341]</t>
  </si>
  <si>
    <t>NASA(National Aeronautics &amp; Space Administration (NASA)); NSF(National Science Foundation (NSF))</t>
  </si>
  <si>
    <t>We are grateful for valuable comments on this work to an associated editor and two anonymous reviewers. This research has been sponsored through NASA grant NNG05GN87G and NSF grant ATM-0333341.</t>
  </si>
  <si>
    <t>C12002</t>
  </si>
  <si>
    <t>10.1029/2008JC005068</t>
  </si>
  <si>
    <t>528LB</t>
  </si>
  <si>
    <t>WOS:000272445900001</t>
  </si>
  <si>
    <t>Bristow, WA</t>
  </si>
  <si>
    <t>Bristow, W. A.</t>
  </si>
  <si>
    <t>Relationship between substorm onset locations and nightside convection pattern features</t>
  </si>
  <si>
    <t>JOURNAL OF GEOPHYSICAL RESEARCH-SPACE PHYSICS</t>
  </si>
  <si>
    <t>HARANG-DISCONTINUITY; ELECTRIC-FIELDS; CURRENT SYSTEMS; RADAR; CURRENTS; FLOW; SUPERDARN; ZONE; TAIL</t>
  </si>
  <si>
    <t>This paper presents a study using the Super Dual Auroral Radar Network (SuperDARN) convection database in conjunction with a list of substorm onsets determined from the IMAGE satellite to examine the relationship between substorm onset locations and features of the convection pattern. Particular attention is devoted to the latitude of onset locations compared to the latitude of the near-midnight convection reversal boundary (CRB) and the latitude at which the highest flow velocity (the flow peak) was observed equatorward of the CRB. Because of this focus, the set of observations examined is limited to cases where SuperDARN provided sufficient observations in the midnight sector to determine the latitude of the CRB. Distributions of the latitude difference between the onset location and the CRB and flow peak were examined for different times leading up to substorm onset and for a few different conditions. It was found that the onsets occurred equatorward of the CRB in more than 95% of the cases and that the distribution was approximately centered on the flow velocity peak.</t>
  </si>
  <si>
    <t>Univ Alaska Fairbanks, Inst Geophys, Fairbanks, AK 99775 USA</t>
  </si>
  <si>
    <t>University of Alaska System; University of Alaska Fairbanks</t>
  </si>
  <si>
    <t>Bristow, WA (corresponding author), Univ Alaska Fairbanks, Inst Geophys, 903 Koyukuk Dr,POB 757320, Fairbanks, AK 99775 USA.</t>
  </si>
  <si>
    <t>bill.bristow@gi.alaska.edu</t>
  </si>
  <si>
    <t>Arctic Natural Sciences Program [ARC-0520546]; Antarctic Aeronomy and Astrophysics program of the Office of Polar Programs [OPP-0337635]; STFC [PP/E007929/1] Funding Source: UKRI; Science and Technology Facilities Council [PP/E007929/1] Funding Source: researchfish</t>
  </si>
  <si>
    <t>Arctic Natural Sciences Program(National Science Foundation (NSF)NSF - Directorate for Geosciences (GEO)); Antarctic Aeronomy and Astrophysics program of the Office of Polar Programs; STFC(UK Research &amp; Innovation (UKRI)Science &amp; Technology Facilities Council (STFC)); Science and Technology Facilities Council(UK Research &amp; Innovation (UKRI)Science &amp; Technology Facilities Council (STFC))</t>
  </si>
  <si>
    <t>The author wishes to acknowledge the assistance of Harald Frey of University of California Berkeley in providing the database of substorm onsets and for help in its use. Thomas Sotirelis of the Johns Hopkins University Applied Physics Laboratory provided information on patterns of energetic particle precipitation. This work was supported National Science Foundation grants ARC-0520546 from the Arctic Natural Sciences Program, and OPP-0337635 from Antarctic Aeronomy and Astrophysics program of the Office of Polar Programs.</t>
  </si>
  <si>
    <t>2169-9380</t>
  </si>
  <si>
    <t>2169-9402</t>
  </si>
  <si>
    <t>J GEOPHYS RES-SPACE</t>
  </si>
  <si>
    <t>J. Geophys. Res-Space Phys.</t>
  </si>
  <si>
    <t>A12202</t>
  </si>
  <si>
    <t>10.1029/2009JA014576</t>
  </si>
  <si>
    <t>Astronomy &amp; Astrophysics</t>
  </si>
  <si>
    <t>528LK</t>
  </si>
  <si>
    <t>WOS:000272446800004</t>
  </si>
  <si>
    <t>Pandey, A; Dharwadkar, A; Ravindra, R; Milton, A</t>
  </si>
  <si>
    <t>Pandey, Anju; Dharwadkar, Amit; Ravindra, Rasik; Milton, Andy</t>
  </si>
  <si>
    <t>Petrogenesis of massif-type anorthosite complex, Gruber, Central Dronning Maud Land, East Antarctica: Implications for magma source and evolution</t>
  </si>
  <si>
    <t>ACTA GEOCHIMICA</t>
  </si>
  <si>
    <t>massif-type anorthosite; Gruber; East Antarctica; LA-ICPMS; geochemistry</t>
  </si>
  <si>
    <t>The origin of anorthosite and associated igneous gabbronorite and ferrodiorite was investigated through detailed study of a typical massif-type anorthosite complex from Gruber, Central Dronning Maud Land, East Antarctica. Field observations showed that the Gruber Complex is made up of gabbronorite-anorthosite pluton which was intruded by ferrodiorite dykes. Systematic samples collected from the Gruber Complex revealed significant geochemical variations within the region. Four rock types have been identified, based on modal proportions of mineral phases and their geochemistry data. Clinopyroxene-gabbronorite and plagioclase-gabbronorite are the two types of gabbronorite with the dominance of clinopyroxene and plagioclase, respectively. Anorthosite is represented by rocks having predominance of plagioclase with minor clinopyroxene. Ferrodiorite is characterized by modal abundance of orthopyroxene and Fe-Ti oxide. Major and trace element systematics showed that all the four rock types are co-magmatic and are related through fractional crystallization. Based on this study, it is reported that clinopyroxene was the first phase to crystallize followed by plagioclase and then Fe-Ti oxides. Furthermore, trace element composition of the parental melt was calculated using LA-ICPMS analysis of the most primitive, pure clinopyroxene found in the clinopyroxene gabbronorite. Our analyses suggested that the parental melt was similar to that of continental arc basalt and showed signatures of subduction-related metasomatism. Based on mineral chemical and geochemical data, it is interpreted that the parent melt went through changing sequence of crystallization which led to the formation of massive anorthosite.</t>
  </si>
  <si>
    <t>[Pandey, Anju; Milton, Andy] Natl Oceanog Ctr, European Way, Southampton SO14 3ZH, Hants, England; [Dharwadkar, Amit] Geol Survey India, Faridabad NH31, Haryana, India; [Ravindra, Rasik] Natl Ctr Antarct Ocean Res, Vasco Da Gama 403804, Goa, India</t>
  </si>
  <si>
    <t>University of Southampton; NERC National Oceanography Centre; Geological Survey India; Ministry of Earth Sciences (MoES) - India; National Centre for Polar and Ocean Research (NCPOR)</t>
  </si>
  <si>
    <t>Pandey, A (corresponding author), Natl Oceanog Ctr, European Way, Southampton SO14 3ZH, Hants, England.</t>
  </si>
  <si>
    <t>anju.pandey@noc.soton.ac.uk; anwa1@noc.soton.ac.uk</t>
  </si>
  <si>
    <t>Dharwadkar, Amit/0000-0001-7870-8058; Pandey, Anju/0009-0004-7299-3512</t>
  </si>
  <si>
    <t>University of Southampton; National Oceanography Centre, Southampton, UK</t>
  </si>
  <si>
    <t>The authors gratefully acknowledge Dr. S. Mookherjee, Director of Geological Survey of India for his help during the course of this study. RR and AD are thankful to fellow team members during Indian Antarctic Expeditions to Gruber (2003-2004 and 2006-2007). AP is thankful to the University of Southampton and National Oceanography Centre, Southampton, UK for post-doctoral funding. Cooperation of the geochemistry division of the NOC, Southampton, is sincerely acknowledged. Valuable comments and suggestions from both the reviewers helped significantly in revising the manuscript.</t>
  </si>
  <si>
    <t>SPRINGER INTERNATIONAL PUBLISHING AG</t>
  </si>
  <si>
    <t>CHAM</t>
  </si>
  <si>
    <t>GEWERBESTRASSE 11, CHAM, CH-6330, SWITZERLAND</t>
  </si>
  <si>
    <t>2096-0956</t>
  </si>
  <si>
    <t>2365-7499</t>
  </si>
  <si>
    <t>ACTA GEOCHIM</t>
  </si>
  <si>
    <t>ACTA GEOCHIM.</t>
  </si>
  <si>
    <t>DEC</t>
  </si>
  <si>
    <t>10.1007/s11631-009-0340-2</t>
  </si>
  <si>
    <t>Emerging Sources Citation Index (ESCI)</t>
  </si>
  <si>
    <t>V3J3G</t>
  </si>
  <si>
    <t>WOS:000218307900002</t>
  </si>
  <si>
    <t>Ryan, PG; Jones, MGW; Dyer, BM; Upfold, L; Crawford, RJM</t>
  </si>
  <si>
    <t>Ryan, P. G.; Jones, M. G. W.; Dyer, B. M.; Upfold, L.; Crawford, R. J. M.</t>
  </si>
  <si>
    <t>Recent population estimates and trends in numbers of albatrosses and giant petrels breeding at the sub-Antarctic Prince Edward Islands</t>
  </si>
  <si>
    <t>AFRICAN JOURNAL OF MARINE SCIENCE</t>
  </si>
  <si>
    <t>Diomedea; Macronectes; Marion Island; population size; population trends; Phoebetria; Prince Edward Island; Thalassarche</t>
  </si>
  <si>
    <t>TOOTHFISH LONGLINE FISHERY; SURFACE-NESTING SEABIRDS; SOUTHERN-OCEAN; MORTALITY; CLIMATE</t>
  </si>
  <si>
    <t>The second mid-summer survey of surface-nesting seabirds at the Prince Edward Island group (Marion and Prince Edward islands) was conducted during December 2008, seven years after the initial mid-summer survey. Wandering albatrosses Diomedea exulans may have decreased slightly at Prince Edward Island, mirroring a decrease of roughly 2% per year at Marion Island from 1998 to 2005, a decline that has since reversed. Numbers of grey-headed albatrosses Thalassarche chrysostoma on Marion Island have remained stable, whereas the population on Prince Edward Island decreased by 20% from 2001 to 2008 (3% per year). The estimate of Indian yellow-nosed albatrosses T. carteri at Prince Edward Island was similar in 2001 and 2008. Counts of both sooty albatrosses Phoebetria spp. were substantially higher at Prince Edward Island in 2008, possibly as a result of better coverage compared to 2001. Dark-mantled sooty albatrosses P. fusca on Marion Island have decreased by almost 2% per year since 1996, continuing a negative trend from the early 1980s, whereas light-mantled sooty albatrosses P. palpebrata have increased by almost 6% per year at Marion Island since 1996. Counts of both giant petrels increased at Prince Edward Island (northern Macronectes halli by 44%; southern M. giganteus by 28%), whereas their numbers have remained stable at Marion Island. Current best estimates for annual breeding populations (pairs) at the two islands are 3 650 wandering albatrosses, 9 500 grey-headed albatrosses, 7 000 Indian yellow-nosed albatrosses, 2 900 dark-mantled sooty albatrosses, 800 light-mantled sooty albatrosses, 750 northern giant petrels and 2 800 southern giant petrels, confirming the global importance of the Prince Edward Islands for these seven species. Apart from the dark-mantled sooty albatross, their populations are reasonably healthy despite fishing mortality.</t>
  </si>
  <si>
    <t>[Ryan, P. G.; Jones, M. G. W.] Univ Cape Town, Percy Fitzpatrick Inst, DST NRF Ctr Excellence, ZA-7701 Rondebosch, South Africa; [Dyer, B. M.; Upfold, L.; Crawford, R. J. M.] Marine &amp; Coastal Management, Dept Environm Affairs, ZA-8012 Cape Town, South Africa; [Crawford, R. J. M.] Univ Cape Town, Dept Zool, Anim Demog Unit, ZA-7701 Rondebosch, South Africa</t>
  </si>
  <si>
    <t>University of Cape Town; National Research Foundation - South Africa; Department of Environment, Forestry &amp; Fisheries; University of Cape Town</t>
  </si>
  <si>
    <t>Ryan, PG (corresponding author), Univ Cape Town, Percy Fitzpatrick Inst, DST NRF Ctr Excellence, ZA-7701 Rondebosch, South Africa.</t>
  </si>
  <si>
    <t>peter.ryan@uct.ac.za</t>
  </si>
  <si>
    <t>Marine Living Resources Fund; University of Cape Town; National Research Foundation; Prince Edward Islands Management Committee</t>
  </si>
  <si>
    <t>We thank Marthan Bester, Linda Clokie, John Cooper, Steven Chown, Jared Harding, Rob Leslie, Greg McClelland, Edith Mertz, Aaniyah Omardien, Samantha Petersen, Justine Shaw, Rob Tarr, Johan Visagie, Lauren Waller, Dave Whitelaw, Phil Whittington and Chris Wilke for their assistance in the field in 2008. Captain Mike Viljoen and the crew of the FRS Africana safely transported the 2008 expedition to and from the Prince Edward Islands. The Department of Environmental Affairs ( Branch Marine and Coastal Management) provided logistical support. Financial support was received from the Marine Living Resources Fund, the University of Cape Town, and the National Research Foundation. Permission to visit Prince Edward Island was granted by the Prince Edward Islands Management Committee. Counts on Marion Island since 1996 have been conducted by more than 30 field assistants; we thank them all for their efforts. Research at the Prince Edward Islands is supported by the South African National Antarctic Programme through the National Research Foundation.</t>
  </si>
  <si>
    <t>NATL INQUIRY SERVICES CENTRE PTY LTD</t>
  </si>
  <si>
    <t>GRAHAMSTOWN</t>
  </si>
  <si>
    <t>19 WORCESTER STREET, PO BOX 377, GRAHAMSTOWN 6140, SOUTH AFRICA</t>
  </si>
  <si>
    <t>1814-232X</t>
  </si>
  <si>
    <t>1814-2338</t>
  </si>
  <si>
    <t>AFR J MAR SCI</t>
  </si>
  <si>
    <t>Afr. J. Mar. Sci.</t>
  </si>
  <si>
    <t>10.2989/AJMS.2009.31.3.13.1001</t>
  </si>
  <si>
    <t>Marine &amp; Freshwater Biology</t>
  </si>
  <si>
    <t>537RQ</t>
  </si>
  <si>
    <t>WOS:000273131900013</t>
  </si>
  <si>
    <t>Crawford, RJM; Whittington, PA; Upfold, L; Ryan, PG; Petersen, SL; Dyer, BM; Cooper, J</t>
  </si>
  <si>
    <t>Crawford, R. J. M.; Whittington, P. A.; Upfold, L.; Ryan, P. G.; Petersen, S. L.; Dyer, B. M.; Cooper, J.</t>
  </si>
  <si>
    <t>Recent trends in numbers of four species of penguins at the Prince Edward Islands</t>
  </si>
  <si>
    <t>breeding success; gentoo penguin; king penguin; macaroni penguin; population size; population trend; rockhopper penguin</t>
  </si>
  <si>
    <t>SURFACE-NESTING SEABIRDS; MARION ISLAND; APTENODYTES-PATAGONICUS; ROCKHOPPER PENGUINS; FORAGING RANGE; POPULATION; MACARONI; ARRIVAL; SUMMER; MASS</t>
  </si>
  <si>
    <t>Four species of penguin breed regularly at South Africa's Prince Edward Islands: king penguin Aptenodytes patagonicus, gentoo penguin Pygoscelis papua, macaroni penguin Eudyptes chrysolophus and southern rockhopper penguin E. chrysocome. In December 2008, it was estimated that some 65 000 pairs of king penguins were incubating eggs at Marion Island, the larger of the two islands in the group, and 2 000 pairs at Prince Edward Island. At Marion Island from 1987 to 2008, there was no long-term trend in numbers of king penguin chicks that survived to the end of the winter period, but there was considerable fluctuation in chick production in the 1990s. It was roughly estimated that on average 88% of king penguin chicks survived the winter period (from April to September/October). Numbers of gentoo penguins at Marion Island decreased from more than 1 300 pairs in the mid-1990s to fewer than 800 pairs in 2003, and then increased to almost 1 100 pairs in 2008 as breeding success improved. Between 1994/1995 and 2008/2009, numbers of macaroni and southern rockhopper penguins at Marion Island decreased by about 30% and 70% respectively. In 2008/2009, some 290 000 pairs of macaroni penguins bred at this island, mostly in two large colonies where there was a progressive decrease in the density of nests. At both these colonies, decreases in numbers breeding followed outbreaks of disease. Inadequate breeding success has influenced the decreases of macaroni and rockhopper penguins. In 2008/2009, some 42 000 pairs of southern rockhopper penguins bred at Marion Island and 12 000 pairs of macaroni penguins and 38 000 pairs of southern rockhopper penguins at Prince Edward Island.</t>
  </si>
  <si>
    <t>[Crawford, R. J. M.; Upfold, L.; Dyer, B. M.] Marine &amp; Coastal Management, Dept Environm Affairs, ZA-8012 Cape Town, South Africa; [Crawford, R. J. M.; Cooper, J.] Univ Cape Town, Dept Zool, Anim Demog Unit, ZA-7701 Rondebosch, South Africa; [Whittington, P. A.] E London Museum, ZA-5213 Southernwood, South Africa; [Whittington, P. A.] Nelson Mandela Metropolitan Univ, Dept Zool, ZA-6031 Port Elizabeth, South Africa; [Ryan, P. G.] Univ Cape Town, Percy Fitzpatrick Inst, DST NRF Ctr Excellence, ZA-7701 Rondebosch, South Africa; [Petersen, S. L.] WWF S Africa, ZA-8002 Waterfront, South Africa</t>
  </si>
  <si>
    <t>Department of Environment, Forestry &amp; Fisheries; University of Cape Town; Nelson Mandela University; National Research Foundation - South Africa; University of Cape Town; World Wildlife Fund</t>
  </si>
  <si>
    <t>Crawford, RJM (corresponding author), Marine &amp; Coastal Management, Dept Environm Affairs, Private Bag X2, ZA-8012 Cape Town, South Africa.</t>
  </si>
  <si>
    <t>crawford@deat.gov.za</t>
  </si>
  <si>
    <t>National Research Foundation; Marine Living Resources Fund; Prince Edward Islands Management Committee</t>
  </si>
  <si>
    <t>Financial support was received from the National Research Foundation (South African National Antarctic Programme) and the Marine Living Resources Fund. We thank Marthan Bester, Linda Clokie, Steven Chown, Jared Harding, Rob Leslie, Greg McClelland, Aanyah Omardien, Justine Shaw, Rob Tarr, Johan Visagie, Lauren Waller, Dave Whitelaw and Chris Wilke for their assistance in the field in 2008. Counts on Marion Island since 1994 have been conducted by many fieldworkers and we are grateful to them all. Captain Mike Viljoen and the crew of the FRS Africana safely transported the 2008 expedition to and from the Prince Edward Islands and we thank them for their skill and hospitality. We are grateful to AC Wolfaardt and an anonymous reviewer for their comments on an earlier version of this manuscript. The Department of Environmental Affairs (Branch Marine and Coastal Management) provided logistical support. Permission to visit the Prince Edward Islands was granted by the Prince Edward Islands Management Committee.</t>
  </si>
  <si>
    <t>10.2989/AJMS.2009.31.3.14.1002</t>
  </si>
  <si>
    <t>WOS:000273131900014</t>
  </si>
  <si>
    <t>Crawford, RJM; Ryan, PG; Dyer, BM; Upfold, L</t>
  </si>
  <si>
    <t>Crawford, R. J. M.; Ryan, P. G.; Dyer, B. M.; Upfold, L.</t>
  </si>
  <si>
    <t>Recent trends in numbers of Crozet shags breeding at the Prince Edward Islands</t>
  </si>
  <si>
    <t>breeding success; Crozet shag; Phalacrocorax [atriceps] melanogenis; population trends</t>
  </si>
  <si>
    <t>SURFACE-NESTING SEABIRDS; MARION ISLAND; PHALACROCORAX-ATRICEPS; POPULATION; PENGUINS; DIET</t>
  </si>
  <si>
    <t>Numbers of Crozet shags Phalacrocorax [atriceps] melanogenis breeding at Marion Island decreased by more than 70% from 840 pairs in 1994/1995 to 220 pairs in 2003/2004 and then increased to some 500 pairs in 2008/2009. The trends are thought to have been influenced by breeding success, which averaged 0.30 and 0.66 chicks per pair per year during 1998/1999-2002/2003 and 2003/2004-2008/2009 respectively. There were similar trends in numbers breeding and breeding success of gentoo penguins Pygoscelis papua, which at Marion Island have a similar diet to Crozet shags, suggesting that both species may have been influenced by food availability. Numbers of Crozet shags breeding at Prince Edward Island approximately doubled between the summers of 2001/2002 and 2008/2009. In 2008/2009, some 600 pairs of Crozet shags were breeding at the Prince Edward Islands.</t>
  </si>
  <si>
    <t>[Crawford, R. J. M.; Dyer, B. M.; Upfold, L.] Marine &amp; Coastal Management, Dept Environm Affairs, ZA-8012 Cape Town, South Africa; [Crawford, R. J. M.] Univ Cape Town, Dept Zool, Anim Demog Unit, ZA-7701 Rondebosch, South Africa; [Ryan, P. G.] Univ Cape Town, Percy Fitzpatrick Inst, DST NRF Ctr Excellence, ZA-7701 Rondebosch, South Africa</t>
  </si>
  <si>
    <t>Department of Environment, Forestry &amp; Fisheries; University of Cape Town; National Research Foundation - South Africa; University of Cape Town</t>
  </si>
  <si>
    <t>Financial support was received from the National Research Foundation (South African National Antarctic Programme) and the Marine Living Resources Fund. We thank Marthan Bester, Linda Clokie, Steven Chown, John Cooper, Jared Harding, Rob Leslie, Greg McClelland, Aanyah Omardien, Samantha Petersen, Justine Shaw, Rob Tarr, Johan Visagie, Lauren Waller, Dave Whitelaw, Phil Whittington and Chris Wilke for their assistance in the field in 2008. Counts on Marion Island since 1994 have been conducted by many fieldworkers and we are grateful to them all. Captain Mike Viljoen and the crew of the FRS Africana safely transported the 2008 expedition to and from the Prince Edward Islands and we are grateful to them for their skill and hospitality. The Department of Environmental Affairs (Branch Marine and Coastal Management) provided logistical support. Permission to visit the Prince Edward Islands was granted by the Prince Edward Islands Management Committee. We thank N Parsons and one anonymous reviewer for valuable comments on an earlier version of the manuscript.</t>
  </si>
  <si>
    <t>10.2989/AJMS.2009.31.3.15.1003</t>
  </si>
  <si>
    <t>WOS:000273131900015</t>
  </si>
  <si>
    <t>Ryan, PG; Whittington, PA; Crawford, RJM</t>
  </si>
  <si>
    <t>Ryan, P. G.; Whittington, P. A.; Crawford, R. J. M.</t>
  </si>
  <si>
    <t>A tale of two islands: contrasting fortunes for Subantarctic skuas at the Prince Edward Islands</t>
  </si>
  <si>
    <t>burrowing petrels; Catharacta; diet; distribution; Marion Island; population size; Prince Edward Island</t>
  </si>
  <si>
    <t>SURFACE-NESTING SEABIRDS; SOUTHERN INDIAN-OCEAN; MARION-ISLAND; FERAL CATS; ERADICATION; NUMBERS</t>
  </si>
  <si>
    <t>Subantarctic skuas Catharacta antarctica are key predators of burrowing petrels at sub-Antarctic islands, and can be used to monitor the health of burrowing petrel populations. A survey of skuas at the Prince Edward Islands was conducted during December 2008, repeating a previous survey in December 2001. Prince Edward Island (46 km(2)) remains free of introduced mammals, whereas Marion Island (290 km(2)) had a feral population of cats from the 1950s to 1980s, and still supports a large population of introduced house mice Mus musculus. Breeding skuas were more widespread, occurred at greater densities and extended to higher elevations at Prince Edward Island than Marion Island. Prince Edward Island also supported twice as many non-breeding birds. Burrowing petrels comprised 96% of prey in skua middens at Prince Edward Island compared to only 22% on Marion Island where penguins are more important. The numbers of breeding pairs at Prince Edward Island increased from 2001 to 2008, probably as a result of better coverage in 2008, whereas the number of skua nests on Marion Island was barely half that counted in 2001, continuing an apparent decrease in this species at Marion Island since the 1980s. There is no evidence that removal of cats from Marion Island in the early 1990s has benefited the major native predator of burrowing petrels.</t>
  </si>
  <si>
    <t>[Ryan, P. G.] Univ Cape Town, DST NRF Ctr Excellence, Percy Fitzpatrick Inst, ZA-7701 Rondebosch, South Africa; [Whittington, P. A.] E London Museum, ZA-5213 Southernwood, South Africa; [Whittington, P. A.] Nelson Mandela Metropolitan Univ, Dept Zool, ZA-6031 Port Elizabeth, South Africa; [Crawford, R. J. M.] Marine &amp; Coastal Management, Dept Environm Affairs, ZA-8012 Cape Town, South Africa; [Crawford, R. J. M.] Univ Cape Town, Dept Zool, Anim Demog Unit, ZA-7701 Rondebosch, South Africa</t>
  </si>
  <si>
    <t>National Research Foundation - South Africa; University of Cape Town; Nelson Mandela University; Department of Environment, Forestry &amp; Fisheries; University of Cape Town</t>
  </si>
  <si>
    <t>Ryan, PG (corresponding author), Univ Cape Town, DST NRF Ctr Excellence, Percy Fitzpatrick Inst, ZA-7701 Rondebosch, South Africa.</t>
  </si>
  <si>
    <t>We thank Marthan Bester, Linda Clokie, John Cooper, Steven Chown, Jared Harding, Rob Leslie, Greg McClelland, Aaniyah Omardien, Samantha Petersen, Justine Shaw, Rob Tarr, Leshia Upfold, Johan Visagie, Lauren Waller, Dave Whitelaw and Chris Wilke for their assistance in the field in 2008. Ian Meikeljohn kindly provided elevation data for nests on Marion Island and calculated areas of different altitudinal belts on Prince Edward Island. Bruce Dyer assisted with data collation. Captain Mike Viljoen and the crew of the FRS Africana safely transported the 2008 expedition to and from the Prince Edward Islands. The Department of Environmental Affairs (Branch Marine and Coastal Management) provided logistical support. Financial support was received from the Marine Living Resources Fund, the University of Cape Town, and the National Research Foundation (South African National Antarctic Programme). Permission to visit Prince Edward Island was granted by the Prince Edward Islands Management Committee.</t>
  </si>
  <si>
    <t>10.2989/AJMS.2009.31.3.16.1004</t>
  </si>
  <si>
    <t>WOS:000273131900016</t>
  </si>
  <si>
    <t>Whittington, PA; Crawford, RJM; Dyer, BM; Ryan, PG</t>
  </si>
  <si>
    <t>Whittington, P. A.; Crawford, R. J. M.; Dyer, B. M.; Ryan, P. G.</t>
  </si>
  <si>
    <t>Estimates of numbers of kelp gulls and Kerguelen and Antarctic terns breeding at the Prince Edward Islands, 1996/1997-2008/2009</t>
  </si>
  <si>
    <t>Antarctic tern; kelp gull; Kerguelen tern; population trend; Prince Edward Islands</t>
  </si>
  <si>
    <t>SURFACE-NESTING SEABIRDS; MARION ISLAND; SOUTH-AFRICA; PLUMAGE; OCEAN; AGE</t>
  </si>
  <si>
    <t>Breeding numbers of Laridae and other surface-nesting seabirds have been monitored at sub-Antarctic Marion Island since 1996/1997 and counts of breeding birds were made at nearby Prince Edward Island in December 2001 and December 2008. Four species are regular breeders at the islands: Subantarctic skua Catharacta antarctica, kelp gull Larus dominicanus, Antarctic tern Sterna vittata and Kerguelen tern S. virgata. The latter three species currently each have populations of below 150 breeding pairs at the islands. Kelp gull numbers appear to be relatively stable though they may have decreased since the 1980s. Kerguelen tern numbers decreased and then recovered at Marion Island, but numbers of the species have declined at Prince Edward Island and it maintains a tenuous foothold there. The small Antarctic tern population appears to be stable.</t>
  </si>
  <si>
    <t>[Whittington, P. A.] E London Museum, ZA-5213 Southernwood, South Africa; [Whittington, P. A.] Nelson Mandela Metropolitan Univ, Dept Zool, ZA-6031 Port Elizabeth, South Africa; [Crawford, R. J. M.; Dyer, B. M.] Marine &amp; Coastal Management, Dept Environm Affairs, ZA-8012 Cape Town, South Africa; [Crawford, R. J. M.] Univ Cape Town, Dept Zool, Anim Demog Unit, ZA-7701 Rondebosch, South Africa; [Ryan, P. G.] Univ Cape Town, Percy Fitzpatrick Inst, DST NRF Ctr Excellence, ZA-7701 Rondebosch, South Africa</t>
  </si>
  <si>
    <t>Nelson Mandela University; Department of Environment, Forestry &amp; Fisheries; University of Cape Town; University of Cape Town; National Research Foundation - South Africa</t>
  </si>
  <si>
    <t>Whittington, PA (corresponding author), E London Museum, POB 11021, ZA-5213 Southernwood, South Africa.</t>
  </si>
  <si>
    <t>philw@elmuseum.za.org</t>
  </si>
  <si>
    <t>Financial support was received from the National Research Foundation (South African National Antarctic Programme) and the Marine Living Resources Fund. We thank Marthan Bester, Linda Clokie, Steven Chown, John Cooper, Jared Harding, Rob Leslie, Greg McClelland, Aanyah Omardien, Samantha Petersen, Justine Shaw, Rob Tarr, Leshia Upfold, Johan Visagie, Lauren Waller, Dave Whitelaw and Chris Wilke for their assistance in the field in 2008. Counts on Marion Island since 1996/1997 have been conducted by many fieldworkers and we are grateful to them all. Captain Mike Viljoen and the crew of the FRS Africana safely transported the 2008 expedition to and from the Prince Edward Islands and we are grateful to them for their skill and hospitality. The Department of Environmental Affairs (Branch Marine and Coastal Management) provided logistical support. Permission to visit the Prince Edward Islands was granted by the Prince Edward Islands Management Committee. We thank AJ Tree and an anonymous reviewer for helpful comments on the manuscript.</t>
  </si>
  <si>
    <t>10.2989/AJMS.2009.31.3.17.1005</t>
  </si>
  <si>
    <t>WOS:000273131900017</t>
  </si>
  <si>
    <t>Oosthuizen, WC; Dyer, BM; de Bruyn, PJN</t>
  </si>
  <si>
    <t>Oosthuizen, W. C.; Dyer, B. M.; de Bruyn, P. J. N.</t>
  </si>
  <si>
    <t>Vagrant birds ashore at the Prince Edward Islands, southern Indian Ocean, from 1987 to 2009</t>
  </si>
  <si>
    <t>avian; Marion Island; Palaearctic migrants; sub-Antarctic; vagrant</t>
  </si>
  <si>
    <t>Vagrant birds recorded ashore at Marion Island and Prince Edward Island from 1987 to 2009 are documented. In total, 101 observations (including multiple sightings of potentially the same individual) of 29 species were made. Palaearctic and Holarctic migrants (17 species), African species (n = 6) and pelagic species with a predominantly Southern Ocean distribution (n = 6) were observed. The number of observations peaked during the austral autumn, which corresponded to both the northward migration of Palaearctic species and maximum observer effort. Ruddy turnstones Arenaria interpres, barn swallows Hirundo rustica, common house-martins Delichon urbicum and cattle egrets Bubulcus ibis were most frequently observed; ruddy turnstones and common house-martins apparently increasing in occurrence over the past two decades.</t>
  </si>
  <si>
    <t>[Oosthuizen, W. C.; de Bruyn, P. J. N.] Univ Pretoria, Dept Zool &amp; Entomol, Mammal Res Inst, ZA-0002 Pretoria, South Africa; [Dyer, B. M.] Marine &amp; Coastal Management, Dept Environm Affairs, ZA-8012 Cape Town, South Africa</t>
  </si>
  <si>
    <t>University of Pretoria; Department of Environment, Forestry &amp; Fisheries</t>
  </si>
  <si>
    <t>Oosthuizen, WC (corresponding author), Univ Pretoria, Dept Zool &amp; Entomol, Mammal Res Inst, ZA-0002 Pretoria, South Africa.</t>
  </si>
  <si>
    <t>wcoosthuizen@zoology.up.ac.za</t>
  </si>
  <si>
    <t>de Bruyn, P. J. Nico/E-4176-2010; Oosthuizen, W. Chris/I-2947-2016</t>
  </si>
  <si>
    <t>de Bruyn, P. J. Nico/0000-0002-9114-9569; Oosthuizen, W. Chris/0000-0003-2905-6297</t>
  </si>
  <si>
    <t>National Research Foundation; Animal Demography Unit, Department of Zoology, University of Cape Town</t>
  </si>
  <si>
    <t>We thank two reviewers who provided constructive and relevant comments that improved the manuscript. We thank all the island personnel that reported their sightings of unusual species, the Department of Environmental Affairs for logistic support, the Branch Marine and Coastal Management for setting up the summer surveys to the islands and logging data on vagrant birds reported at the PEIs and the National Research Foundation for partially funding these surveys. Staff at the Transvaal Museum, Pretoria, provided access to collected specimens. While compiling this manuscript, WCO and PJNdB received financial support from a National Research Foundation grant-holder-linked bursary within the project 'Conservation of Seabirds, Shorebirds and Seals', led by Les Underhill of the Animal Demography Unit, Department of Zoology, University of Cape Town.</t>
  </si>
  <si>
    <t>10.2989/AJMS.2009.31.3.18.1006</t>
  </si>
  <si>
    <t>Green Submitted</t>
  </si>
  <si>
    <t>WOS:000273131900018</t>
  </si>
  <si>
    <t>Bester, MN; Ryan, PG; Visagie, J</t>
  </si>
  <si>
    <t>Bester, M. N.; Ryan, P. G.; Visagie, J.</t>
  </si>
  <si>
    <t>Summer survey of fur seals at Prince Edward Island, southern Indian Ocean</t>
  </si>
  <si>
    <t>Arctocephalus; distribution; fur seals; population increase; Prince Edward Island; Subantarctic</t>
  </si>
  <si>
    <t>ARCTOCEPHALUS-TROPICALIS; MARION ISLAND; GOUGH-ISLAND; HYBRIDIZATION; GAZELLA; MORTALITY</t>
  </si>
  <si>
    <t>The onshore distributions and the abundances of Antarctic fur seals Arctocephalus gazella and Subantarctic fur seals A. tropicalis were determined at Prince Edward Island during 16-20 December 2008. This repeats a survey conducted in December 2001 and extends the area surveyed to include the entire south-west coast of Prince Edward Island. Of the two colonies of Antarctic fur seals, the colony among Subantarctic fur seals north of Boggel Beach remained small, with increased numbers of Subantarctic fur seals and putative hybrids. The other Antarctic fur seal breeding colony at Penguin Beach remained free of Subantarctic fur seals and had expanded at a mean intrinsic rate of natural increase of 11.4% per year from 2001. With an estimated 810 pups, the Antarctic fur seal is still in the rapid recolonisation phase of population growth. The distribution of the more widespread and abundant Subantarctic fur seals also had increased, with several new breeding colonies along the east coast and one at Kent Crater on the west coast. The annual pup production was conservatively estimated at 14 130 pups. The mean intrinsic rate of natural increase has declined to -0.3% per year over the last seven years, compared to the 9.3% per year between 1987/1988 and 2001/2002, and the population is in the mature phase of population growth.</t>
  </si>
  <si>
    <t>[Bester, M. N.] Univ Pretoria, Mammal Res Inst, Dept Zool &amp; Entomol, ZA-0002 Pretoria, South Africa; [Ryan, P. G.] Univ Cape Town, Percy Fitzpatrick Inst, DST NRF Ctr Excellence, ZA-7701 Rondebosch, South Africa; [Visagie, J.] Cape Nat, ZA-7701 Rondebosch, South Africa</t>
  </si>
  <si>
    <t>University of Pretoria; National Research Foundation - South Africa; University of Cape Town</t>
  </si>
  <si>
    <t>Bester, MN (corresponding author), Univ Pretoria, Mammal Res Inst, Dept Zool &amp; Entomol, ZA-0002 Pretoria, South Africa.</t>
  </si>
  <si>
    <t>mnbester@zoology.up.ac.za</t>
  </si>
  <si>
    <t>Bester, Marthán N/E-5387-2010</t>
  </si>
  <si>
    <t>10.2989/AJMS.2009.31.3.19.1007</t>
  </si>
  <si>
    <t>WOS:000273131900019</t>
  </si>
  <si>
    <t>Oosthuizen, WC; Bester, MN; de Bruyn, PJN; Hofmeyr, GJG</t>
  </si>
  <si>
    <t>Oosthuizen, W. C.; Bester, M. N.; de Bruyn, P. J. N.; Hofmeyr, G. J. G.</t>
  </si>
  <si>
    <t>Intra-archipelago moult dispersion of southern elephant seals at the Prince Edward Islands, southern Indian Ocean</t>
  </si>
  <si>
    <t>capture heterogeneity; dispersal; mark-resight; Mirounga leonina; movement; Prince Edward Islands; site fidelity; sub-Antarctic</t>
  </si>
  <si>
    <t>MIROUNGA-LEONINA; MARION-ISLAND; WINTER HAULOUT; SURVIVAL; POPULATION; MARKING; AGE</t>
  </si>
  <si>
    <t>During three summer surveys at Prince Edward Island (PEI), southern Indian Ocean (2001, 2004 and 2008), 416 southern elephant seals Mirounga leonina were inspected for identification tags. In all, 42 seals that had been tagged as weaned pups at their natal site were found on Marion Island (MI), 38 of which could be individually identified by resighting their tag numbers. The majority of the MI-tagged seals were yearlings or subadults, and all but one were hauled out at PEI for the annual moult. The attendance rate of the known individuals at their natal island during the annual moult was only 40%, based on their resighting histories. This was significantly lower than the 77 +/- 6% moult attendance rate estimated for a random MI population sample drawn from the same cohorts (based on 10 000 replications). Annual resight probabilities (considering all haulout phases) was 58% per annum for the MI seals seen at PEI, and 80 +/- 4% for the simulation. Seasonal and annual absences of seals from MI violate the 'homogeneity of capture' assumption of mark-recapture models. When multiple sightings during any year are treated as a single sighting, resights during other haulouts (e.g. breeding) compensate only partially for absences during the moult. Therefore, mark-recapture studies undertaken in archipelagos should ideally include both marking and resighting of individuals on all islands which will allow discrimination between mortality and local migration.</t>
  </si>
  <si>
    <t>[Oosthuizen, W. C.; Bester, M. N.; de Bruyn, P. J. N.; Hofmeyr, G. J. G.] Univ Pretoria, Mammal Res Inst, Dept Zool &amp; Entomol, ZA-0002 Pretoria, South Africa; [Hofmeyr, G. J. G.] Port Elizabeth Museum Bayworld, ZA-6013 Humewood, South Africa</t>
  </si>
  <si>
    <t>University of Pretoria</t>
  </si>
  <si>
    <t>Oosthuizen, WC (corresponding author), Univ Pretoria, Mammal Res Inst, Dept Zool &amp; Entomol, ZA-0002 Pretoria, South Africa.</t>
  </si>
  <si>
    <t>Hofmeyr, G. J. Greg/AAV-3286-2020; Oosthuizen, W. Chris/I-2947-2016; de Bruyn, P. J. Nico/E-4176-2010; Bester, Marthán N/E-5387-2010</t>
  </si>
  <si>
    <t>Hofmeyr, G. J. Greg/0000-0003-0283-6058; Oosthuizen, W. Chris/0000-0003-2905-6297; de Bruyn, P. J. Nico/0000-0002-9114-9569;</t>
  </si>
  <si>
    <t>Prince Edward Islands Management Committee; National Research Foundation; Animal Demography Unit, Department of Zoology, University of Cape Town</t>
  </si>
  <si>
    <t>We thank Mark Hindell for assistance with the simulation model, and John van den Hoff and Steve Kirkman for their insightful comments on an earlier draft of the manuscript. We thank the Department of Environmental Affairs for logistic support and the Branch Marine and Coastal Management for setting up the summer surveys, under the leadership of Robert Crawford. Peter Ryan, Bruce Dyer and Johan Visagie variously assisted with overall counts during the summer surveys. Permission to visit Prince Edward Island was granted by the Prince Edward Islands Management Committee. While compiling this manuscript, WCO received financial support from a National Research Foundation grant-holder-linked bursary within the project: Conservation of Seabirds, Shorebirds and Seals, led by Les Underhill of the Animal Demography Unit, Department of Zoology, University of Cape Town.</t>
  </si>
  <si>
    <t>10.2989/AJMS.2009.31.3.20.1008</t>
  </si>
  <si>
    <t>WOS:000273131900020</t>
  </si>
  <si>
    <t>Barrera, T</t>
  </si>
  <si>
    <t>Barrera, Trinidad</t>
  </si>
  <si>
    <t>OF ANTARCTIC ACADEMIES, SPANISH CIVIL WAR REFUGEES AND PARNASSUS</t>
  </si>
  <si>
    <t>AMERICA SIN NOMBRE</t>
  </si>
  <si>
    <t>Spanish</t>
  </si>
  <si>
    <t>literary academies; Diego Mexia; Heroides; Ovid; Spanish writers</t>
  </si>
  <si>
    <t>The literary academies established schools and dictated tastes and they were formed with great effort by the Creole societies and also supported enthusiastically by Spanish writers on the peninsula. Diego Mexia de Fernangil was one of the members of the Peruvian Academia Antartica, he was the author of an interesting translation of Ovid's Heroides written completely on American soil in Peru and Mexico and printed in Seville in 1608.</t>
  </si>
  <si>
    <t>[Barrera, Trinidad] Univ Seville, Literatura Hispanoamer, Seville, Spain</t>
  </si>
  <si>
    <t>University of Sevilla</t>
  </si>
  <si>
    <t>Barrera, T (corresponding author), Univ Seville, Literatura Hispanoamer, Seville, Spain.</t>
  </si>
  <si>
    <t>Barrera, Trinidad/H-4687-2018</t>
  </si>
  <si>
    <t>UNIV ALICANTE</t>
  </si>
  <si>
    <t>ALICANTE</t>
  </si>
  <si>
    <t>APARTADO DE CORREOS 99, ALICANTE, 3080, SPAIN</t>
  </si>
  <si>
    <t>1577-3442</t>
  </si>
  <si>
    <t>1989-9831</t>
  </si>
  <si>
    <t>AM NR</t>
  </si>
  <si>
    <t>Am. Nr.</t>
  </si>
  <si>
    <t>13-14</t>
  </si>
  <si>
    <t>10.14198/AMESN2009.13-14.04</t>
  </si>
  <si>
    <t>Humanities, Multidisciplinary</t>
  </si>
  <si>
    <t>Arts &amp; Humanities - Other Topics</t>
  </si>
  <si>
    <t>V8A1V</t>
  </si>
  <si>
    <t>Green Submitted, gold, Green Published</t>
  </si>
  <si>
    <t>WOS:000421450200004</t>
  </si>
  <si>
    <t>Leknes, IL</t>
  </si>
  <si>
    <t>Leknes, I. L.</t>
  </si>
  <si>
    <t>Structural and Histochemical Studies on the Teleostean Bulbus Arteriosus</t>
  </si>
  <si>
    <t>ANATOMIA HISTOLOGIA EMBRYOLOGIA</t>
  </si>
  <si>
    <t>TUNA THUNNUS-ALBACARES; ENDOTHELIAL-CELLS; ANTARCTIC TELEOSTS; POECILIIDAE; ENDOCARDIUM; ENDOCYTOSIS; CHARACIDAE; FERRITIN; FISH; FORM</t>
  </si>
  <si>
    <t>P&gt;The structure and histochemical properties of the bulbus arteriosus in two species from an evolutionary old teleost family, Characidae, and in three modern teleosts, family Cichlidae, are described. The bulbar wall was composed of an outer layer, a middle layer and a strongly folded inner layer covered by a thick, granule-rich endothelial cell layer towards the lumen. One of the cichlid species (Thorichthys meeki) was injected intraperitoneally with horse ferritin; the endothelial cell layer of the heart atrium and ventricle displayed high ability to endocytose ferritin particles from the blood stream, but the corresponding layer in the bulbus arteriosus displayed no such uptake. This finding suggests that the bulbar endothelial cell layer plays no scavenger or immunological blood cleansing roles in this species. The bulbar endothelial cell granules were strongly coloured by periodic acid-Schiff (PAS) in the present cichlids, but weakly coloured by PAS in the present characids. These cell layers were uncoloured by alkaline carmine in ethanol in both cichlids and characids. The negative carmine test combined with a positive PAS test for the bulbar endothelial cell layer in the present cichlids indicates that these cells contain only small amounts of polysaccharides. The weak PAS-colouring for the bulbar endothelial cell layer in characids indicates a very low content of sugars in these cells. These findings together with the fact that this cell layer in the present cichlids and characids was nearly uncoloured when treated with orcein, Heidenhain's Azan or Schmorl's solutions for elastic materials suggest that the bulbar endothelial granules do not play any role in the blood cleansing or in the rebuilding or maintenance of the ground substance or elastic material in the bulbar wall. Probably, the granules in the bulbar endothelial cell layer in the present species contain mainly proteins, connected to some PAS-positive polysaccharides to enhance their solubility.</t>
  </si>
  <si>
    <t>Sogn Fjordane Univ Coll, Fac Sci &amp; Engn, N-6851 Sogndal, Norway</t>
  </si>
  <si>
    <t>Western Norway University of Applied Sciences</t>
  </si>
  <si>
    <t>Leknes, IL (corresponding author), Sogn Fjordane Univ Coll, Fac Sci &amp; Engn, Box 133, N-6851 Sogndal, Norway.</t>
  </si>
  <si>
    <t>ingvar.leknes@hisf.no</t>
  </si>
  <si>
    <t>WILEY</t>
  </si>
  <si>
    <t>HOBOKEN</t>
  </si>
  <si>
    <t>111 RIVER ST, HOBOKEN 07030-5774, NJ USA</t>
  </si>
  <si>
    <t>0340-2096</t>
  </si>
  <si>
    <t>1439-0264</t>
  </si>
  <si>
    <t>ANAT HISTOL EMBRYOL</t>
  </si>
  <si>
    <t>Anat. Histol. Embryol.</t>
  </si>
  <si>
    <t>10.1111/j.1439-0264.2009.00963.x</t>
  </si>
  <si>
    <t>Anatomy &amp; Morphology; Veterinary Sciences</t>
  </si>
  <si>
    <t>519ID</t>
  </si>
  <si>
    <t>WOS:000271758400005</t>
  </si>
  <si>
    <t>Granadeiro, JP; Alonso, H; Almada, V; Menezes, D; Phillips, RA; Catry, P</t>
  </si>
  <si>
    <t>Granadeiro, Jose P.; Alonso, Hany; Almada, Vitor; Menezes, Dilia; Phillips, Richard A.; Catry, Paulo</t>
  </si>
  <si>
    <t>Mysterious attendance cycles in Cory's shearwater, Calonectris diomedea: an exploration of patterns and hypotheses</t>
  </si>
  <si>
    <t>ANIMAL BEHAVIOUR</t>
  </si>
  <si>
    <t>Berlenga Island; Calonectris diomedea; Cory's shearwater; logger; periodicity; seabird; Selvagem Grande; social interaction; synchrony</t>
  </si>
  <si>
    <t>COLONY ATTENDANCE; BEHAVIOR; RHYTHMS; BOREALIS; NUMBERS; GRANDE; WIND; SEA</t>
  </si>
  <si>
    <t>Several species of seabirds show cyclic patterns of attendance at their nesting colonies. We examined the patterns of variation in the numbers of Cory's shearwater at three colonies (two oceanic and one located on the continental shelf), including the world's largest, at Selvagem Grande, Madeira, Portugal and considered several hypotheses concerning their causal mechanisms. At Selvagem Grande, cycles were exceptionally marked and regular, with a periodicity ranging from 7.8 to 11 days, and involved both breeders and nonbreeders. In contrast, variation in numbers was aperiodic at a nearby and much smaller colony (Selvagem Pequena), and also at the colony located off the Portuguese coast (Berlenga Island). We found no relationships between number of birds ashore and environmental variables such as wind direction and speed or lunar cycle. Cycles did not seem to be driven by oscillations in food availability or accessibility, given that they did not correlate with daily chick growth rates (which were acyclic) or diet. Despite their regularity, cycles were slightly out of phase in different sectors of Selvagem Grande, which suggests that social interactions at the colony could act as an entrainment agent for an endogenous rhythm, and so cycles are probably more likely to occur in large and dense colonies. Observations are consistent with the hypothesis that cycles facilitate social interactions by maximizing the probability of encounters at the colony. However, the exact mechanisms through which these remarkable cycles are controlled are still completely unknown, and clearly further research is needed. (C) 2009 The Association for the Study of Animal Behaviour. Published by Elsevier Ltd. All rights reserved.</t>
  </si>
  <si>
    <t>[Granadeiro, Jose P.] Univ Lisbon, Museo Nacl Hist Nat, Ctr Biol Ambiental, P-1269102 Lisbon, Portugal; [Alonso, Hany; Almada, Vitor; Catry, Paulo] Inst Super Psicol Aplicada, Ecoethol Res Unit, P-1149041 Lisbon, Portugal; [Almada, Vitor] Parque Nat Madeira, P-9050251 Funchal, Portugal; [Phillips, Richard A.] British Antarctic Survey, NERC, Cambridge CB3 0ET, England</t>
  </si>
  <si>
    <t>Universidade de Lisboa; Instituto Superior Psicologia Aplicada (ISPA); UK Research &amp; Innovation (UKRI); Natural Environment Research Council (NERC); NERC British Antarctic Survey</t>
  </si>
  <si>
    <t>Granadeiro, JP (corresponding author), Univ Lisbon, Museo Nacl Hist Nat, Ctr Biol Ambiental, Rua Escola Politecn 58, P-1269102 Lisbon, Portugal.</t>
  </si>
  <si>
    <t>jpgranadeiro@fc.ul.pt</t>
  </si>
  <si>
    <t>Granadeiro, José Pedro/E-8060-2011; Catry, Paulo/I-5408-2013</t>
  </si>
  <si>
    <t>Granadeiro, José Pedro/0000-0002-7207-3474; Alonso, Hany/0000-0001-6698-6018; Catry, Paulo/0000-0003-3000-0522</t>
  </si>
  <si>
    <t>Fundacao para a Ciencia e a Tecnologia (FCT-Portugal) [POCTI/MAR/58778/2004, BPD/11631/02, SFRH/BD/47055/2008]; Fundação para a Ciência e a Tecnologia [SFRH/BD/47055/2008] Funding Source: FCT; Natural Environment Research Council [bas0100025] Funding Source: researchfish; NERC [bas0100025] Funding Source: UKRI</t>
  </si>
  <si>
    <t>Fundacao para a Ciencia e a Tecnologia (FCT-Portugal)(Fundacao para a Ciencia e a Tecnologia (FCT)); Fundação para a Ciência e a Tecnologia(Fundacao para a Ciencia e a Tecnologia (FCT)); Natural Environment Research Council(UK Research &amp; Innovation (UKRI)Natural Environment Research Council (NERC)); NERC(UK Research &amp; Innovation (UKRI)Natural Environment Research Council (NERC))</t>
  </si>
  <si>
    <t>We thank the Parque Natural da Madeira for permission to carry out work on Selvagem Gande and all the wardens for helping to make our stay enjoyable. We are particularly grateful to Paulo Oliveira for his continuing support and also to the nature wardens involved in counting birds at Selvagem Pequena. We also thank Rafael Matias and Luis Vicente for carrying out the bird counts during their stay at Selvagem Grande and Berlenga islands, respectively. Jaime A. Ramos helped with fieldwork and Maria P. Dias provided useful comments on the manuscript. NCEP reanalysis data were provided by the NOAA/OAR/ESRL PSD, Boulder, Colorado, U. S. A. from theirweb site at http://www.cdc.noaa.gov/. This study is an output from a project on the ecology of Cory's shearwaters (POCTI/MAR/58778/2004) supported by Fundacao para a Ciencia e a Tecnologia (FCT-Portugal). P. Catry and H. Alonso benefited from fellowships from FCT (BPD/11631/02 and SFRH/BD/47055/2008, respectively).</t>
  </si>
  <si>
    <t>ACADEMIC PRESS LTD- ELSEVIER SCIENCE LTD</t>
  </si>
  <si>
    <t>24-28 OVAL RD, LONDON NW1 7DX, ENGLAND</t>
  </si>
  <si>
    <t>0003-3472</t>
  </si>
  <si>
    <t>1095-8282</t>
  </si>
  <si>
    <t>ANIM BEHAV</t>
  </si>
  <si>
    <t>Anim. Behav.</t>
  </si>
  <si>
    <t>10.1016/j.anbehav.2009.09.029</t>
  </si>
  <si>
    <t>Behavioral Sciences; Zoology</t>
  </si>
  <si>
    <t>525HA</t>
  </si>
  <si>
    <t>WOS:000272204500024</t>
  </si>
  <si>
    <t>Walton, DWH</t>
  </si>
  <si>
    <t>Walton, D. W. H.</t>
  </si>
  <si>
    <t>Antarctic Treaty Summit</t>
  </si>
  <si>
    <t>ANTARCTIC SCIENCE</t>
  </si>
  <si>
    <t>Walton, David/0000-0002-7103-4043</t>
  </si>
  <si>
    <t>CAMBRIDGE UNIV PRESS</t>
  </si>
  <si>
    <t>32 AVENUE OF THE AMERICAS, NEW YORK, NY 10013-2473 USA</t>
  </si>
  <si>
    <t>0954-1020</t>
  </si>
  <si>
    <t>ANTARCT SCI</t>
  </si>
  <si>
    <t>Antarct. Sci.</t>
  </si>
  <si>
    <t>10.1017/S0954102009990575</t>
  </si>
  <si>
    <t>Environmental Sciences; Geography, Physical; Geosciences, Multidisciplinary</t>
  </si>
  <si>
    <t>Environmental Sciences &amp; Ecology; Physical Geography; Geology</t>
  </si>
  <si>
    <t>536XT</t>
  </si>
  <si>
    <t>WOS:000273077900001</t>
  </si>
  <si>
    <t>Convey, P; Bindschadler, R; di Prisco, G; Fahrbach, E; Gutt, J; Hodgson, DA; Mayewski, PA; Summerhayes, CP; Turner, J</t>
  </si>
  <si>
    <t>Convey, P.; Bindschadler, R.; di Prisco, G.; Fahrbach, E.; Gutt, J.; Hodgson, D. A.; Mayewski, P. A.; Summerhayes, C. P.; Turner, J.</t>
  </si>
  <si>
    <t>ACCE Consortium</t>
  </si>
  <si>
    <t>Antarctic climate change and the environment</t>
  </si>
  <si>
    <t>Antarctica; biology; environmental change; geology; glaciology; Southern Ocean</t>
  </si>
  <si>
    <t>CARBON-DIOXIDE CONCENTRATIONS; SOUTHERN ANNULAR MODE; SEA-LEVEL RISE; ICE-SHEET; SURFACE-TEMPERATURE; ATMOSPHERIC CO2; ACTIVE LAYER; WEDDELL SEA; OCEAN; GLACIER</t>
  </si>
  <si>
    <t>The Antarctic climate system varies on timescales from orbital, through millennial to sub-annual, and is closely coupled to other parts of the global climate system. We review these variations from the perspective of the geological and glaciological records and the recent historical period from which we have instrumental data (similar to the last 50 years). We consider their consequences for the biosphere, and show how the latest numerical models project changes into the future, taking into account human actions in the form of the release of greenhouse gases and chlorofluorocarbons into the atmosphere. In doing so, we provide an essential Southern Hemisphere companion to the Arctic Climate Impact Assessment.</t>
  </si>
  <si>
    <t>[Convey, P.; Hodgson, D. A.; Turner, J.] British Antarctic Survey, NERC, Cambridge CB3 0ET, England; [Bindschadler, R.] NASA, Goddard Space Flight Ctr, Hydrospher &amp; Biospher Sci Lab, Greenbelt, MD 20771 USA; [di Prisco, G.] CNR, Inst Prot Biochem, I-80131 Naples, Italy; [Fahrbach, E.; Gutt, J.] Alfred Wegener Inst Polar &amp; Marine Res, D-27570 Bremerhaven, Germany; [Mayewski, P. A.] Univ Maine, Sawyer Res Facil, Climate Change Inst, Orono, ME 04469 USA; [Summerhayes, C. P.] Univ Cambridge, Scott Polar Res Inst, Sci Comm Antarctic Res, Cambridge CB2 1ER, England</t>
  </si>
  <si>
    <t>UK Research &amp; Innovation (UKRI); Natural Environment Research Council (NERC); NERC British Antarctic Survey; National Aeronautics &amp; Space Administration (NASA); NASA Goddard Space Flight Center; Consiglio Nazionale delle Ricerche (CNR); Istituto di Biochimica delle Proteine (IBP-CNR); Helmholtz Association; Alfred Wegener Institute, Helmholtz Centre for Polar &amp; Marine Research; University of Maine System; University of Maine Orono; University of Cambridge</t>
  </si>
  <si>
    <t>Convey, P (corresponding author), British Antarctic Survey, NERC, High Cross,Madingley Rd, Cambridge CB3 0ET, England.</t>
  </si>
  <si>
    <t>pcon@bas.ac.uk</t>
  </si>
  <si>
    <t>Robinson, Sharon/B-2683-2008; Fastook, James L./J-1465-2019; Convey, Peter/AAV-5728-2020; Pörtner, Hans-O./K-9429-2016; Pörtner, Hans-O./ISU-9397-2023; Mayewski, Paul Andrew/HRD-6969-2023; Bentley, Michael J/F-7386-2011; Zane, Lorenzo/G-6249-2010; Adams, Byron/C-3808-2009; Heywood, Karen/L-1757-2016; van Ommen, Tas/B-5020-2012; Lynch, Amanda/B-4278-2011; Lenton, Andrew/D-2077-2012</t>
  </si>
  <si>
    <t>Robinson, Sharon/0000-0002-7130-9617; Fastook, James L./0000-0003-3900-671X; Convey, Peter/0000-0001-8497-9903; Pörtner, Hans-O./0000-0001-6535-6575; Bentley, Michael J/0000-0002-2048-0019; Barbante, Carlo/0000-0003-4177-2288; Orejas Saco del Valle, Covadonga/0000-0002-2580-1002; Meredith, Michael/0000-0002-7342-7756; Zane, Lorenzo/0000-0002-6963-2132; metzl, nicolas/0000-0002-1165-1074; Adams, Byron/0000-0002-7815-3352; Isla, Enrique/0000-0003-4959-6936; Heywood, Karen/0000-0001-9859-0026; Turner, John/0000-0002-6111-5122; Naveira Garabato, Alberto/0000-0001-6071-605X; Bertler, Nancy/0000-0001-6028-4891; Goodwin, Ian/0000-0001-8682-6409; van Ommen, Tas/0000-0002-2463-1718; Lynch, Amanda/0000-0003-2990-1016; Lenton, Andrew/0000-0001-9437-8896; Vaughan, David/0000-0002-9065-0570; Gutt, Julian/0000-0003-3773-9370; Linse, Katrin/0000-0003-3477-3047; VERDE, Cinzia/0000-0001-6185-282X; SCAMBOS, Ted A./0000-0003-4268-6322; Woodworth, Philip/0000-0002-6681-239X; bopp, laurent/0000-0003-4732-4953; Abram, Nerilie/0000-0003-1246-2344; Lefebvre, Wouter/0000-0002-3277-3118</t>
  </si>
  <si>
    <t>NERC [NE/E013341/1, NE/E01366X/1, bas0100025] Funding Source: UKRI; Natural Environment Research Council [bas0100025] Funding Source: researchfish</t>
  </si>
  <si>
    <t>1365-2079</t>
  </si>
  <si>
    <t>10.1017/S0954102009990642</t>
  </si>
  <si>
    <t>Green Published, Green Submitted, Green Accepted</t>
  </si>
  <si>
    <t>WOS:000273077900002</t>
  </si>
  <si>
    <t>Kuhn, KL; Near, TJ</t>
  </si>
  <si>
    <t>Kuhn, Kristen L.; Near, Thomas J.</t>
  </si>
  <si>
    <t>Phylogeny of Trematomus (Notothenioidei: Nototheniidae) inferred from mitochondrial and nuclear gene sequences</t>
  </si>
  <si>
    <t>Bayesian phylogeny; Cryothenia; Pagothenia; ribosomal protein S7; Trematominae</t>
  </si>
  <si>
    <t>FISHES PERCIFORMES; EVOLUTION; TELEOSTEI; MODEL; DNA</t>
  </si>
  <si>
    <t>The biota of Antarctica is amazingly rich and highly endemic. The phylogenetics of notothenioid fishes has been extensively investigated through analyses of morphological characters, DNA sequences from mitochondrial genes, and single copy nuclear genes. These phylogenetic analyses have produced reasonably similar phylogenetic trees of notothenioids, however a number of phylogenetic questions remain. The nototheniid clade Trematomus is an example of a group where phylogenetic relationships remain unresolved. In this paper we revisit the phylogenetic relationships of Trematomus using both increased taxon sampling and an expanded dataset which includes DNA sequences from two mitochondrial genes (ND2 and 16S rRNA) and one single-copy nuclear gene (RPS7). The Bayesian phylogeny resulting from the analysis of the combined mitochondrial and nuclear gene datasets was well resolved and contained more interspecific nodes supported with significant Bayesian posteriors than either the mitochondrial or nuclear gene phylogenies alone. This demonstrates that the addition of nuclear gene sequence data to mitochondrial data can enhance phylogenetic resolution and increase node support. Additionally, the results of the combined mitochondrial and nuclear Bayesian analyses provide further support for the inclusion of species previously classified as Pagothenia and Cryothenia in Trematomus.</t>
  </si>
  <si>
    <t>[Kuhn, Kristen L.] Yale Univ, Dept Ecol &amp; Evolutionary Biol, New Haven, CT 06520 USA; Yale Univ, Peabody Museum Nat Hist, New Haven, CT 06520 USA</t>
  </si>
  <si>
    <t>Yale University; Yale University</t>
  </si>
  <si>
    <t>Kuhn, KL (corresponding author), Yale Univ, Dept Ecol &amp; Evolutionary Biol, New Haven, CT 06520 USA.</t>
  </si>
  <si>
    <t>kristen.kuhn@yale.edu</t>
  </si>
  <si>
    <t>Near, Thomas J./K-1204-2012</t>
  </si>
  <si>
    <t>Near, Thomas J./0000-0002-7398-6670</t>
  </si>
  <si>
    <t>Antarctic Science Bursary; National Science Foundation [ANT-0839007, DEB-0716155]; Directorate For Geosciences; Office of Polar Programs (OPP) [0839007] Funding Source: National Science Foundation</t>
  </si>
  <si>
    <t>Antarctic Science Bursary; National Science Foundation(National Science Foundation (NSF)); Directorate For Geosciences; Office of Polar Programs (OPP)(National Science Foundation (NSF)NSF - Directorate for Geosciences (GEO))</t>
  </si>
  <si>
    <t>The authors thank C.D. Jones, the United States Antarctic Marine Living Resources Program (AMLR), and the officers and crew of the RV Ynzhmorgeologiya for providing support for the collection of specimens in the South Shetland Islands and to G. Hoffmann for kindly provided tissue samples from McMurdo Sound. The authors thank Joe Eastman for his valued comments and suggestions. This research was supported with funding from the Antarctic Science Bursary and the National Science Foundation (ANT-0839007 and DEB-0716155).</t>
  </si>
  <si>
    <t>10.1017/S0954102009990253</t>
  </si>
  <si>
    <t>WOS:000273077900003</t>
  </si>
  <si>
    <t>Huang, T; Sun, LG; Wang, YH; Liu, XD; Zhu, RB</t>
  </si>
  <si>
    <t>Huang, Tao; Sun, Liguang; Wang, Yuhong; Liu, Xiaodong; Zhu, Renbin</t>
  </si>
  <si>
    <t>Penguin population dynamics for the past 8500 years at Gardner Island, Vestfold Hills</t>
  </si>
  <si>
    <t>Antarctic climate; bio-element; guano; late Holocene; penguin optimum; sedimentation rate</t>
  </si>
  <si>
    <t>HISTORICAL SEABIRD POPULATION; DIATOM ASSEMBLAGES; SEAL POPULATIONS; WINDMILL ISLANDS; EAST ANTARCTICA; LARSEMANN HILLS; CLIMATE-CHANGE; LATE-HOLOCENE; SALINE LAKES; RECORD</t>
  </si>
  <si>
    <t>In order to reconstruct past changes in penguin populations we performed geochemical analyses on a penguin ornithogenic sediment core DG4 retrieved from a lake catchment on Gardner Island, Vestfold Hills. P, Se, F, S, As, Sr and Cu in DG4 were identified as the bio-element assemblage by R-clustering analyses on the elemental concentrations and comparisons with those in bedrock and fresh penguin guano. Factor analysis on the levels of these bio-elements in the core permitted a reconstruction of variations in historical penguin populations at Gardner Island spanning the past 8500 years. The penguin population showed significant fluctuations, reaching its highest density between 4700-2400 calibrated years before present. This coincides with evidence for a late Holocene warm period in the Vestfold Hills, similar to that associated with the late Holocene penguin optimum recorded in the Ross Sea and Antarctic Peninsula regions.</t>
  </si>
  <si>
    <t>[Huang, Tao; Sun, Liguang; Wang, Yuhong; Liu, Xiaodong; Zhu, Renbin] Univ Sci &amp; Technol China, Inst Polar Environm, Hefei 230026, Peoples R China; [Wang, Yuhong] NIH, Bethesda, MD 20892 USA</t>
  </si>
  <si>
    <t>Chinese Academy of Sciences; University of Science &amp; Technology of China, CAS; National Institutes of Health (NIH) - USA</t>
  </si>
  <si>
    <t>Huang, T (corresponding author), Univ Sci &amp; Technol China, Inst Polar Environm, Hefei 230026, Peoples R China.</t>
  </si>
  <si>
    <t>slg@ustc.edu.cn</t>
  </si>
  <si>
    <t>Huang, Tao/B-5915-2009</t>
  </si>
  <si>
    <t>Huang, Tao/0000-0001-5035-1632</t>
  </si>
  <si>
    <t>National Natural Science Foundation of China [40730107]; National Science and Technology Supporting Program [2006BAB18B07]; IPY 2007-2008 China Programme [1PY2008-P05040015-05]; Australia Antarctic Division [AAD2873]</t>
  </si>
  <si>
    <t>National Natural Science Foundation of China(National Natural Science Foundation of China (NSFC)); National Science and Technology Supporting Program; IPY 2007-2008 China Programme; Australia Antarctic Division</t>
  </si>
  <si>
    <t>We thank the Chinese Arctic and Antarctic Administration, Polar Research Institute of China, Australian Antarctic Division, the CHINARE22 team in Zhong Shan Station and the members of Davis Station for their support and assistance in field. We especially thank the reviewers for their valuable comments and careful corrections on this manuscript and its earlier version. This study was funded by the National Natural Science Foundation of China (No.40730107), the National Science and Technology Supporting Program (2006BAB18B07), the IPY 2007-2008 China Programme (1PY2008-P05040015-05) and the Australia Antarctic Division Science Project (AAD2873).</t>
  </si>
  <si>
    <t>10.1017/S0954102009990332</t>
  </si>
  <si>
    <t>WOS:000273077900004</t>
  </si>
  <si>
    <t>Amsler, MO; Mcclintock, JB; Amsler, CD; Angus, RA; Baker, BJ</t>
  </si>
  <si>
    <t>Amsler, Margaret O.; Mcclintock, James B.; Amsler, Charles D.; Angus, Robert A.; Baker, Bill J.</t>
  </si>
  <si>
    <t>An evaluation of sponge-associated amphipods from the Antarctic Peninsula</t>
  </si>
  <si>
    <t>abundance; Antarctic Peninsula; chemical ecology; feeding deterrence; species diversity</t>
  </si>
  <si>
    <t>SUBTIDAL MACROALGAE; CHEMICAL DEFENSES; MARINE SPONGES; CRUSTACEA; MORPHOLOGY; DIVERSITY; PATTERNS; ECOLOGY; FAUNA; ENDOFAUNA</t>
  </si>
  <si>
    <t>Nearshore marine benthic algal communities along the western Antarctic Peninsula harbour extremely high densities of amphipods that probably play important roles in nutrient and energy flow. This study extends our evaluation of the importance of amphipods in the nearshore Antarctic Peninsular benthic communities and focuses on sponge associations. We found a mean density of 542 amphipods per litre (L) sponge for twelve species of ecologically dominant sponges. The highest mean density (1295 amphipods per L sponge) occurred with Dendrilla menbranosa Pallas. The amphipod community associated with the 12 sponges was diverse (38 species), with mean species richness values ranging from two to eight species. Mean Shannon diversity indices (H') ranged from 0.52 to 1.49. Amphipods did not appear to have obligate host relationships. Qualitative gut content analyses indicated that 12 of the 38 amphipod species were found with sponge spicules in their guts. However, only one of the amphipods, Echiniphimedia hodgsoni Walker, had considerable amounts of spicules in the gut. Organic lipophilic and hydrophilic extracts of the twelve sponges were presented in alginate food disks to a sympatric omnivorous amphipod in feeding bioassays and extracts of only two sponges deterred feeding.</t>
  </si>
  <si>
    <t>[Amsler, Margaret O.; Mcclintock, James B.; Amsler, Charles D.; Angus, Robert A.] Univ Alabama Birmingham, Dept Biol, Birmingham, AL 35294 USA; [Baker, Bill J.] Univ S Florida, Dept Chem, Tampa, FL 33620 USA</t>
  </si>
  <si>
    <t>University of Alabama System; University of Alabama Birmingham; State University System of Florida; University of South Florida</t>
  </si>
  <si>
    <t>Amsler, MO (corresponding author), Univ Alabama Birmingham, Dept Biol, Birmingham, AL 35294 USA.</t>
  </si>
  <si>
    <t>mamsler@uab.edu</t>
  </si>
  <si>
    <t>Baker, Bill/N-4312-2019</t>
  </si>
  <si>
    <t>Amsler, Charles/0000-0002-4843-3759</t>
  </si>
  <si>
    <t>National Science Foundation [OPP-0442769, OPP-0442857]; University of Alabama at Birmingham</t>
  </si>
  <si>
    <t>National Science Foundation(National Science Foundation (NSF)); University of Alabama at Birmingham</t>
  </si>
  <si>
    <t>We thank Craig Aumack, Philip Bucolo, Gil Koplovitz, Alan Maschek, Ryan Wallace and Jill Zamzow for their assistance with field collections and A. Maschek also for fractionating the Dendrilla membranosa extract. We also thank Rob Van Soest for assistance with sponge taxonomy and three anonymous reviewers for their constructive comments. We acknowledge the generous logistical support provided by those individuals employed by Raytheon Polar Services Company. This research was facilitated by National Science Foundation awards to CDA and JBM (OPP-0442769) and to BJB (OPP-0442857). JBM acknowledges the support of an Endowed Research Professorship in Polar and Marine Biology through the University of Alabama at Birmingham.</t>
  </si>
  <si>
    <t>10.1017/S0954102009990356</t>
  </si>
  <si>
    <t>WOS:000273077900005</t>
  </si>
  <si>
    <t>Wilson, D; Pike, R; Southwell, D; Southwell, C</t>
  </si>
  <si>
    <t>Wilson, David; Pike, Rhonda; Southwell, Darren; Southwell, Colin</t>
  </si>
  <si>
    <t>A systematic survey of breeding Adelie penguins (Pygoscelis adeliae) along the Mawson and Kemp Land coasts, East Antarctica: new colonies and population counts</t>
  </si>
  <si>
    <t>[Wilson, David; Pike, Rhonda; Southwell, Darren; Southwell, Colin] Australian Antarctic Div, Dept Environm Water Heritage &amp; Arts, Kingston, Tas 7050, Australia</t>
  </si>
  <si>
    <t>Australian Antarctic Division</t>
  </si>
  <si>
    <t>Wilson, D (corresponding author), Australian Antarctic Div, Dept Environm Water Heritage &amp; Arts, 203 Channel Highway, Kingston, Tas 7050, Australia.</t>
  </si>
  <si>
    <t>david.wilson@aad.gov.av</t>
  </si>
  <si>
    <t>Wilson, David/E-4139-2010</t>
  </si>
  <si>
    <t>Wilson, David/0009-0001-7050-973X</t>
  </si>
  <si>
    <t>10.1017/S0954102009990307</t>
  </si>
  <si>
    <t>WOS:000273077900006</t>
  </si>
  <si>
    <t>Svojtka, M; Nyvlt, D; Murakami, M; Vávrová, J; Filip, J; Mixa, P</t>
  </si>
  <si>
    <t>Svojtka, Martin; Nyvlt, Daniel; Murakami, Masaki; Vavrova, Jitka; Filip, Jiri; Mixa, Petr</t>
  </si>
  <si>
    <t>Provenance and post-depositional low-temperature evolution of the James Ross Basin sedimentary rocks (Antarctic Peninsula) based on fission track analysis</t>
  </si>
  <si>
    <t>James Ross Island; Seymour Island; Cretaceous-Palaeogene succession; fission track dating; zircon; apatite</t>
  </si>
  <si>
    <t>BACK-ARC BASIN; LA-MESETA FORMATION; CRETACEOUS STRATIGRAPHY; ANNEALING KINETICS; SEYMOUR ISLAND; MARAMBIO GROUP; GUSTAV-GROUP; VEGA-ISLAND; PALMER LAND; ZIRCON</t>
  </si>
  <si>
    <t>Zircon and apatite fission track (AFT) thermochronology was applied to the James Ross Basin sedimentary rocks from James Ross and Seymour islands. The probable sources of these sediments were generated in Carboniferous to Early Paleogene times (similar to 315 to 60 Ma). The total depths of individual James Ross Basin formations are discussed. The AFT data were modelled, and the thermal history model was reconstructed for samples from Seymour Island. The first stage after a period of total thermal annealing (when the samples were above 120 degrees C) involved Late Triassic cooling (similar to 230 to 200 Ma) and is followed by a period of steady cooling through the whole apatite partial annealing zone (PAZ, 60-120 degrees C) to minimum temperature in Paleocene/Early Eocene. The next stage was the maximum burial of sedimentary rocks in the Eocene (similar to 35 Ma, 1.1-1.8 km) and the final cooling and uplift of Seymour Island sedimentary rocks at similar to 35 to 20 Ma.</t>
  </si>
  <si>
    <t>[Svojtka, Martin; Murakami, Masaki; Filip, Jiri] Acad Sci Czech Republ, Inst Geol, Vvi, Prague 16500 6, Czech Republic; [Nyvlt, Daniel; Mixa, Petr] Czech Geol Survey, Prague 11821, Czech Republic; [Vavrova, Jitka] Charles Univ Prague, Inst Geochem, Prague 12843 2, Czech Republic</t>
  </si>
  <si>
    <t>Czech Academy of Sciences; Institute of Geology of the Czech Academy of Sciences; Czech Geological Survey; Charles University Prague</t>
  </si>
  <si>
    <t>Svojtka, M (corresponding author), Acad Sci Czech Republ, Inst Geol, Vvi, Rozvojova 269, Prague 16500 6, Czech Republic.</t>
  </si>
  <si>
    <t>svojtka@gli.cas.cz</t>
  </si>
  <si>
    <t>Nyvlt, Daniel/J-6504-2019; Filip, Jiří/N-2063-2014; Svojtka, Martin/I-8794-2014</t>
  </si>
  <si>
    <t>Nyvlt, Daniel/0000-0002-6876-490X; Svojtka, Martin/0000-0002-6602-4385</t>
  </si>
  <si>
    <t>Ministry of Education, Youth and Sports [1K05030, AVOZ30130513]; Ministry of the Environment of the CR [SPIIIa9/23/07, VaV/660/1/03]</t>
  </si>
  <si>
    <t>Ministry of Education, Youth and Sports(Ministry of Education, Youth &amp; Sports - Czech Republic); Ministry of the Environment of the CR</t>
  </si>
  <si>
    <t>Support provided through the project of the Ministry of Education, Youth and Sports (1K05030), AVOZ30130513 and SPIIIa9/23/07 (Ministry of the Environment of the CR) is gratefully acknowledged. We are indebted to Drs Charles W. Naeser (Fish Canyon Tuff - FC3) and Andrew Carter (Buluk Member Tuff - BM) for providing fission track age standards. The fieldwork of DN and PM during the 2004-2005 expeditions to the James Ross Island was financed by the R &amp; D project VaV/660/1/03 of the Ministry of the Environment of the Czech Republic granted to the Czech Geological Survey. Thanks are due to Jan Kosler and Bedrich Mlcoch for their assistance in the field. We also wish to express our thanks to Vlasta Bohmova for microprobe analyses, Jana Rajlichova for drawing two figures, and Frantisek Veselovsky for his help with mineral separation. Constructive reviews from Jon Ineson and Manfred Brix as well as editorial handling of manuscript by Alan Vaughan significantly improved the manuscript.</t>
  </si>
  <si>
    <t>10.1017/S0954102009990241</t>
  </si>
  <si>
    <t>WOS:000273077900007</t>
  </si>
  <si>
    <t>Miller, MF; Cowan, EA; Nielsen, SHH</t>
  </si>
  <si>
    <t>Miller, Molly F.; Cowan, Ellen A.; Nielsen, Simon H. H.</t>
  </si>
  <si>
    <t>Significance of the trace fossil Zoophycos in Pliocene deposits, Antarctic continental margin (ANDRILL 1B drill core)</t>
  </si>
  <si>
    <t>biogenic structures; continental shelf; McMurdo Sound; modern fauna</t>
  </si>
  <si>
    <t>PLEISTOCENE-HOLOCENE RETREAT; ICE-SHEET SYSTEM; ROSS SEA; BENTHIC COMMUNITIES; EVOLUTION; SEDIMENTS; MIOCENE; BASIN; BIODIVERSITY; CARBONATES</t>
  </si>
  <si>
    <t>Zoophycos is a complex three dimensional trace fossil that is abundant in deep ocean sediments worldwide, but has not been described previously from Cenozoic continental margin deposits of Antarctica. In the ANDRILL 1B core drilled through the north-west McMurdo ice shelf, Zoophycos occurs in a 17 m thick unit of interglacial sediments bounded above and below by glacial surfaces of erosion. This unit was deposited during the transition from the relatively warm Early Pliocene characterized by productive open waters to the cooler Late Pliocene with fluctuating subpolar ice sheets. Globally, Late Cenozoic Zooplaycos are most abundant at great depths (&gt; 1000 m), and where sedimentation rates and TOC levels are low; the Zoophycos producer, probably a worm-like animal, was (is) a slow colonizer. Application of these preferences to the ANDRILL 1 B core indicates that the Zoophycos-bearing unit was deposited episodically, with sufficient time between events to allow for the slow processes of colonization and construction. The foray of Zoophycos producer into the relatively shallow ANDRILL I B depths (200-1000 m) during the Pliocene documents emergence of benthic animals, supporting suggestions that the unique modern Antarctic and Southern Ocean faunas result from both emergence and submergence during the Cenozoic.</t>
  </si>
  <si>
    <t>[Miller, Molly F.] Vanderbilt Univ, Dept Earth &amp; Environm Sci, Nashville, TN 37235 USA; [Cowan, Ellen A.] Appalachian State Univ, Dept Geol, Boone, NC 28608 USA; [Nielsen, Simon H. H.] Florida State Univ, Antarctic Res Facil, Tallahassee, FL 32306 USA</t>
  </si>
  <si>
    <t>Vanderbilt University; University of North Carolina; Appalachian State University; State University System of Florida; Florida State University</t>
  </si>
  <si>
    <t>Miller, MF (corresponding author), Vanderbilt Univ, Dept Earth &amp; Environm Sci, 221 Kirkland Hall, Nashville, TN 37235 USA.</t>
  </si>
  <si>
    <t>Molly.miller@vanderbilt.edu</t>
  </si>
  <si>
    <t>US National Science Foundation; NZ Foundation for Research, Science and Technology; Royal Society of New Zealand; Italian Antarctic Research Programme; German Research Foundation (DFG); Alfred Wegener Institute for Polar and Marine Research</t>
  </si>
  <si>
    <t>US National Science Foundation(National Science Foundation (NSF)); NZ Foundation for Research, Science and Technology(New Zealand Foundation for Research, Science and Technology); Royal Society of New Zealand(Royal Society of New Zealand); Italian Antarctic Research Programme; German Research Foundation (DFG)(German Research Foundation (DFG)); Alfred Wegener Institute for Polar and Marine Research</t>
  </si>
  <si>
    <t>The ANDRILL project is a multinational collaboration between the Antarctic programmes of Germany, Italy, New Zealand and the United States. Antarctica New Zealand is the project operator and developed the drilling system in collaboration with Alex Pyne at Victoria University of Wellington and Webster Drilling and Enterprises Ltd. Antarctica New Zealand support the drilling team at Scott Base; Raytheon Polar Services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NZ Foundation for Research, Science and Technology and the Royal Society of New Zealand Marsden Fund, the Italian Antarctic Research Programme, the German Research Foundation (DFG) and the Alfred Wegener Institute for Polar and Marine Research. We thank Steve Petrushak for help accessing cores at Antarctic Research Facility, Florida State University. Marco Taviani and Chuck Savrda made valuable suggestions on an earlier version of the paper.</t>
  </si>
  <si>
    <t>10.1017/S0954102009002041</t>
  </si>
  <si>
    <t>WOS:000273077900008</t>
  </si>
  <si>
    <t>Hepp, DA; Mörz, T</t>
  </si>
  <si>
    <t>Hepp, Daniel A.; Moerz, Tobias</t>
  </si>
  <si>
    <t>An approach to quantifying Pliocene ace sheet dynamics via slope failure frequencies recorded in Antarctic Peninsula rise sediments</t>
  </si>
  <si>
    <t>Drift 7; ODP Site 1095; opal leaching rate; sedimentation rate; turbidite frequency</t>
  </si>
  <si>
    <t>BIOGENIC SILICA; ICE-SHEET; DISSOLUTION RATES; CONTINENTAL RISE; SOUTHERN-OCEAN; WORLD OCEAN; OPAL; MARGIN; DEPOSITION; DRIFT</t>
  </si>
  <si>
    <t>Understanding of glacially driven sedimentary transport systems across the shelf to the slope and subsequently to deep sea sediment bodies along the Pacific continental margin of Antarctic Peninsula is crucial for interpreting ice sheet dynamics. Here we quantify slope-failure frequencies recorded in Pliocene core intervals of ODP Site 1095. We used the relationship between long-term sedimentation rate and marine carbon burial efficiency to calculate glacial or interglacial specific sedimentation rates. Using the decompacted average length of glacial-interglacial cycles it was possible to solve a set of linear equations to derive average half-periods of 61.59 and 59.77 kyr respectively for the time interval 5.8-3.2 Ma. The resulting frequency distribution of slope failures reflects short and rapid but cyclic ice advances every similar to 375 years. Short retention times between slope loading and slope failure are supported by biogenic silica dissolution analyses. This study demonstrates the potential of the rise record to improve models of orbitally controlled size variations of the West Antarctic ice sheet and confirms the hypothesis of a highly dynamic ice sheet during the early Pliocene warn period.</t>
  </si>
  <si>
    <t>[Hepp, Daniel A.] Univ Bremen, Ctr Marine Environm Sci, MARUM, D-28334 Bremen, Germany; Univ Bremen, Dept Geosci, D-28334 Bremen, Germany</t>
  </si>
  <si>
    <t>University of Bremen; University of Bremen</t>
  </si>
  <si>
    <t>Hepp, DA (corresponding author), Univ Bremen, Ctr Marine Environm Sci, MARUM, POB 330440, D-28334 Bremen, Germany.</t>
  </si>
  <si>
    <t>dhepp@uni-bremen.de</t>
  </si>
  <si>
    <t>Hepp, Daniel A./P-6872-2017</t>
  </si>
  <si>
    <t>Hepp, Daniel A./0000-0002-6895-8659</t>
  </si>
  <si>
    <t>German Research Foundation (DFG) [M01059/1, HE5377/1]; MARUM - Center for Marine Environmental Sciences, University of Bremen</t>
  </si>
  <si>
    <t>German Research Foundation (DFG)(German Research Foundation (DFG)); MARUM - Center for Marine Environmental Sciences, University of Bremen</t>
  </si>
  <si>
    <t>Samples were provided by the Ocean Drilling Program (ODP). We thank the Bremen Core Repository (BCR) team for their kind support. The BSiO2 measurements were carried out at the Alfred Wegener Institute of Polar and Marine Research (AWI) in Bremerhaven. The help of Dr Gerhard Kuhn and Rita Frohlking during these measurements is greatly appreciated. We thank Jens Seeberg-Elverfeldt for his useful advice for the linear fitting of opal dissolution curves. Some BSiO2 data from individual samples were part of a bachelor thesis by Sophie Fath prepared in our working group. Special acknowledgment goes to Stefan Kreiter (MARUM) for his help with the calculation of the turbidite frequencies. We thank Rudiger Stein (AWI) for careful reading of our manuscript and we thank Diane Winter and Ellen Cowan for their reviews which improved our manuscript. This research was funded by the German Research Foundation (DFG project M01059/1 and HE5377/1) and by the MARUM - Center for Marine Environmental Sciences, University of Bremen.</t>
  </si>
  <si>
    <t>10.1017/S0954102009990289</t>
  </si>
  <si>
    <t>WOS:000273077900009</t>
  </si>
  <si>
    <t>Leat, PT; Flowerdew, MJ; Riley, TR; Whitehouse, MJ; Scarrow, JH; Millar, IL</t>
  </si>
  <si>
    <t>Leat, P. T.; Flowerdew, M. J.; Riley, T. R.; Whitehouse, M. J.; Scarrow, J. H.; Millar, I. L.</t>
  </si>
  <si>
    <t>Zircon U-Pb dating of Mesozoic volcanic and tectonic events in north-west Palmer Land and south-west Graham Land, Antarctica</t>
  </si>
  <si>
    <t>Antarctic Peninsula; geochronology; magmatic arc; orthogneiss; Palmer Land event; terrane accretion</t>
  </si>
  <si>
    <t>SHEAR ZONE; SILICIC VOLCANISM; PACIFIC MARGIN; MAFIC DYKES; PENINSULA; GONDWANA; AGE; MAGMATISM; EVOLUTION; PATAGONIA</t>
  </si>
  <si>
    <t>New whole rock Rb-Sr and zircon U-Pb geochronological data and Sm-Nd isotopic data are presented from the central magmatic arc domain of the Antarctic Peninsula in the area of north-west Palmer Land and south-west Graham Land, Rb-Sr isochrons indicate an age of 169 +/- 6 Ma for basement orthogneisses and 132 +/- 9 to 71 +/- 9 Ma for plutons. A U-Pb age of 183 +/- 2.1 Ma, with no detectable inheritance, on zircons from an orthogneiss from Cape Berteaux provides the first reliable age for the orthogneisses, which are interpreted as metamorphosed silicic volcanic rocks, and Sm-Nd data indicate derivation in a mature volcanic arc. The age indicates they may be correlatives of the Jurassic 'Chop Aike' volcanism of the eastern Antarctic Peninsula. A U-Pb zircon age of 107 +/- 1.7 Ma on a terrestrial volcanic sequence overlying an uncomformity strongly suggests a mid-Cretaceous age for the extensive volcanic cover of north-west Palmer Land that was previously thought to be Jurassic. The unconformity is interpreted to have been a result of compressional uplift related to the Palmer Land event. This is the first date for the event in the western part of the central magmatic arc terrane of the Antarctic Peninsula.</t>
  </si>
  <si>
    <t>[Leat, P. T.; Flowerdew, M. J.; Riley, T. R.] British Antarctic Survey, NERC, Cambridge CB3 0ET, England; [Whitehouse, M. J.] Swedish Museum Nat Hist, S-10405 Stockholm, Sweden; [Scarrow, J. H.] Univ Granada, Dept Mineral &amp; Petrol, Granada 18002, Spain; [Millar, I. L.] NERC, Isotope Geosci Lab, Kingsley Dunham Ctr, Keyworth NG12 5GG, Notts, England</t>
  </si>
  <si>
    <t>UK Research &amp; Innovation (UKRI); Natural Environment Research Council (NERC); NERC British Antarctic Survey; Swedish Museum of Natural History; University of Granada; UK Research &amp; Innovation (UKRI); Natural Environment Research Council (NERC); NERC British Geological Survey</t>
  </si>
  <si>
    <t>Leat, PT (corresponding author), British Antarctic Survey, NERC, High Cross,Madingley Rd, Cambridge CB3 0ET, England.</t>
  </si>
  <si>
    <t>ptle@bas.ac.uk</t>
  </si>
  <si>
    <t>Millar, Ian L/F-1541-2010; Scarrow, Jane Hannah/J-9237-2017; Whitehouse, Martin/E-1425-2013</t>
  </si>
  <si>
    <t>Flowerdew, Michael/0000-0002-9710-2593; Scarrow, Jane Hannah/0000-0001-8585-8679; Whitehouse, Martin/0000-0003-2227-577X; Riley, Teal/0000-0002-3333-5021</t>
  </si>
  <si>
    <t>Spanish Ministry CICYT [CLG200505863/BTE]; Andalucian grant [RNM 1595]; Geological Survey of Finland; Swedish Museum of Natural History; NERC [bas010020, bas0100026] Funding Source: UKRI; Natural Environment Research Council [bas010020, bas0100026] Funding Source: researchfish</t>
  </si>
  <si>
    <t>Spanish Ministry CICYT; Andalucian grant; Geological Survey of Finland; Swedish Museum of Natural History; NERC(UK Research &amp; Innovation (UKRI)Natural Environment Research Council (NERC)); Natural Environment Research Council(UK Research &amp; Innovation (UKRI)Natural Environment Research Council (NERC))</t>
  </si>
  <si>
    <t>We acknowledge British Antarctic Survey logistic support through Rothera and the Air Unit. JHS acknowledges support from Spanish Ministry CICYT grant CLG200505863/BTE and the Andalucian grant RNM 1595. We are grateful to Dave Barbeau and Craig Storey for reviews of the paper. This is NORDSIM publication number 238. The NORDSIM facility is operated under an agreement between the research funding agencies of Denmark, Norway and Sweden, the Geological Survey of Finland and the Swedish Museum of Natural History.</t>
  </si>
  <si>
    <t>10.1017/S0954102009990320</t>
  </si>
  <si>
    <t>Green Accepted</t>
  </si>
  <si>
    <t>WOS:000273077900010</t>
  </si>
  <si>
    <t>Wacker, U; Ries, H; Schättler, U</t>
  </si>
  <si>
    <t>Wacker, Ulrike; Ries, Hinnerk; Schaettler, Ulrich</t>
  </si>
  <si>
    <t>Precipitation simulation for Dronning Maud Land using the COSMO Model</t>
  </si>
  <si>
    <t>clouds and precipitation; high resolution modelling; precipitation bands; spin-up effect</t>
  </si>
  <si>
    <t>SURFACE MASS-BALANCE; MESOSCALE PREDICTION SYSTEM; WEATHER PREDICTION; SNOW ACCUMULATION; ANTARCTICA; FORECASTS; ATMOSPHERE; CLIMATE</t>
  </si>
  <si>
    <t>A weather episode, characterized by the passage of synoptic disturbances, is investigated for Dronning Maud Land, Antarctica. Due to the sparsity of observations, information about the spatial and temporal distribution of precipitation at high resolution can be gained only by modelling. The simulations presented here are performed with the high-resolution, non-hydrostatic weather forecast COSMO Model with a horizontal mesh size of 7 kin. The comparison with observations at four stations shows that the simulation captures the general meteorological conditions well, while a warm bias and a weak daily cycle are found in near-surface temperatures. With regard to precipitation, the timing relates well to the observations; the amount of precipitation, however, is that of an extreme event and possibly overestimated in some regions. The horizontal distribution of precipitation is dominated by topographic effects. The simulations show the general decrease of precipitation toward the interior, as seen in the accumulation climatology, however, the decrease is not monotonous. For example, in the simulations horizontal structures such as precipitation bands of some 100 km width appear on the plateau, which can only be resolved by models with mesh sizes of 10 km or less.</t>
  </si>
  <si>
    <t>[Wacker, Ulrike; Ries, Hinnerk] Alfred Wegener Inst Polar &amp; Marine Res, D-27515 Bremerhaven, Germany; [Schaettler, Ulrich] Deutsch Wetterdienst, D-63004 Offenbach, Germany</t>
  </si>
  <si>
    <t>Helmholtz Association; Alfred Wegener Institute, Helmholtz Centre for Polar &amp; Marine Research</t>
  </si>
  <si>
    <t>Wacker, U (corresponding author), Alfred Wegener Inst Polar &amp; Marine Res, D-27515 Bremerhaven, Germany.</t>
  </si>
  <si>
    <t>Ulrike.Wacker@awi.de</t>
  </si>
  <si>
    <t>wacker, ulrike/0000-0002-0637-8130</t>
  </si>
  <si>
    <t>Deutsche Forschungsgemeinschaft [WA1334/4, B1816/1]</t>
  </si>
  <si>
    <t>Deutsche Forschungsgemeinschaft(German Research Foundation (DFG))</t>
  </si>
  <si>
    <t>The authors thank the anonymous reviewers for their comprehensive and helpful work and C. Hulbe (Portland State University) for Useful Suggestions. We acknowledge the support of R. Brauner (DWD, Hamburg) in the interpretation of the synoptic situation. Kohnen AWS data were provided by IMAU, Utrecht, and the authors are thankful to C. Reijiner and M. van den Broeke. Initial and boundary data were provided by DWD and ECMWF. Thanks are also to the staff of DWD's Business Area 'Research and Development' for substantial assistance. We particularly thank our colleagues J. Schwarz and H. Hellmer (Alfred Wegener Institute), who helped us with the language of this paper. The research was supported by priority program SPP 1158 sponsored by the Deutsche Forschungsgemeinschaft under grants WA1334/4 and B1816/1.</t>
  </si>
  <si>
    <t>10.1017/S0954102009990149</t>
  </si>
  <si>
    <t>WOS:000273077900011</t>
  </si>
  <si>
    <t>Laika, HE; Goyet, C; Vouve, F; Poisson, A; Touratier, F</t>
  </si>
  <si>
    <t>Laika, H. E.; Goyet, C.; Vouve, F.; Poisson, A.; Touratier, F.</t>
  </si>
  <si>
    <t>Interannual properties of the CO2 system in the Southern Ocean south of Australia</t>
  </si>
  <si>
    <t>air-sea CO2 flux; partial pressure of CO2; total alkalinity; total dissolved inorganic carbon</t>
  </si>
  <si>
    <t>PARTIAL-PRESSURE; SURFACE WATERS; CARBON-DIOXIDE; TEMPERATURE; VARIABILITY; PACIFIC; PCO(2); ALKALINITY; EVOLUTION; EXCHANGE</t>
  </si>
  <si>
    <t>In order to quantify the temporal variations of ocean properties, the MINERVE programme was designed to perform time-series measurements in the Southern Indian Ocean south of Australia. In the sub-Antarctic region (SAR, 48.5 +/- 6.0 degrees S), the mean CO2 flux increased from spring to summer from -6.8 mmol.m(-2).d(-1) in October 2005 to -9.9 mmol.m(-2).d(-1) in February 2006. In the Permanent Open Ocean Zone (POOZ, 57.5 +/- 3.0 degrees S), we observed lower pCO(2) in summer than in spring (340 and 398 mu atm, respectively). The mean CO2 flux showed large temporal variations from -0.2 mmol.m(-2).d(-1) in October 2005 to -8.2 mmol.m(-2).d(-1) in February 2006. The large temporal variation was associated with increased phytoplankton biomass. In the Continental Antarctic Zone (66.0 +/- 1.0 degrees S), the mean CO2 flux decreased from + 14.9 mmol.m(-2).d(-1) in October 2005 to -8.4 mmol.m(-2).d(-1) in February 2006. In winter and spring, deep water mixing and seasonal sea-ice strongly increase pCO(2)(sea) above atmospheric level. In contrast, during summer, the effect of biological CO2 uptake decreased pCO(2)(sea). Furthermore, these data allowed us to parameterize A(T) and C-T as a function of temperature and salinity.</t>
  </si>
  <si>
    <t>[Laika, H. E.; Goyet, C.; Vouve, F.; Touratier, F.] Univ Perpignan Via Domitia, Inst Modelisat &amp; Anal Geoenvironm &amp; Sante, EA 4218, F-66860 Perpignan, France; [Poisson, A.] Univ Paris 06, IPSL, LOCEAN, Paris, France</t>
  </si>
  <si>
    <t>Universite Paris Cite; Sorbonne Universite; Museum National d'Histoire Naturelle (MNHN)</t>
  </si>
  <si>
    <t>Goyet, C (corresponding author), Univ Perpignan Via Domitia, Inst Modelisat &amp; Anal Geoenvironm &amp; Sante, EA 4218, 52 Ave Paul Alduy, F-66860 Perpignan, France.</t>
  </si>
  <si>
    <t>cgoyet@univ_perp.fr</t>
  </si>
  <si>
    <t>10.1017/S0954102009990319</t>
  </si>
  <si>
    <t>WOS:000273077900012</t>
  </si>
  <si>
    <t>Martin, A; Hall, J; Ryan, K</t>
  </si>
  <si>
    <t>Martin, Andrew; Hall, Julie; Ryan, Ken</t>
  </si>
  <si>
    <t>Low Salinity and High-Level UV-B Radiation Reduce Single-Cell Activity in Antarctic Sea Ice Bacteria</t>
  </si>
  <si>
    <t>APPLIED AND ENVIRONMENTAL MICROBIOLOGY</t>
  </si>
  <si>
    <t>MICROBIAL COMMUNITIES; GROWTH; TEMPERATURE; BIOMASS; MICROALGAE; RESPONSES; STRESS; ALGAE; RATES; BIOTA</t>
  </si>
  <si>
    <t>Experiments simulating the sea ice cycle were conducted by exposing microbes from Antarctic fast ice to saline and irradiance regimens associated with the freeze-thaw process. In contrast to hypersaline conditions (ice formation), the simulated release of bacteria into hyposaline seawater combined with rapid exposure to increased UV-B radiation significantly reduced metabolic activity.</t>
  </si>
  <si>
    <t>[Martin, Andrew] Univ Tasmania, Inst Antarctic &amp; So Ocean Studies, Hobart, Tas 7001, Australia; [Martin, Andrew; Ryan, Ken] Victoria Univ Wellington, Sch Biol Sci, Wellington, New Zealand; [Hall, Julie] Natl Inst Water &amp; Atmospher Res, Wellington, New Zealand</t>
  </si>
  <si>
    <t>University of Tasmania; Victoria University Wellington; National Institute of Water &amp; Atmospheric Research (NIWA) - New Zealand</t>
  </si>
  <si>
    <t>Martin, A (corresponding author), Univ Tasmania, Inst Antarctic &amp; So Ocean Studies, Private Bag 77, Hobart, Tas 7001, Australia.</t>
  </si>
  <si>
    <t>Andrew.Martin@utas.edu.au</t>
  </si>
  <si>
    <t>Martin, Andrew/F-5688-2013</t>
  </si>
  <si>
    <t>Ryan, Ken/0000-0001-7075-0112; Martin, Andrew/0000-0001-8260-5529</t>
  </si>
  <si>
    <t>Victoria University of Wellington; Trans Antarctic Association; Foundation of Research, Science Technology [VICX0706]</t>
  </si>
  <si>
    <t>Victoria University of Wellington; Trans Antarctic Association; Foundation of Research, Science Technology</t>
  </si>
  <si>
    <t>A. Martin was supported by a Victoria University of Wellington Postgraduate Scholarship for Ph. D. Study and also thanks the Trans Antarctic Association for support in funding this research. K. Ryan acknowledges the support of the Foundation of Research, Science &amp; Technology contract (VICX0706).</t>
  </si>
  <si>
    <t>AMER SOC MICROBIOLOGY</t>
  </si>
  <si>
    <t>1752 N ST NW, WASHINGTON, DC 20036-2904 USA</t>
  </si>
  <si>
    <t>0099-2240</t>
  </si>
  <si>
    <t>APPL ENVIRON MICROB</t>
  </si>
  <si>
    <t>Appl. Environ. Microbiol.</t>
  </si>
  <si>
    <t>DEC 1</t>
  </si>
  <si>
    <t>10.1128/AEM.00829-09</t>
  </si>
  <si>
    <t>Biotechnology &amp; Applied Microbiology; Microbiology</t>
  </si>
  <si>
    <t>521SR</t>
  </si>
  <si>
    <t>WOS:000271944800035</t>
  </si>
  <si>
    <t>Storrie-Lombardi, MC; Muller, JP; Fisk, MR; Cousins, C; Sattler, B; Griffiths, AD; Coates, AJ</t>
  </si>
  <si>
    <t>Storrie-Lombardi, Michael C.; Muller, Jan-Peter; Fisk, Martin R.; Cousins, Claire; Sattler, Birgit; Griffiths, Andrew D.; Coates, Andrew J.</t>
  </si>
  <si>
    <t>Laser-Induced Fluorescence Emission (LIFE): Searching for Mars Organics with a UV-Enhanced PanCam</t>
  </si>
  <si>
    <t>ASTROBIOLOGY</t>
  </si>
  <si>
    <t>Extreme environments; Mars; Planetary instrumentation; Prebiotic chemistry; Radiation</t>
  </si>
  <si>
    <t>POLYCYCLIC AROMATIC-HYDROCARBONS; TO-CONSUMER RATIO; COMMUNITIES ADJUST; TEMPERATURE OPTIMA; RAMAN-SPECTROSCOPY; SULFATE MINERALS; MICROBIAL LIFE; MOLECULES; ICE; TARGETS</t>
  </si>
  <si>
    <t>The European Space Agency will launch the ExoMars mission in 2016 with a primary goal of surveying the martian subsurface for evidence of organic material. We have recently investigated the utility of including either a 365nm light-emitting diode or a 375 nm laser light source in the ExoMars rover panoramic camera (PanCam). Such a modification would make it feasible to monitor rover drill cuttings optically for the fluorescence signatures of aromatic organic molecules and map the distribution of polycyclic aromatic hydrocarbons (PAHs) as a function of depth to the 2m limit of the ExoMars drill. The technique described requires no sample preparation, does not consume irreplaceable resources, and would allow mission control to prioritize deployment of organic detection experiments that require sample destruction, expenditure of non-replaceable consumables, or both. We report here for the first time laser-induced fluorescence emission (L. I. F. E.) imaging detection limits for anthracene, pyrene, and perylene targets doped onto a Mars analog granular peridotite with a 375nm Nichia laser diode in optically uncorrected wide-angle mode. Data were collected via the Beagle 2 PanCam backup filter wheel fitted with original blue (440 nm), green (530 nm), and red (670 nm) filters. All three PAH species can be detected with the PanCam green (530 nm) filter. Detection limits in the green band for signal-to-noise ratios (S/N)&gt;10 are 49 parts per million (ppm) for anthracene, 145 ppm for pyrene, and 20ppm for perylene. The anthracene detection limit improves to 7ppm with use of the PanCam blue filter. We discuss soil-dependent detection limit constraints; use of UV excitation with other rover cameras, which provides higher spatial resolution; and the advantages of focused and wide-angle laser modes. Finally, we discuss application of L. I. F. E. techniques at multiple wavelengths for exploration of Mars analog extreme environments on Earth, including Icelandic hydrothermally altered basalts and the ice-covered lakes and glaciers of Dronning Maud Land, Antarctica.</t>
  </si>
  <si>
    <t>[Storrie-Lombardi, Michael C.] Kinohi Inst, Pasadena, CA 91101 USA; [Muller, Jan-Peter; Griffiths, Andrew D.; Coates, Andrew J.] Univ Coll London, Dept Space &amp; Climate Phys, Mullard Space Sci Lab, Surrey, England; [Fisk, Martin R.] Oregon State Univ, Coll Ocean &amp; Atmospher Sci, Corvallis, OR 97331 USA; [Cousins, Claire] UCL, Dept Earth Sci, London, England; [Sattler, Birgit] Univ Innsbruck, Inst Ecol, A-6020 Innsbruck, Austria</t>
  </si>
  <si>
    <t>University of London; University College London; Oregon State University; University of London; University College London; University of Innsbruck</t>
  </si>
  <si>
    <t>Storrie-Lombardi, MC (corresponding author), Kinohi Inst, 530 S Lake 117, Pasadena, CA 91101 USA.</t>
  </si>
  <si>
    <t>mike@kinohi.org</t>
  </si>
  <si>
    <t>Sattler, Birgit/C-4070-2018; Coates, Andrew/C-2396-2008; Muller, Jan-Peter/Q-8886-2019</t>
  </si>
  <si>
    <t>Coates, Andrew/0000-0002-6185-3125; Muller, Jan-Peter/0000-0002-5077-3736</t>
  </si>
  <si>
    <t>Kinohi Institute, Mullard Space Sciences Laboratory; University College London; Harrison Watson Foundation; Tawani Foundation; Austrian Academy of Sciences and Tyrolean Science Fund; STFC [PP/E001173/1] Funding Source: UKRI; Science and Technology Facilities Council [PP/E001173/1] Funding Source: researchfish; UK Space Agency [ST/G008906/1, ST/G003203/1, ST/H004025/1] Funding Source: researchfish</t>
  </si>
  <si>
    <t>Kinohi Institute, Mullard Space Sciences Laboratory; University College London; Harrison Watson Foundation; Tawani Foundation; Austrian Academy of Sciences and Tyrolean Science Fund; STFC(UK Research &amp; Innovation (UKRI)Science &amp; Technology Facilities Council (STFC)); Science and Technology Facilities Council(UK Research &amp; Innovation (UKRI)Science &amp; Technology Facilities Council (STFC)); UK Space Agency</t>
  </si>
  <si>
    <t>Support for this project was provided by Kinohi Institute, Mullard Space Sciences Laboratory, and University College London. We thank O. Lahav for fruitful discussions. M. C. S.- L. thanks the Master and Fellows of Clare College Cambridge and the Harrison Watson Foundation for their ongoing support and encouragement. M. C. S.- L. and B. S. thank the Tawani Foundation and J. Pritzker for support during the 2008 Tawani Antarctic Expedition. B. S. was funded by the Austrian Academy of Sciences and Tyrolean Science Fund.</t>
  </si>
  <si>
    <t>MARY ANN LIEBERT, INC</t>
  </si>
  <si>
    <t>NEW ROCHELLE</t>
  </si>
  <si>
    <t>140 HUGUENOT STREET, 3RD FL, NEW ROCHELLE, NY 10801 USA</t>
  </si>
  <si>
    <t>1531-1074</t>
  </si>
  <si>
    <t>1557-8070</t>
  </si>
  <si>
    <t>Astrobiology</t>
  </si>
  <si>
    <t>10.1089/ast.2009.0353</t>
  </si>
  <si>
    <t>Astronomy &amp; Astrophysics; Biology; Geosciences, Multidisciplinary</t>
  </si>
  <si>
    <t>Astronomy &amp; Astrophysics; Life Sciences &amp; Biomedicine - Other Topics; Geology</t>
  </si>
  <si>
    <t>538JU</t>
  </si>
  <si>
    <t>WOS:000273181200004</t>
  </si>
  <si>
    <t>Dodds, K; Hemmings, AD</t>
  </si>
  <si>
    <t>Dodds, Klaus; Hemmings, Alan D.</t>
  </si>
  <si>
    <t>Frontier Vigilantism? Australia and Contemporary Representations of Australian Antarctic Territory</t>
  </si>
  <si>
    <t>AUSTRALIAN JOURNAL OF POLITICS AND HISTORY</t>
  </si>
  <si>
    <t>This article considers the way in which recent commentators have represented Australia's relationship with Antarctica including current and future challenges. While successive Australian governments from the 1950s onwards have sought inter alia to develop and protect the country's southern oceanic and Antarctic interests, concern has persisted about the activities of other parties. The signing of the 1959 Antarctic Treaty helped to ensure that the territorial status quo prevailed with regard to the Australian Antarctic Territory. The entry of the United Nations Law of the Sea Convention (UNCLOS) into force in 1994 created new opportunities for further expressions of sovereign rights in this region. While mindful of the evolving legal geographies affecting Antarctica, our paper asks a series of questions about this relationship with the far south: how has Australian national identity been informed and influenced by Antarctic engagements ? Will UNCLOS actually weaken the Antarctic Treaty System ? Finally, do contemporary Australian pronouncements on the Antarctic hint at anxieties reminiscent of the 1950s ? We conclude with a warning that nationalistic evocations may well unsettle a delicate balance concerning the Southern Ocean and disputed ownership of Antarctica.</t>
  </si>
  <si>
    <t>[Dodds, Klaus] Univ London, Dept Geog, London WC1E 7HU, England; [Hemmings, Alan D.] Univ Canterbury, Gateway Antarctica Ctr Antarctic Studies &amp; Res, Canterbury, New Zealand</t>
  </si>
  <si>
    <t>University of London; University of Canterbury</t>
  </si>
  <si>
    <t>Dodds, K (corresponding author), Univ London, Dept Geog, London WC1E 7HU, England.</t>
  </si>
  <si>
    <t>0004-9522</t>
  </si>
  <si>
    <t>1467-8497</t>
  </si>
  <si>
    <t>AUST J POLIT HIST</t>
  </si>
  <si>
    <t>Aust. J. Polit. Hist.</t>
  </si>
  <si>
    <t>10.1111/j.1467-8497.2009.01530.x</t>
  </si>
  <si>
    <t>History; Political Science</t>
  </si>
  <si>
    <t>Arts &amp; Humanities Citation Index (A&amp;HCI)</t>
  </si>
  <si>
    <t>History; Government &amp; Law</t>
  </si>
  <si>
    <t>534FV</t>
  </si>
  <si>
    <t>WOS:000272882600003</t>
  </si>
  <si>
    <t>Mancin, N; Di Giulio, A; Cobianchi, M</t>
  </si>
  <si>
    <t>Mancin, N.; Di Giulio, A.; Cobianchi, M.</t>
  </si>
  <si>
    <t>Tectonic vs. climate forcing in the Cenozoic sedimentary evolution of a foreland basin (Eastern Southalpine system, Italy)</t>
  </si>
  <si>
    <t>BASIN RESEARCH</t>
  </si>
  <si>
    <t>LATE MIOCENE CLIMATE; NORTHERN APENNINES; MEDITERRANEAN PLIOCENE; ANTARCTIC CLIMATE; SOUTHERN ALPS; EROSION; VEGETATION; RECORDS; ISOTOPE; MODEL</t>
  </si>
  <si>
    <t>This paper discusses the Cenozoic interaction of regional tectonics and climate changes. These processes were responsible for mass flux from mountain belts to depositional basins in the eastern Alpine retro-foreland basin (Venetian-Friulian Basin). Our discussion is based on the depositional architecture and basin-scale depositional rate curves obtained from the decompacted thicknesses of stratigraphic units. We compare these data with the timing of tectonic deformation in the surrounding mountain ranges and the chronology of both long-term trends and short-term high-magnitude ('aberrant') episodes of climate change. Our results confirm that climate forcing (and especially aberrant episodes) impacted the depositional evolution of the basin, but that tectonics was the main factor driving sediment flux in the basin up to the Late Miocene. The depositional rate remained below 0.1 mm year-1 on average from the Eocene to the Miocene, peaking at around 0.36 mm year-1, during periods of maximum tectonic activity in the eastern Southern Alps. This dynamic strongly changed during the Pliocene-Pleistocene, when the basin-scale depositional rate increased to an average of 0.26 mm year-1 (Pliocene) and 0.73 mm year-1 (Pleistocene). This result fits nicely with the long-term global cooling trend recorded during this time interval. Nevertheless, we note that the timing of the observed increase may be connected with the presumed onset of major glaciations in the southern flank of the Alps (0.7-0.9 Ma), the acceleration of the global cooling trend (since 3-4 Ma) and climate variability (in terms of magnitude and frequency). All these factors suggest that combined high-frequency and high-magnitude cooling-warming cycles are particularly powerful in promoting erosion in mid-latitude mountain belts and therefore in increasing the sediment flux in foreland basins.</t>
  </si>
  <si>
    <t>[Mancin, N.; Di Giulio, A.; Cobianchi, M.] Univ Pavia, Dipartimento Sci Terra, I-27100 Pavia, Italy</t>
  </si>
  <si>
    <t>University of Pavia</t>
  </si>
  <si>
    <t>Mancin, N (corresponding author), Univ Pavia, Dipartimento Sci Terra, Via Ferrata 1, I-27100 Pavia, Italy.</t>
  </si>
  <si>
    <t>nmancin@dst.unipv.it</t>
  </si>
  <si>
    <t>Di Giulio, Andrea/B-8891-2012</t>
  </si>
  <si>
    <t>DI GIULIO, Andrea Stefano/0000-0002-0893-759X; Mancin, Nicoletta/0000-0001-5257-4397</t>
  </si>
  <si>
    <t>PRIN</t>
  </si>
  <si>
    <t>PRIN(Ministry of Education, Universities and Research (MIUR)Research Projects of National Relevance (PRIN))</t>
  </si>
  <si>
    <t>We thank the ENI staff (particularly R. Fantoni) for well samples and helpful suggestions, and G. Toscani for seismic profiles and 3D modelling. We also thank B. Carrapa for her comments on a preliminary version of the paper. P. van der Beek, J. Kuhlemann and two anonymous reviewers are acknowledged for their constructive feedback. This study was financially supported by PRIN 2003 (Resp. A. Di Giulio).</t>
  </si>
  <si>
    <t>0950-091X</t>
  </si>
  <si>
    <t>1365-2117</t>
  </si>
  <si>
    <t>BASIN RES</t>
  </si>
  <si>
    <t>Basin Res.</t>
  </si>
  <si>
    <t>10.1111/j.1365-2117.2009.00402.x</t>
  </si>
  <si>
    <t>509YG</t>
  </si>
  <si>
    <t>WOS:000271054600002</t>
  </si>
  <si>
    <t>Hájek, J; Váczi, P; Barták, M; Smejkal, L; Lipavská, H</t>
  </si>
  <si>
    <t>Hajek, J.; Vaczi, P.; Bartak, M.; Smejkal, L.; Lipavska, H.</t>
  </si>
  <si>
    <t>Cryoproective role of ribitol in Xanthoparmelia somloensis</t>
  </si>
  <si>
    <t>BIOLOGIA PLANTARUM</t>
  </si>
  <si>
    <t>chlorophyll fluorescence imaging; fluorescence parameters; lichen thallus; low temperature; Trebouxia</t>
  </si>
  <si>
    <t>PHOTOSYNTHETIC ELECTRON-TRANSPORT; NONVOLATILE TASTE COMPONENTS; LICHENS LASALLIA-PUSTULATA; XANTHORIA-ELEGANS; ANTIMICROBIAL ACTIVITY; HYPOGYMNIA-PHYSODES; FIELD-MEASUREMENTS; ANTARCTIC LICHENS; AGARICUS-BLAZEI; CHLOROPHYLL-A</t>
  </si>
  <si>
    <t>Thalli of Xanthoparmelia somloensis with natural content of polyols (control) and polyol-free thalli (acetone-rinsed) were used to study ribitol effects at low temperatures. Thalli segments were cultivated in ribitol concentration of 32 or 50 mM for 168 h at temperatures +5, 0, and -5 A degrees C. The chlorophyll fluorescence parameters (potential yield of photochemical reactions in PS 2 (variable to maximum fluorescence ratio, F-v/F-m), effective quantum yield of photochemical reactions in PS 2 (I broken vertical bar(PS2)), and non-photochemical quenching (NPQ) were monitored in 24-h intervals using an imaging system. The effect of 32 mM ribitol on F-v/F-m and I broken vertical bar(PS2) was apparent only at -5 A degrees C, however, the effect was seen throughout the whole exposure. Surprisingly, 50 mM ribitol concentration treatment led to a decrease in F-v/F-m and I broken vertical bar(PS2) and to an increase in NPQ values at -5 A degrees C, while no change was observed at 0 A degrees C and +5 A degrees C. Acetone-rinsing caused decrease of F-v/F-m, I broken vertical bar(PS2) and NPQ.</t>
  </si>
  <si>
    <t>[Hajek, J.; Vaczi, P.; Bartak, M.; Smejkal, L.] Masaryk Univ, Inst Expt Biol, CZ-61137 Brno, Czech Republic; [Lipavska, H.] Charles Univ Prague, Fac Sci, CZ-12844 Prague, Czech Republic</t>
  </si>
  <si>
    <t>Masaryk University Brno; Charles University Prague</t>
  </si>
  <si>
    <t>Hájek, J (corresponding author), Masaryk Univ, Inst Expt Biol, Kotlarska 2, CZ-61137 Brno, Czech Republic.</t>
  </si>
  <si>
    <t>jhajek@sci.muni.cz</t>
  </si>
  <si>
    <t>Barták, Miloš/F-4714-2019; Hájek, Josef/F-4694-2019; Lipavska, Helena/N-1372-2017; , Peter/AAF-2323-2021</t>
  </si>
  <si>
    <t>Hájek, Josef/0000-0002-2679-1707; Lipavska, Helena/0000-0001-8514-6049; , Peter/0000-0003-1200-8934</t>
  </si>
  <si>
    <t>Grant Agency of the Czech Academy of Science (GAAV), Czech Republic [KJB601630808]</t>
  </si>
  <si>
    <t>Grant Agency of the Czech Academy of Science (GAAV), Czech Republic(Grant Agency of the Czech Republic)</t>
  </si>
  <si>
    <t>The study reported in this paper was supported by the KJB601630808 project funded by the Grant Agency of the Czech Academy of Science (GAAV), Czech Republic.</t>
  </si>
  <si>
    <t>ACAD SCIENCES CZECH REPUBLIC, INST EXPERIMENTAL BOTANY</t>
  </si>
  <si>
    <t>PRAHA 6</t>
  </si>
  <si>
    <t>ROZVOJOVA 263, PRAHA 6, CZ-165 02, CZECH REPUBLIC</t>
  </si>
  <si>
    <t>0006-3134</t>
  </si>
  <si>
    <t>1573-8264</t>
  </si>
  <si>
    <t>BIOL PLANTARUM</t>
  </si>
  <si>
    <t>Biol. Plant.</t>
  </si>
  <si>
    <t>10.1007/s10535-009-0122-z</t>
  </si>
  <si>
    <t>Plant Sciences</t>
  </si>
  <si>
    <t>524BK</t>
  </si>
  <si>
    <t>WOS:000272118600013</t>
  </si>
  <si>
    <t>Dodson, E; Dodson, G</t>
  </si>
  <si>
    <t>Dodson, Eleanor; Dodson, Guy</t>
  </si>
  <si>
    <t>Movements at the Hemoglobin A-Hemes and their Role in Ligand Binding, Analyzed by X-Ray Crystallography</t>
  </si>
  <si>
    <t>BIOPOLYMERS</t>
  </si>
  <si>
    <t>fish and human hemoglobin; x-ray crystallography; oxygen affinity</t>
  </si>
  <si>
    <t>RESOLUTION CRYSTAL-STRUCTURES; FISH TREMATOMUS-NEWNESI; T-STATE; CARBONMONOXY FORMS; FOURIER SYNTHESIS; OXYGEN; DEOXYHEMOGLOBIN; DEOXY; NOTOTHENIOIDEI; HAEMOGLOBIN</t>
  </si>
  <si>
    <t>The two hemoglobin structures determined by Max Perutz, the liganded R-state, which has high oxygen affinity, and the unliganded T-state with low oxygen affinity, were landmarks in molecular and structural biology (Perutz and Lehman, Nature 1968, 219, 902-909; Bolton and Perutz, Nature 1970, 28, 551-552; Perutz et al., Nature 1968, 219, 131-139). They provided the basis of a structural mechanism that connected beautifully to the theory of cooperativity in protein systems, formulated at about the same time by Monod et al. (J Mol Biol 1965, 12, 88-1118). Over the last 40 years there have been extensive biochemical and structural studies on hemoglobin's structure and the mechanisms that govern its co-operativity, specificity, and other physiological properties. There are still however a number of unresolved issues over the molecule's properties, for example the mechanism responsible for the affects of pH on oxygen affinity, i.e., the Bohr and Root effects. In this communication the differences in the geometry at the a-heme of unliganded and liganded human and the Antarctic fish (Trematomus) hemoglobin will be described and their relevance to affinity considered. (c) 2009 Wiley Periodicals, Inc. Biopolymers 91: 1056-1063, 2009.</t>
  </si>
  <si>
    <t>[Dodson, Eleanor; Dodson, Guy] Univ York, Dept Chem, YSBL, York YO10 5YW, N Yorkshire, England; [Dodson, Guy] Natl Inst Med Res, Div Mol Struct, London NW7 1AA, England</t>
  </si>
  <si>
    <t>University of York - UK; MRC National Institute for Medical Research</t>
  </si>
  <si>
    <t>Dodson, G (corresponding author), Univ York, Dept Chem, YSBL, York YO10 5YW, N Yorkshire, England.</t>
  </si>
  <si>
    <t>guy.dodson@nimr.mrc.ac.uk</t>
  </si>
  <si>
    <t>Biotechnology and Biological Sciences Research Council Funding Source: Medline; Medical Research Council Funding Source: Medline</t>
  </si>
  <si>
    <t>Biotechnology and Biological Sciences Research Council(UK Research &amp; Innovation (UKRI)Biotechnology and Biological Sciences Research Council (BBSRC)); Medical Research Council(UK Research &amp; Innovation (UKRI)Medical Research Council UK (MRC))</t>
  </si>
  <si>
    <t>0006-3525</t>
  </si>
  <si>
    <t>1097-0282</t>
  </si>
  <si>
    <t>Biopolymers</t>
  </si>
  <si>
    <t>SI</t>
  </si>
  <si>
    <t>10.1002/bip.21197</t>
  </si>
  <si>
    <t>Biochemistry &amp; Molecular Biology; Biophysics</t>
  </si>
  <si>
    <t>508UF</t>
  </si>
  <si>
    <t>WOS:000270961600010</t>
  </si>
  <si>
    <t>Merlino, A; Vitagliano, L; Howes, BD; Verde, C; di Prisco, G; Smulevich, G; Sica, F; Vergara, A</t>
  </si>
  <si>
    <t>Merlino, Antonello; Vitagliano, Luigi; Howes, Barry D.; Verde, Cinzia; di Prisco, Guido; Smulevich, Giulietta; Sica, Filomena; Vergara, Alessandro</t>
  </si>
  <si>
    <t>Combined Crystallographic and Spectroscopic Analysis of Trematomus bernacchii Hemoglobin Highlights Analogies and Differences in the Peculiar Oxidation Pathway of Antarctic Fish Hemoglobins</t>
  </si>
  <si>
    <t>x-ray crystallography; Raman; cold-adaptation; autoxidation; hemoglobin</t>
  </si>
  <si>
    <t>CYTOCHROME-C PEROXIDASE; CRYSTAL-STRUCTURE; PAGOTHENIA-BERNACCHII; TETRAMERIC HEMOGLOBIN; SUPEROXIDE-DISMUTASE; ADAPTATION; MECHANISM; EVOLUTION; MUTANTS</t>
  </si>
  <si>
    <t>Recent studies have demonstrated that hemoglobins isolated from Antarctic fish undergo peculiar oxidation processes. Here we show, by combining crystallographic and spectroscopic data, that the oxidation pathway of Trematomus bernacchii hemoglobin (HbTb) is distinct from that observed for the major component of Trematomus newnesi (Hb1Tn), despite the high sequence identity of the two proteins and structural similarity of their ferrous and fully oxidized states. Resonance Raman analysis of HbTb autoxidation upon air-exposure reveals the absence of the oxidized pentacoordinated state that was observed for Hb1Tn. The HbTb oxidation pathway is characterized by two ferric species and aquo hexacoordinated high spin state and a bis-histidyl hexacoordinated low spin form, which appear in the early stage of the oxidation process. The high resolution structure of an intermediate along the oxidation pathway has been determined at 1.4 angstrom resolution. The analysis of the electron density of the heme pocket shows, for both alpha and the beta iron, the coexistence of multiple binding states. In this partially oxidized form, HbTb exhibits significant deviations from the canonical R state both at the local and global level. The analysis of these modifications highlights the structural correlation between key functional regions of the protein. (c) 2009 Wiley Periodicals, Inc. Biopolymers 91: 1117-1125, 2009.</t>
  </si>
  <si>
    <t>[Merlino, Antonello; Sica, Filomena; Vergara, Alessandro] Univ Naples Federico II, Dept Chem, I-80126 Naples, Italy; [Merlino, Antonello; Vitagliano, Luigi; Sica, Filomena; Vergara, Alessandro] CNR, Ist Biostrutture &amp; Bioimmagini, I-80134 Naples, Italy; [Howes, Barry D.; Smulevich, Giulietta] Univ Florence, Dipartimento Chim, I-50019 Sesto Fiorentino, FI, Italy; [Verde, Cinzia; di Prisco, Guido] CNR, Inst Prot Biochem, I-80131 Naples, Italy</t>
  </si>
  <si>
    <t>University of Naples Federico II; Consiglio Nazionale delle Ricerche (CNR); Istituto di Biostrutture e Bioimmagini (IBB-CNR); University of Florence; Consiglio Nazionale delle Ricerche (CNR); Istituto di Biochimica delle Proteine (IBP-CNR)</t>
  </si>
  <si>
    <t>Vergara, A (corresponding author), Univ Naples Federico II, Dept Chem, Complesso Univ Monte S Angelo,Via Cinthia, I-80126 Naples, Italy.</t>
  </si>
  <si>
    <t>avergara@unina.it</t>
  </si>
  <si>
    <t>smulevich, giulietta/A-6510-2008; Merlino, Antonello/AAI-2114-2020; Vergara, Alessandro/C-4435-2013</t>
  </si>
  <si>
    <t>VERDE, Cinzia/0000-0001-6185-282X; Smulevich, Giulietta/0000-0003-3021-8919; Merlino, Antonello/0000-0002-1045-7720; Vergara, Alessandro/0000-0003-4135-0245</t>
  </si>
  <si>
    <t>Italian National Programme for Antarctic Research (PNRA); Scientific Committee for Antarctic Research (SCAR); Ministero Italiano dell'Universiti e della Ricerca Scientifica [PRIN 2007SFZXZ7]</t>
  </si>
  <si>
    <t>Italian National Programme for Antarctic Research (PNRA); Scientific Committee for Antarctic Research (SCAR); Ministero Italiano dell'Universiti e della Ricerca Scientifica</t>
  </si>
  <si>
    <t>Contract grant sponsor: Italian National Programme for Antarctic Research (PNRA), in the framework of the programme Evolution and Biodiversity in the Antarctic (EBA), sponsored by the Scientific Committee for Antarctic Research (SCAR) Contract grant sponsor: Ministero Italiano dell'Universiti e della Ricerca Scientifica Contract grant number: PRIN 2007SFZXZ7 (Structure, function and evolution of heme proteins front Arctic and Antarctic marine organisms: Cold-adaptation mechanisms and acquisition of new functions)</t>
  </si>
  <si>
    <t>10.1002/bip.21206</t>
  </si>
  <si>
    <t>WOS:000270961600015</t>
  </si>
  <si>
    <t>Zacher, K; Rautenberger, R; Hanelt, D; Wulff, A; Wiencke, C</t>
  </si>
  <si>
    <t>Zacher, Katharina; Rautenberger, Ralf; Hanelt, Dieter; Wulff, Angela; Wiencke, Christian</t>
  </si>
  <si>
    <t>The abiotic environment of polar marine benthic algae</t>
  </si>
  <si>
    <t>BOTANICA MARINA</t>
  </si>
  <si>
    <t>benthic algae; global change; light climate polar regions; seasonality</t>
  </si>
  <si>
    <t>KING-GEORGE-ISLAND; POTTER COVE; SEASONAL-VARIATION; ARCTIC FJORD; UV-RADIATION; ULTRAVIOLET-RADIATION; ECOPHYSIOLOGICAL PATTERNS; LAMINARIA-SOLIDUNGULA; ADMIRALTY BAY; SIGNY-ISLAND</t>
  </si>
  <si>
    <t>Due to different oceanographic and geological characteristics, benthic algal communities of Antarctica and the Arctic differ strongly. Antarctica is characterized by high endemism, whereas in the Arctic only a few endemic species occur. In contrast to the Antarctic region, where nutrient levels never limit algal growth, nutrient levels in the Arctic region are depleted during the summer season. Both regions have a strongly seasonally changing light regime, fortified by an ice covering throughout the winter months. After months of darkness, algae are suddenly exposed to high light caused by the breaking up of sea ice. Simultaneously, harmful ultraviolet radiation (UVR) enters the water column and can significantly affect algal growth and community structure. In the intertidal zone, fluctuations of temperature and salinity can be very large. Ice scours can further influence growth and settlement of intertidal algae. The subtidal zone offers a more stable habitat than the intertidal, permitting the growth of larger perennial algae and microbial mats. Polar regions are the areas most affected by global climate change, i.e., glacier retreat, increasing temperature and sedimentation, with as yet unknown consequences for the polar ecosystem.</t>
  </si>
  <si>
    <t>[Zacher, Katharina; Wiencke, Christian] Alfred Wegener Inst Polar &amp; Marine Res, Dept Seaweed Biol, Sect Funct Ecol, D-27570 Bremerhaven, Germany; [Rautenberger, Ralf] Univ Bremen, Dept Marine Bot, D-28359 Bremen, Germany; [Hanelt, Dieter] Univ Hamburg, Biozentrum Klein Flottbek, D-22609 Hamburg, Germany; [Wulff, Angela] Univ Gothenburg, Dept Marine Ecol, SE-40530 Gothenburg, Sweden</t>
  </si>
  <si>
    <t>Helmholtz Association; Alfred Wegener Institute, Helmholtz Centre for Polar &amp; Marine Research; University of Bremen; University of Hamburg; University of Gothenburg</t>
  </si>
  <si>
    <t>Zacher, K (corresponding author), Alfred Wegener Inst Polar &amp; Marine Res, Dept Seaweed Biol, Sect Funct Ecol, Handelshafen 12, D-27570 Bremerhaven, Germany.</t>
  </si>
  <si>
    <t>Katharina.Zacher@awi.de</t>
  </si>
  <si>
    <t>Hanelt, Dieter/E-6659-2017; Rautenberger, Ralf/AAD-2659-2020</t>
  </si>
  <si>
    <t>Rautenberger, Ralf/0000-0002-1339-2838</t>
  </si>
  <si>
    <t>0006-8055</t>
  </si>
  <si>
    <t>1437-4323</t>
  </si>
  <si>
    <t>BOT MAR</t>
  </si>
  <si>
    <t>Bot. Marina</t>
  </si>
  <si>
    <t>10.1515/BOT.2009.082</t>
  </si>
  <si>
    <t>Plant Sciences; Marine &amp; Freshwater Biology</t>
  </si>
  <si>
    <t>524RW</t>
  </si>
  <si>
    <t>WOS:000272161600002</t>
  </si>
  <si>
    <t>Wulff, A; Iken, K; Quartino, ML; Al-Handal, A; Wiencke, C; Clayton, MN</t>
  </si>
  <si>
    <t>Wulff, Angela; Iken, Katrin; Liliana Quartino, Maria; Al-Handal, Adil; Wiencke, Christian; Clayton, Margaret N.</t>
  </si>
  <si>
    <t>Biodiversity, biogeography and zonation of marine benthic micro- and macroalgae in the Arctic and Antarctic</t>
  </si>
  <si>
    <t>benthic macroalgae; benthic microalgae; biodiversity; geographic and depth distribution; polar regions</t>
  </si>
  <si>
    <t>KING-GEORGE-ISLAND; SEA-ICE DIATOMS; SOUTH SHETLAND ISLANDS; LONG-TERM CULTURE; HUDSON-BAY QUEBEC; POTTER COVE; UV-RADIATION; SIGNY-ISLAND; PHOTOSYNTHETIC PERFORMANCE; PHYLLOPHORA-ANTARCTICA</t>
  </si>
  <si>
    <t>This paper reviews the composition, biogeography and zonation of benthic algae in Arctic and Antarctic polar regions. There is a marked contrast in the literature between the amount of information on microalgae vs. macroalgae. Perhaps not surprising in view of their size and conspicuous nature, the macroalgae are better known than the microalgae and they have been studied more intensively. Macroalgal biodiversity is greater in Antarctica than in the Arctic, as is the number of endemic species. Both these characteristics of the Antarctic marine macroalgal flora can be explained by the biogeographical histories of the regions. In contrast, endemism amongst Arctic and Antarctic benthic microalgae is generally considered to be low; however, there is very little evidence to support this and further molecular research is needed to document and clarify the biodiversity of marine benthic microalgae of both polar regions. The zonation or local distribution of polar macroalgae and microalgae is influenced by physiological, morphological, chemical and ecological characteristics that determine responses to a range of environmental factors, including the ability to resist and survive algal grazing. Typically, the lower depth distribution limit elevates with increasing latitude.</t>
  </si>
  <si>
    <t>[Clayton, Margaret N.] Monash Univ, Sch Biol Sci, Clayton, Vic 3800, Australia; [Wulff, Angela; Al-Handal, Adil] Univ Gothenburg, Dept Marine Ecol, SE-40530 Gothenburg, Sweden; [Iken, Katrin] Univ Alaska Fairbanks, Sch Fisheries &amp; Ocean Sci, Fairbanks, AK 99775 USA; [Liliana Quartino, Maria] Direcc Nacl Antartico, Inst Antartico Argentino, Dept Ciencias Mar, Buenos Aires, DF, Argentina; [Liliana Quartino, Maria] Museo Argentino Ciencias Nat Bernardino Rivadavia, Buenos Aires, DF, Argentina; [Wiencke, Christian] Alfred Wegener Inst Polar &amp; Marine Res, Dept Seaweed Biol, Sect Funct Ecol, D-27570 Bremerhaven, Germany</t>
  </si>
  <si>
    <t>Monash University; University of Gothenburg; University of Alaska System; University of Alaska Fairbanks; Instituto Antartico Argentino; Museo Argentino de Ciencias Naturales Bernardino Rivadavia (MACN); Helmholtz Association; Alfred Wegener Institute, Helmholtz Centre for Polar &amp; Marine Research</t>
  </si>
  <si>
    <t>Clayton, MN (corresponding author), Monash Univ, Sch Biol Sci, POB 18, Clayton, Vic 3800, Australia.</t>
  </si>
  <si>
    <t>margaret.clayton@sci.monash.edu.au</t>
  </si>
  <si>
    <t>Al-Handal, Adil/ABH-1754-2021</t>
  </si>
  <si>
    <t>10.1515/BOT.2009.072</t>
  </si>
  <si>
    <t>WOS:000272161600003</t>
  </si>
  <si>
    <t>Hommersand, MH; Moe, RL; Amsler, CD; Fredericq, S</t>
  </si>
  <si>
    <t>Hommersand, Max H.; Moe, Richard L.; Amsler, Charles D.; Fredericq, Suzanne</t>
  </si>
  <si>
    <t>Notes on the systematics and biogeographical relationships of Antarctic and sub-Antarctic Rhodophyta with descriptions of four new genera and five new species</t>
  </si>
  <si>
    <t>Antarctica; biogeography; Rhodophyta; systematics; taxonomy</t>
  </si>
  <si>
    <t>ROSS SEA; CENOZOIC RECONSTRUCTIONS; CERAMIACEAE RHODOPHYCEAE; CHEMICAL DEFENSES; NEW-ZEALAND; MACROALGAE; HISTORY; NOV; CORALLINACEAE; PENINSULA</t>
  </si>
  <si>
    <t>The present study consolidates knowledge of Antarctic marine Rhodophyta, incorporating new observations from the Antarctic Peninsula. Descriptions of four new genera and five new species are included: Rhodokrambe laingioides (Delesseriaceae), Leniea lubrica, Austropugetia crassa, Varimenia macropustulosa R. L. Moe gens. et spp. nov., and Nereoginkgo populifolia R. L. Moe sp. nov. (Kallymeniaceae). The new combination Trematocarpus antarcticus (Hariot) Fredericq et R. L. Moe is proposed for Kallymenia antarctica Hariot (Sarcodiaceae). Phylogenetic relationships are suggested based primarily on unpublished molecular analyses of rbcL sequences provided by S.-M. Lin, S. Fredericq, P. W. Gabrielson, D. W. Freshwater and M. Volovsek. Habitat and environmental conditions are incorporated from the field studies of R. L. Moe and C.D. Amsler. A preliminary assessment is made of the biogeographic relationships between Antarctic red algae and those found in related temperate regions based on a summary of tectonic and climatic reconstructions of the Cenozoic Southern Ocean and the unpublished phylogenetic studies of Hommersand and his associates.</t>
  </si>
  <si>
    <t>[Hommersand, Max H.] Univ N Carolina, Dept Biol, Chapel Hill, NC 27599 USA; [Moe, Richard L.] Univ Calif Berkeley, Univ &amp; Jepson Herbaria, Berkeley, CA 94720 USA; [Amsler, Charles D.] Univ Alabama, Dept Biol, Birmingham, AL 35294 USA; [Fredericq, Suzanne] Univ Louisiana Lafayette, Dept Biol, Lafayette, LA 70504 USA</t>
  </si>
  <si>
    <t>University of North Carolina; University of North Carolina Chapel Hill; University of California System; University of California Berkeley; University of Alabama System; University of Alabama Birmingham; University of Louisiana Lafayette</t>
  </si>
  <si>
    <t>Hommersand, MH (corresponding author), Univ N Carolina, Dept Biol, CB 3280, Chapel Hill, NC 27599 USA.</t>
  </si>
  <si>
    <t>Hommersand@bio.unc.edu</t>
  </si>
  <si>
    <t>NSF-PEET [DEB-0328491]; National Science Foundation [OPP-9814538, OPP-0125181, OPP-0442769]</t>
  </si>
  <si>
    <t>NSF-PEET(National Science Foundation (NSF)); National Science Foundation(National Science Foundation (NSF))</t>
  </si>
  <si>
    <t>We are indebted to S.- M. Lin, Paul W. Gabrielson and D. Wilson Freshwater for unpublished sequences cited here and to Fran Hommersand for her help in curating the Antarctic collections at NCU. M. H. Hommersand thanks NSF-PEET award DEB-0328491 for support. Recent collections in the Amsler personal herbarium used in this study were made possible by National Science Foundation awards OPP-9814538, OPP-0125181, and OPP-0442769 to C. D. Amsler and J. B. McClintock. We thank Craig Aumack, Maggie Amsler, and Katrin Iken who contributed significantly to these collections. Descriptions were translated into Latin by Mark Garland.</t>
  </si>
  <si>
    <t>WALTER DE GRUYTER &amp; CO</t>
  </si>
  <si>
    <t>10.1515/BOT.2009.081</t>
  </si>
  <si>
    <t>WOS:000272161600004</t>
  </si>
  <si>
    <t>Amsler, CD; Iken, K; McClintock, JB; Baker, BJ</t>
  </si>
  <si>
    <t>Amsler, Charles D.; Iken, Katrin; McClintock, James B.; Baker, Bill J.</t>
  </si>
  <si>
    <t>Defenses of polar macroalgae against herbivores and biofoulers</t>
  </si>
  <si>
    <t>Antarctica; Arctic; chemical ecology; herbivory</t>
  </si>
  <si>
    <t>FISH NOTOTHENIA-CORIICEPS; CHEMICAL DEFENSES; NUTRITIONAL QUALITY; SUBTIDAL MACROALGAE; DESMARESTIA-ANCEPS; GREEN MACROALGAE; ECOLOGY; PALATABILITY; ALGAE; PHAEOPHYTA</t>
  </si>
  <si>
    <t>Chemical defenses against herbivores are common in macroalgae from Antarctica, particularly in those species that typically dominate benthic communities. Conversely, although little studied, chemical defenses do not appear to be as important in the ecological relationships of Arctic macroalgae. Mesoherbivory may be particularly heavy in Antarctic macroalgal communities, but Antarctic macroalgae produce chemical defenses against both mesoherbivores and macroherbivores. Antarctic macroalgae have been useful in testing and extending chemical defense theories. While physical defenses may also be important in some Antarctic macroalgal-herbivore relationships, particularly with respect to mesoherbivores, physical defenses do not appear to have wide-spread importance against macroherbivores. In Arctic macroalgae, physical defenses may be of more overall importance in reducing mesoherbivory. Antarctic macroalgae also produce compounds with the potential to control biofouling by sympatric microalgae.</t>
  </si>
  <si>
    <t>[Amsler, Charles D.; McClintock, James B.] Univ Alabama Birmingham, Dept Biol, Birmingham, AL 35294 USA; [Iken, Katrin] Univ Alaska Fairbanks, Inst Marine Sci, Sch Fisheries &amp; Ocean Sci, Fairbanks, AK 99775 USA; [Baker, Bill J.] Univ S Florida, Dept Chem, Tampa, FL 33620 USA</t>
  </si>
  <si>
    <t>University of Alabama System; University of Alabama Birmingham; University of Alaska System; University of Alaska Fairbanks; State University System of Florida; University of South Florida</t>
  </si>
  <si>
    <t>Amsler, CD (corresponding author), Univ Alabama Birmingham, Dept Biol, Birmingham, AL 35294 USA.</t>
  </si>
  <si>
    <t>amsler@uab.edu</t>
  </si>
  <si>
    <t>National Science Foundation [OPP-9526610, OPP-9530735, OPP-9814538, OPP-9901076, OPP-0125152, OPP-0125181, OPP-0442769, OPP0442857]</t>
  </si>
  <si>
    <t>National Science Foundation(National Science Foundation (NSF))</t>
  </si>
  <si>
    <t>We are very grateful to our past Antarctic field teams and to the employees and subcontractors of Raytheon Polar Services Company and Antarctic Support Associates for performing or assisting with much of the research reviewed in this paper. We also thank M. Amsler, C. Aumack, P. Bucolo, C. Wiencke, and two anonymous reviewers for constructive comments on earlier versions of the manuscript and thank the National Science Foundation for supporting much of the work under awards OPP-9526610, OPP-9530735, OPP-9814538, OPP-9901076, OPP-0125152, OPP-0125181, OPP-0442769, and/or OPP0442857.</t>
  </si>
  <si>
    <t>10.1515/BOT.2009.070</t>
  </si>
  <si>
    <t>WOS:000272161600005</t>
  </si>
  <si>
    <t>Iken, K; Amsler, CD; Amsler, MO; McClintock, JB; Baker, BJ</t>
  </si>
  <si>
    <t>Iken, Katrin; Amsler, Charles D.; Amsler, Margaret O.; McClintock, James B.; Baker, Bill J.</t>
  </si>
  <si>
    <t>Field studies on deterrent properties of phlorotannins in Antarctic brown algae</t>
  </si>
  <si>
    <t>Antarctica; antifouling; antimicrobial effects; brown algal phlorotannins; grazer deterrence</t>
  </si>
  <si>
    <t>KING-GEORGE ISLAND; FISH NOTOTHENIA-CORIICEPS; SOUTH SHETLAND ISLANDS; POTTER COVE; CHEMICAL DEFENSES; FUCUS-VESICULOSUS; SECONDARY METABOLITES; TROPHIC RELATIONSHIPS; SIMULATED HERBIVORY; SUBTIDAL MACROALGAE</t>
  </si>
  <si>
    <t>Antiherbivore effects of phlorotannins from eight common Antarctic brown algae were tested with three omnivorous sympatric grazers, the fish Notothenia coriiceps, the sea star Odontaster validus, and the amphipod Gondogeneia antarctica. Incidence of grazing deterrence overall was relatively low, with only a few algal species deterring each of the grazers, and with phlorotannins from different algae active against different grazers. Most activity was found in Desmarestia menziesii and Cystosphaera jacquinotii, which deterred two out of the three grazers, while D. anceps and Himantothallus grandifolius deterred only one grazer type each. Only weak antimicrobial effects were detected in all phlorotannin extracts against four Antarctic bacterial strains, with phlorotannins of D. anceps and Phaeurus antarcticus having the strongest effects. Phlorotannin extracts of all brown algal species tested caused strong in vitro mortality in a fouling diatom. The ecological significance of this activity remains to be tested. While the bulk tissue phlorotannin concentrations likely overestimate naturally occurring surface concentrations encountered by foulers in situ, fouler settlement may be deterred at much lower concentrations than those eliciting mortality. Overall, Antarctic phlorotannin deterrent properties were specific both to the algal species as well as the grazer, bacteria and diatom taxa tested. For grazer deterrence, we propose that, for each of the tested grazers, complex interactions between phlorotannin chemical properties and grazer digestive characteristics may determine the effectiveness of specific phlorotannins. Larger generalizations of phlorotannin-grazer patterns such as distinction between meso- and macrograzers may not be valid, at least not for Antarctic brown algal phlorotannins.</t>
  </si>
  <si>
    <t>[Iken, Katrin] Univ Alaska, Inst Marine Sci, Sch Fisheries &amp; Ocean Sci, Fairbanks, AK 99775 USA; [Amsler, Charles D.; Amsler, Margaret O.; McClintock, James B.] Univ Alabama Birmingham, Dept Biol, Birmingham, AL 35294 USA; [Baker, Bill J.] Univ S Florida, Dept Chem, Tampa, FL 33620 USA</t>
  </si>
  <si>
    <t>University of Alaska System; University of Alaska Fairbanks; University of Alabama System; University of Alabama Birmingham; State University System of Florida; University of South Florida</t>
  </si>
  <si>
    <t>Iken, K (corresponding author), Univ Alaska, Inst Marine Sci, Sch Fisheries &amp; Ocean Sci, Fairbanks, AK 99775 USA.</t>
  </si>
  <si>
    <t>iken@ims.uaf.edu</t>
  </si>
  <si>
    <t>National Science Foundation [OPP-9814538, OPP-9901076]</t>
  </si>
  <si>
    <t>We would like to express our special thanks to J. Hubbard, K. Peters, B. Furrow, A. Mahon and C. Petrie for their valuable assistance during the field work. We are grateful to the employees and subcontractors of Raytheon Polar Services Company and Antarctic Support Associates for logistical support while in Antarctica. Two anonymous reviewers provided constructive comments that improved the manuscript. This work was conducted under National Science Foundation awards to CDA and JBM (OPP-9814538) and to BJB (OPP-9901076).</t>
  </si>
  <si>
    <t>10.1515/BOT.2009.071</t>
  </si>
  <si>
    <t>WOS:000272161600006</t>
  </si>
  <si>
    <t>Wiencke, C; Gómez, I; Dunton, K</t>
  </si>
  <si>
    <t>Wiencke, Christian; Gomez, Ivan; Dunton, Ken</t>
  </si>
  <si>
    <t>Phenology and seasonal physiological performance of polar seaweeds</t>
  </si>
  <si>
    <t>phenology; photosynthesis; polar seaweeds; reproduction; storage compounds</t>
  </si>
  <si>
    <t>KING-GEORGE-ISLAND; HIMANTOTHALLUS-GRANDIFOLIUS DESMARESTIALES; ASCOSEIRA-MIRABILIS ASCOSEIRALES; INDEPENDENT CARBON FIXATION; MAJOR ORGANIC-COMPOUNDS; LONG-TERM CULTURE; LAMINARIA-SOLIDUNGULA; LIFE-HISTORY; PHOTOSYNTHETIC CHARACTERISTICS; TEMPERATURE REQUIREMENTS</t>
  </si>
  <si>
    <t>The phenology of polar seaweeds is strongly tuned to the strong seasonal changes in underwater radiation. Daylength triggers the onset of reproduction and growth during winter in season anticipators, particularly in endemic species. More widely distributed species are often season responders growing predominantly in summer in direct response to light, temperature and nutrient conditions. The physiology of polar seaweeds is strongly linked to the life strategy of the individual species. For season anticipators, photosynthetic rates are often highest in late winter-spring when sunlight penetrates deep into the clear waters. Since Antarctic species are seldom nutrient-limited, even during summer, they mostly incorporate photosynthetically fixed carbon directly into biomass. In contrast, Arctic kelps, such as Laminaria solidungula utilise the carbon fixed during summer for synthesis of storage compounds, which are used to fuel growth during the dark winter period when nutrients are sufficient for new tissue formation. This growth pattern reflects a strategy for species optimally adapted to the seasonal changes of nutrient concentrations, which in the Arctic are low (or nearly undetectable) in summer, and high in winter. This review concludes with a discussion of possible implications of global climate changes on the phenology and productivity of polar seaweed communities.</t>
  </si>
  <si>
    <t>[Wiencke, Christian] Alfred Wegener Inst Polar &amp; Marine Res, Dept Seaweed Biol, Sect Funct Ecol, D-27570 Bremerhaven, Germany; [Gomez, Ivan] Univ Austral Chile, Inst Biol Marina, Valdivia, Chile; [Dunton, Ken] Univ Texas Austin, Inst Marine Sci, Port Aransas, TX 78373 USA</t>
  </si>
  <si>
    <t>Helmholtz Association; Alfred Wegener Institute, Helmholtz Centre for Polar &amp; Marine Research; Universidad Austral de Chile; University of Texas System; University of Texas Austin</t>
  </si>
  <si>
    <t>Wiencke, C (corresponding author), Alfred Wegener Inst Polar &amp; Marine Res, Dept Seaweed Biol, Sect Funct Ecol, Handelshafen 12, D-27570 Bremerhaven, Germany.</t>
  </si>
  <si>
    <t>christian.wiencke@awi.de</t>
  </si>
  <si>
    <t>Gomez, Ivan/0000-0001-8381-3792</t>
  </si>
  <si>
    <t>Deutsche Forschungsgemeinschaft; German Academic Exchange Service; National Science Foundation</t>
  </si>
  <si>
    <t>Deutsche Forschungsgemeinschaft(German Research Foundation (DFG)); German Academic Exchange Service(Deutscher Akademischer Austausch Dienst (DAAD)); National Science Foundation(National Science Foundation (NSF))</t>
  </si>
  <si>
    <t>Many data described in this paper would not have been produced without the generous financial support of the Deutsche Forschungsgemeinschaft (to CW), the German Academic Exchange Service (to IG), and the National Science Foundation (to KHD). This help is greatly acknowledged here. Finally, CW thanks the AWI Center for Scientific Diving, especially Max Schwanitz, for collecting seaweeds and for support during underwater works. The Instituto Antartico Chileno kindly supported two expeditions to Base Frei, King George Island. Parts of the study were performed at the Dallmann Laboratory, annex to Jubany station on King George Island, under the agreement on scientific cooperation between the Alfred Wegener Institute and the Direccion Nacional del Antartico, Buenos Aires and at the International Arctic Environmental Research and Monitoring Facility at Ny-Alesund, Svalbard.</t>
  </si>
  <si>
    <t>10.1515/BOT.2009.078</t>
  </si>
  <si>
    <t>WOS:000272161600009</t>
  </si>
  <si>
    <t>Gómez, I; Wulff, A; Roleda, MY; Huovinen, P; Karsten, U; Quartino, ML; Dunton, K; Wiencke, C</t>
  </si>
  <si>
    <t>Gomez, Ivan; Wulff, Angela; Roleda, Michael Y.; Huovinen, Pirjo; Karsten, Ulf; Liliana Quartino, Maria; Dunton, Ken; Wiencke, Christian</t>
  </si>
  <si>
    <t>Light and temperature demands of marine benthic microalgae and seaweeds in polar regions</t>
  </si>
  <si>
    <t>algae; Antarctic; Arctic; light; temperature</t>
  </si>
  <si>
    <t>KING-GEORGE-ISLAND; LAMINARIA SPECIES PHAEOPHYTA; ARCTIC KELP COMMUNITY; ICE ALGAL PRODUCTION; ANTARCTIC SEA-ICE; LONG-TERM CULTURE; UV-RADIATION; IN-SITU; SIGNY-ISLAND; POTTER COVE</t>
  </si>
  <si>
    <t>Polar algae have a striking ability to photosynthesize and grow under very low light and temperatures. In seaweeds, minimum light demands for photosynthetic saturation and compensation can be as low as 10 and 2 mu mol photons m(-2) s(-1), respectively. For benthic microalgae, these values can be even lower because of the limited irradiance reaching deep sea floors. The extreme shade adaptation of these organisms sets their distributional limits at depths close to 40 m and enables them to tolerate long periods of extended darkness. In addition to their capability for efficient photosynthesis at extremely low light levels, polar algae possess metabolic adaptations to persist at low temperatures, which permit them to complete their life cycles at year-round temperatures close to 0 degrees C. Seaweeds with the lowest temperature demands are the species endemic to the Antarctic while Arctic algae are comparatively less cold-adapted. These adaptive characteristics allow benthic marine algae to make high contributions to high latitude coastal primary productivity and energy fluxes, exceeding or equaling the production of primary producers in more temperate systems. The studies summarized here give important insights into the major physiological adaptations allowing marine benthic microalgae and seaweeds to colonize these extreme habitats.</t>
  </si>
  <si>
    <t>[Gomez, Ivan] Univ Austral Chile, Inst Biol Marina, Valdivia, Chile; [Wulff, Angela] Univ Gothenburg, Dept Marine Ecol, SE-40530 Gothenburg, Sweden; [Roleda, Michael Y.] Univ Kiel, Inst Polar Ecol, D-24148 Kiel, Germany; [Huovinen, Pirjo] Univ Los Lagos, Ctr I Mar, Puerto Montt, Chile; [Karsten, Ulf] Univ Rostock, Inst Biol Sci, D-18057 Rostock, Germany; [Liliana Quartino, Maria] Direcc Nacl Antartico, Inst Antartico Argentino, Dept Ciencias Mar, Buenos Aires, DF, Argentina; [Liliana Quartino, Maria] Museo Argentino Ciencias Nat Bernardino Rivadavia, Buenos Aires, DF, Argentina; [Dunton, Ken] Univ Texas Austin, Inst Marine Sci, Port Aransas, TX 78373 USA; [Wiencke, Christian] Alfred Wegener Inst Polar &amp; Marine Res, Dept Seaweed Biol, Sect Funct Ecol, D-27570 Bremerhaven, Germany</t>
  </si>
  <si>
    <t>Universidad Austral de Chile; University of Gothenburg; University of Kiel; Universidad de Los Lagos; University of Rostock; Instituto Antartico Argentino; Museo Argentino de Ciencias Naturales Bernardino Rivadavia (MACN); University of Texas System; University of Texas Austin; Helmholtz Association; Alfred Wegener Institute, Helmholtz Centre for Polar &amp; Marine Research</t>
  </si>
  <si>
    <t>Gómez, I (corresponding author), Univ Austral Chile, Inst Biol Marina, Casilla 567, Valdivia, Chile.</t>
  </si>
  <si>
    <t>igomezo@uach.cl</t>
  </si>
  <si>
    <t>Varela, Daniel A/D-9484-2013; Roleda, Michael Y./H-9645-2019</t>
  </si>
  <si>
    <t>Roleda, Michael Y./0000-0003-0568-9081; Huovinen, Pirjo/0000-0002-7754-4933; Gomez, Ivan/0000-0001-8381-3792</t>
  </si>
  <si>
    <t>German Research Foundation (DFG); German Academic Exchange Service (DAAD); EU-ARCFAC program at Ny-Alesund; Chilean Fund for Science and Technology (FONDECYT) [1080171, 1060503]; US National Science Foundation; Minerals Management Service Alaska Environmental Studies Program</t>
  </si>
  <si>
    <t>German Research Foundation (DFG)(German Research Foundation (DFG)); German Academic Exchange Service (DAAD)(Deutscher Akademischer Austausch Dienst (DAAD)); EU-ARCFAC program at Ny-Alesund; Chilean Fund for Science and Technology (FONDECYT)(Comision Nacional de Investigacion Cientifica y Tecnologica (CONICYT)CONICYT FONDECYT); US National Science Foundation(National Science Foundation (NSF)); Minerals Management Service Alaska Environmental Studies Program</t>
  </si>
  <si>
    <t>This review was written in the framework of grants from the following institutions: German Research Foundation (DFG), German Academic Exchange Service (DAAD), the EU-ARCFAC program at Ny-Alesund, the Chilean Fund for Science and Technology (FONDECYT 1080171 and 1060503), the US National Science Foundation and the Minerals Management Service Alaska Environmental Studies Program.</t>
  </si>
  <si>
    <t>10.1515/BOT.2009.073</t>
  </si>
  <si>
    <t>WOS:000272161600010</t>
  </si>
  <si>
    <t>Becker, S; Walter, B; Bischof, K</t>
  </si>
  <si>
    <t>Becker, Susanne; Walter, Bettina; Bischof, Kai</t>
  </si>
  <si>
    <t>Freezing tolerance and photosynthetic performance of polar seaweeds at low temperatures</t>
  </si>
  <si>
    <t>freezing; Fucus distichus; high light; Palmaria decipiens; photosynthesis</t>
  </si>
  <si>
    <t>KING-GEORGE-ISLAND; ULTRAVIOLET-RADIATION; PHOTOSYSTEM-II; UV-RADIATION; MACROALGAE; ACCLIMATION; LIGHT; RED; GROWTH; REQUIREMENTS</t>
  </si>
  <si>
    <t>Organisms populating benthic shallow water systems of both polar regions are adapted to a particularly harsh environment. We studied effects of freezing and the combination of high light intensities and low water temperatures on photosynthesis of key macroalgal species from the Arctic intertidal (Fucus distichus) and Antarctic subtidal (Palmaria decipiens). Photosynthetic activity of F. distichus specimens was monitored during the freezing process; there was a marked decrease in quantum yield with decreasing temperatures, and a rapid recovery as soon as temperatures increased again. Thus, under the experimental conditions tested, no indication of photo-damage was found. Specimens of Palmaria were exposed to a combination of high light intensities and low water temperatures. A persistent impairment of photosynthetic activity occurred at 0 degrees C at light intensities of 400 mu mol photons m(-2) s(-1). In all treatments, there was a decreasing ratio of phycobiliproteins to chlorophyll a. Overall, the two studies provide baseline data for interpreting physiological responses of two important macroalgal species in an extreme environment, the polar coastal ecosystem.</t>
  </si>
  <si>
    <t>[Becker, Susanne; Walter, Bettina; Bischof, Kai] Univ Bremen, Dept Marine Bot, D-28359 Bremen, Germany</t>
  </si>
  <si>
    <t>University of Bremen</t>
  </si>
  <si>
    <t>Becker, S (corresponding author), Univ Bremen, Dept Marine Bot, Leobener Str NW2, D-28359 Bremen, Germany.</t>
  </si>
  <si>
    <t>sbecker@ipoe.uni-kiel.de</t>
  </si>
  <si>
    <t>Bischof, Kai/0000-0002-4497-1920</t>
  </si>
  <si>
    <t>Deutsche Forschungsgemeinschaft [Bi 772/7-1,2,3]</t>
  </si>
  <si>
    <t>Funding by the Deutsche Forschungsgemeinschaft (Bi 772/7-1,2,3) is gratefully acknowledged. We are also grateful to Max Schwanitz and the AWI diving team for logistic support and sample supply. Part of the study has been performed at the Ny-Alesund monitoring site, and part has been performed upon agreement of cooperation between the Direccion Nacional del Antarctico and the Alfred Wegener Institute.</t>
  </si>
  <si>
    <t>10.1515/BOT.2009.079</t>
  </si>
  <si>
    <t>WOS:000272161600011</t>
  </si>
  <si>
    <t>Müller, R; Laepple, T; Bartsch, I; Wiencke, C</t>
  </si>
  <si>
    <t>Mueller, Ruth; Laepple, Thomas; Bartsch, Inka; Wiencke, Christian</t>
  </si>
  <si>
    <t>Impact of oceanic warming on the distribution of seaweeds in polar and cold-temperate waters</t>
  </si>
  <si>
    <t>geographic distribution; global warming; sea surface isotherms; seaweeds; temperature</t>
  </si>
  <si>
    <t>URCHINS STRONGYLOCENTROTUS-DROEBACHIENSIS; CHORDARIA-LINEARIS PHAEOPHYCEAE; LAMINARIA SPECIES PHAEOPHYTA; FRAGILE SSP TOMENTOSOIDES; BENTHIC MARINE-ALGAE; NORTH-ATLANTIC OCEAN; SACCHARINA L LAMOUR; LONG-TERM CHANGES; LIFE-HISTORY; CHONDRUS-CRISPUS</t>
  </si>
  <si>
    <t>Temperature is one of the most important factors controlling the biogeographic distribution of seaweeds and is expected to increase due to the rise in anthropogenic greenhouse gas concentrations, especially in polar and cold-temperate regions. To estimate prospective distributional shifts in cold-water key structural seaweeds from both hemispheres, we related temperature requirements and recent distributions of seaweeds to observed mean sea surface temperature (SST) isotherms for the periods 1980-1999 (Meteorological Office Hadley Centre's SST data set; HadISST) and to modelled temperatures for 2080-2099 [Coupled Model Intercomparison Project 3 (CMIP3) database prepared for the Intergovernmental Panel on Climate Change Fourth Assessment Report (IPCC AR4) report] based on moderate greenhouse gas emissions Special Report on Emission Scenarios - Scenario B1 (SRESA1B). Under this scenario, North Atlantic polar to cold-temperate seaweeds investigated will extend their distribution into the High Arctic until the end of the 21st century, but retreat along the northeastern Atlantic coastline. In contrast, selected Antarctic seaweeds will probably not significantly alter their latitudinal distributions, as deduced from our presently incomplete knowledge of their temperature requirements. We identified several cold-temperate regions where seaweed composition and abundance will certainly change with elevated temperatures. The results are discussed in the context of local temperature conditions, effects of multifactorial abiotic and biotic interactions and expected ecological consequences for seaweed-dominated ecosystems.</t>
  </si>
  <si>
    <t>[Mueller, Ruth; Bartsch, Inka; Wiencke, Christian] Alfred Wegener Inst Polar &amp; Marine Res, Dept Seaweed Biol, Sect Funct Ecol, D-27570 Bremerhaven, Germany; [Laepple, Thomas] Alfred Wegener Inst Polar &amp; Marine Res, Sect Paleoclimate Dynam, D-27570 Bremerhaven, Germany; [Mueller, Ruth] LOEWE Biodivers &amp; Climate Res Ctr, Sect Adaptat &amp; Climate, D-60325 Frankfurt, Germany</t>
  </si>
  <si>
    <t>Helmholtz Association; Alfred Wegener Institute, Helmholtz Centre for Polar &amp; Marine Research; Helmholtz Association; Alfred Wegener Institute, Helmholtz Centre for Polar &amp; Marine Research</t>
  </si>
  <si>
    <t>Bartsch, I (corresponding author), Alfred Wegener Inst Polar &amp; Marine Res, Dept Seaweed Biol, Sect Funct Ecol, Handelshafen 12, D-27570 Bremerhaven, Germany.</t>
  </si>
  <si>
    <t>inka.bartsch@awi.de</t>
  </si>
  <si>
    <t>Muller, Ruth/GXA-1300-2022; Muller, Ruth/D-2551-2009; Laepple, Thomas/M-8783-2015</t>
  </si>
  <si>
    <t>Muller, Ruth/0000-0003-3909-3876; Laepple, Thomas/0000-0001-8108-7520</t>
  </si>
  <si>
    <t>10.1515/BOT.2009.080</t>
  </si>
  <si>
    <t>WOS:000272161600012</t>
  </si>
  <si>
    <t>Karsten, U; Wulff, A; Roleda, MY; Müller, R; Steinhoff, FS; Fredersdorf, J; Wiencke, C</t>
  </si>
  <si>
    <t>Karsten, Ulf; Wulff, Angela; Roleda, Michael Y.; Mueller, Ruth; Steinhoff, Franciska S.; Fredersdorf, Jana; Wiencke, Christian</t>
  </si>
  <si>
    <t>Physiological responses of polar benthic algae to ultraviolet radiation</t>
  </si>
  <si>
    <t>avoidance; DNA repair; growth; interactive effects; life cycle; mycosporine-like amino acids; phlorotannins; photosynthesis; ultrastructure; UV sunscreens</t>
  </si>
  <si>
    <t>UV-ABSORBING COMPOUNDS; INDUCED DNA-DAMAGE; B RADIATION; AMINO-ACIDS; PHOTOSYNTHETIC PERFORMANCE; MARINE MACROALGAE; ALARIA-ESCULENTA; ECOPHYSIOLOGICAL PATTERNS; ANTARCTIC MACROALGAE; SIMULATED HERBIVORY</t>
  </si>
  <si>
    <t>Stratospheric ozone depletion and the concomitant increase in ultraviolet (UV) B radiation at the earth's surface represent major threats to polar marine ecosystems. Whereas in coastal rocky shore environments macroalgae constitute an assemblage of particular significance to ecosystem function, benthic diatoms dominate micro-phytobenthic assemblages, which typically grow on shallow-water sediments as highly productive and stabilising phototrophic biofilms. This review summarises present knowledge on how UV radiation affects the physiology of polar benthic algae with an emphasis on cell biological and structural changes, molecular targets and repair mechanisms, induction of reactive oxygen species and antioxidative strategies, photosynthesis and growth, photoprotective mechanisms, interactive effects between UV radiation and other abiotic factors, and finally ecological consequences. Although available data indicate that there are specific characteristics and adaptations in polar benthic micro- and macroalgae that explain their ecological success and limits under environmentally extreme conditions, much more research is needed to understand the underlying mechanisms. In particular, more ecosystem approaches and studies on interactive effects, as well as modern genomic, proteomic and metabolomic approaches could help address all open questions and depict a more holistic picture.</t>
  </si>
  <si>
    <t>[Karsten, Ulf] Univ Rostock, Inst Biol Sci, D-18057 Rostock, Germany; [Wulff, Angela] Univ Gothenburg, SE-40530 Gothenburg, Sweden; [Roleda, Michael Y.; Fredersdorf, Jana] Univ Kiel, Inst Polar Ecol, D-24148 Kiel, Germany; [Mueller, Ruth; Wiencke, Christian] Alfred Wegener Inst Polar &amp; Marine Res, Dept Seaweed Biol, Sect Funct Ecol, D-27570 Bremerhaven, Germany; [Steinhoff, Franciska S.; Fredersdorf, Jana] Univ Bremen, Inst Marine Bot, D-28359 Bremen, Germany</t>
  </si>
  <si>
    <t>University of Rostock; University of Gothenburg; University of Kiel; Helmholtz Association; Alfred Wegener Institute, Helmholtz Centre for Polar &amp; Marine Research; University of Bremen</t>
  </si>
  <si>
    <t>Karsten, U (corresponding author), Univ Rostock, Inst Biol Sci, Albert Einstein Str 3, D-18057 Rostock, Germany.</t>
  </si>
  <si>
    <t>ulf.karsten@uni-rostock.de</t>
  </si>
  <si>
    <t>Muller, Ruth/GXA-1300-2022; Roleda, Michael Y./H-9645-2019; Muller, Ruth/D-2551-2009</t>
  </si>
  <si>
    <t>Roleda, Michael Y./0000-0003-0568-9081; Muller, Ruth/0000-0003-3909-3876</t>
  </si>
  <si>
    <t>German Research Foundation (DFG); Bremen International Graduate School for Marine Sciences (GLOMAR); Helmholtz Association; Ny-Alesund International Research and Monitoring Facility</t>
  </si>
  <si>
    <t>German Research Foundation (DFG)(German Research Foundation (DFG)); Bremen International Graduate School for Marine Sciences (GLOMAR); Helmholtz Association(Helmholtz Association); Ny-Alesund International Research and Monitoring Facility</t>
  </si>
  <si>
    <t>The authors thank the German Research Foundation (DFG), the Bremen International Graduate School for Marine Sciences (GLOMAR) and the Helmholtz Association for financial support through several projects over the past decades, as well as the Ny-Alesund International Research and Monitoring Facility for their support, and the AWI diving team for providing all types of field samples.</t>
  </si>
  <si>
    <t>10.1515/BOT.2009.077</t>
  </si>
  <si>
    <t>WOS:000272161600013</t>
  </si>
  <si>
    <t>Akiyama, H; Masuzaki, H; Yamaguchi, T</t>
  </si>
  <si>
    <t>Akiyama, Hiroyuki; Masuzaki, Hiroaki; Yamaguchi, Tomio</t>
  </si>
  <si>
    <t>Habitat and morphological differentiation between Pohlia annotina and P. drummondii (Mniaceae) at higher elevations in Yakushima Island, Japan</t>
  </si>
  <si>
    <t>BRYOLOGIST</t>
  </si>
  <si>
    <t>Pohlia drummondii; Pohlia annotina; Pohlia flexuosa; Yakushima Island; Japan; propagules</t>
  </si>
  <si>
    <t>SECTION POHLIELLA; MOSS; POPULATIONS; PHYLOGENIES; CONFIDENCE; GROWTH; MODEL; DNA</t>
  </si>
  <si>
    <t>Habitat segregation between two closely related Pohlia species, P. annotina and P. drummondii, was documented on the basis of field observations at higher elevations in Yakushima Island, supplemented with molecular analysis to confirm the species identities. Both species, belonging to the P. annotina complex, grow on bare soils and have similar gametophytic features as well as heavy dependence on asexual reproduction by propagules produced in leaf axils. The species show a clear difference in habitat preference: P. drummondii is strictly confined to invariably wet or moist soils such as at the edge of bog swamps or streamlets in mountain trails excavated by heavy rains, while P. annotina is mostly found in less humid habitats even if both species sometimes grow side-by-side. A phylogenetic tree using rbcL sequences confirmed that P. annotina, P. drummondii and P. flexuosa, another member of the complex, represent distinct species. In addition to the usual vermicular propagules, Japanese plants of P. annotina and P. flexuosa were shown for the first time to have several other kinds of propagules, as also found in European and American plants. Morphological changes during propagule development in Japanese P. drummondii are also reported.</t>
  </si>
  <si>
    <t>[Akiyama, Hiroyuki] Museum Nat &amp; Human Act, Sanda, Hyogo 6691546, Japan; [Masuzaki, Hiroaki; Yamaguchi, Tomio] Hiroshima Univ, Higashihiroshima, Hiroshima 7398526, Japan</t>
  </si>
  <si>
    <t>Hiroshima University</t>
  </si>
  <si>
    <t>Akiyama, H (corresponding author), Museum Nat &amp; Human Act, 6 Chome, Sanda, Hyogo 6691546, Japan.</t>
  </si>
  <si>
    <t>akiyama@hitohaku.jp; masuhiro@hiroshima-u.ac.jp; yamatom@hiroshima-u.ac.jp</t>
  </si>
  <si>
    <t>Japan Ministry of Education, Culture, Science, Sports and Technology [18570092]; Grants-in-Aid for Scientific Research [18570092] Funding Source: KAKEN</t>
  </si>
  <si>
    <t>Japan Ministry of Education, Culture, Science, Sports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</si>
  <si>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Ministry of the Environment for permission to conduct our research activities on Yakushima Island, and local staff of the Yakushima World Heritage Conservation Center and the Yakushima District Forest Officer who gave us much help in the field surveys. We are indebted to Ms. M. Chishiki (Okayama Prefectural Nature Conservation Center) who kindly offered us valuable samples and Prof. R. Seppelt (Australian Antarctic Division) who corrected the English text. Valuable comments from Prof. J. Shaw and an anonymous referee helped us to improve the manuscript. This study was supported by Grants- in- Aid for Scientific Research (# 18570092) to H. Akiyama from the Japan Ministry of Education, Culture, Science, Sports and Technology.</t>
  </si>
  <si>
    <t>AMER BRYOLOGICAL LICHENOLOGICAL SOC INC</t>
  </si>
  <si>
    <t>OMAHA</t>
  </si>
  <si>
    <t>C/O DR ROBERT S EGAN, SEC-TRES, ABLS, UNIV NEBRASKA OMAHA, DEPT BIOLOGY, OMAHA, NE 68182-0040 USA</t>
  </si>
  <si>
    <t>0007-2745</t>
  </si>
  <si>
    <t>1938-4378</t>
  </si>
  <si>
    <t>Bryologist</t>
  </si>
  <si>
    <t>WIN</t>
  </si>
  <si>
    <t>10.1639/0007-2745-112.4.749</t>
  </si>
  <si>
    <t>533IV</t>
  </si>
  <si>
    <t>WOS:000272818000004</t>
  </si>
  <si>
    <t>Yang, YD; E, DC; Chao, DB; Wang, HH</t>
  </si>
  <si>
    <t>Yang Yuan-De; E Dong-Chen; Chao Ding-Bo; Wang Hai-Hong</t>
  </si>
  <si>
    <t>Seasonal and inter-annual change in land water storage from GRACE</t>
  </si>
  <si>
    <t>CHINESE JOURNAL OF GEOPHYSICS-CHINESE EDITION</t>
  </si>
  <si>
    <t>Chinese</t>
  </si>
  <si>
    <t>GRACE; Land water storage; GLDAS; Seasonal change; Inter-annual change</t>
  </si>
  <si>
    <t>GRAVITY-FIELD; SEA-LEVEL; VARIABILITY; EARTH; MODEL</t>
  </si>
  <si>
    <t>Land water storage changes over 27 large river basins worldwide are calculated from updated monthly RL04 GRACE geoid solutions computed at GFZ from January 2003 to December 2007. Neighborhood basins show similar seasonal phase. The results indicate that the seasonal amplitude in land water storage is 1572.4 km(3) from January 2003 to December 2007. The largest annual water volume change is found in the Amazon basin, followed by the Ob, Nile and Niger. Over the 5-year time span, the inter-annual change is about -75.4+/-40.3 km(3)/a, while positive trends shown in the Amazon, Lena and Mckenzie basins, and negative in Congo, Mississippi, Yukon, Ganges and Yarlung Zangbo basins. The inter-annual change in land water storage has been increasing since 2006 from both GRACE and GLDAS.</t>
  </si>
  <si>
    <t>[Yang Yuan-De; E Dong-Chen] Wuhan Univ, Sch Geodesy &amp; Geomat, Chinese Antarctic Ctr Surveying &amp; Mapping, Wuhan 430079, Peoples R China</t>
  </si>
  <si>
    <t>Wuhan University</t>
  </si>
  <si>
    <t>Yang, YD (corresponding author), Wuhan Univ, Sch Geodesy &amp; Geomat, Chinese Antarctic Ctr Surveying &amp; Mapping, Wuhan 430079, Peoples R China.</t>
  </si>
  <si>
    <t>yuande_yang@yahoo.com.cn</t>
  </si>
  <si>
    <t>Wang, Haihong/ABF-5340-2021</t>
  </si>
  <si>
    <t>Wang, Haihong/0000-0002-0106-8360</t>
  </si>
  <si>
    <t>SCIENCE PRESS</t>
  </si>
  <si>
    <t>BEIJING</t>
  </si>
  <si>
    <t>16 DONGHUANGCHENGGEN NORTH ST, BEIJING 100717, PEOPLES R CHINA</t>
  </si>
  <si>
    <t>0001-5733</t>
  </si>
  <si>
    <t>CHINESE J GEOPHYS-CH</t>
  </si>
  <si>
    <t>Chinese J. Geophys.-Chinese Ed.</t>
  </si>
  <si>
    <t>10.3969/j.issn.0001-5733.2009.12.007</t>
  </si>
  <si>
    <t>540UC</t>
  </si>
  <si>
    <t>WOS:000273364200007</t>
  </si>
  <si>
    <t>Li, GX; Sun, XY; Liu, Y; Bickert, T; Ma, YY</t>
  </si>
  <si>
    <t>Li GuangXue; Sun XiaoYan; Liu Yong; Bickert, Torsten; Ma YanYan</t>
  </si>
  <si>
    <t>Sea surface temperature record from the north of the East China Sea since late Holocene</t>
  </si>
  <si>
    <t>CHINESE SCIENCE BULLETIN</t>
  </si>
  <si>
    <t>north of the East China Sea; mud area; U-37(k '); SST; global change</t>
  </si>
  <si>
    <t>ICE-AGE; CALIBRATION; PATTERN; INDEX; SHELF</t>
  </si>
  <si>
    <t>Using the alkenone paleotemperature index U-37(k'), a high-resolution sea surface temperature (SST) record since 3600 a BP was reconstructed from the mud area in the north of the East China Sea. Combining with the grain size distribution curve of sensitive grain size group, which may reflect the East Asia Winter Monsoon activity, the palaeoenvironmental evolution cycle throughout the late Holocene in the area was obtained. The marine environment evolution during the last 3600 years displays a five-stage trend. (1) Temperature descending period from 0.85 cal. ka BP to present. The maximum temperature decrease amplitude is 2 degrees C. The winter monsoon intensified and 'Little Ice Age' were recorded in this period. (2) Warming period from 1.90 to 0.85 cal. ka BP. The mean temperature increase amplitude is 0.8 degrees C. The Sui-Tang warming period was recorded at about 0.85-1.35 cal. ka BP and a prominent cooling event was recorded at 1.4 cal. ka BP in this period. (3) Temperature descending period from 2.55 to 1.90 cal. ka BP. Temperature cooling amplitude is 0.9 degrees C. This period is coincident with an integrated temperature circle recorded in the Antarctic ice core, with the temperature changes from a slow cooling stage to a rapid warming stage. (4) Temperature comparatively stable with a little ascending period from 3.2 to 2.55 cal. ka BP. Temperature warming amplitude is 0.3 degrees C. This period is coincident with the temperature fluctuant ascending period recorded in Antarctic ice core. (5) Temperature comparatively stable with little descending period from 3.6 to 3.2 cal. ka BP. This period corresponds with the temperature fluctuant cooling period recorded in Antarctic ice core. Basically, those five periods were coincident with the Antarctic ice core record. During the global cooling stage, the SST change in the continental shelf sea can be adjusted simultaneously.</t>
  </si>
  <si>
    <t>[Li GuangXue; Liu Yong; Ma YanYan] Ocean Univ China, Coll Marine Geosci, Qingdao 266100, Peoples R China; [Li GuangXue] Minist Educ, Key Lab Submarine Geosci &amp; Prospecting Tech, Qingdao 266100, Peoples R China; [Sun XiaoYan] Natl Marine Data &amp; Informat Serv, Tianjin 300171, Peoples R China; [Bickert, Torsten] Univ Bremen, Dept Geosci, D-28359 Bremen, Germany</t>
  </si>
  <si>
    <t>Ocean University of China; National Marine Data &amp; Information Service; University of Bremen</t>
  </si>
  <si>
    <t>Li, GX (corresponding author), Ocean Univ China, Coll Marine Geosci, Qingdao 266100, Peoples R China.</t>
  </si>
  <si>
    <t>estuary@ouc.edu.cn</t>
  </si>
  <si>
    <t>Li, Guangxue/R-5670-2018; MA, YAN/HHN-2912-2022</t>
  </si>
  <si>
    <t>National Basic Research Program of China [2005CB-422304]</t>
  </si>
  <si>
    <t>National Basic Research Program of China(National Basic Research Program of China)</t>
  </si>
  <si>
    <t>Supported by the National Basic Research Program of China (Grant No. 2005CB-422304)</t>
  </si>
  <si>
    <t>1001-6538</t>
  </si>
  <si>
    <t>1861-9541</t>
  </si>
  <si>
    <t>CHINESE SCI BULL</t>
  </si>
  <si>
    <t>Chin. Sci. Bull.</t>
  </si>
  <si>
    <t>10.1007/s11434-009-0231-2</t>
  </si>
  <si>
    <t>530WD</t>
  </si>
  <si>
    <t>WOS:000272622100033</t>
  </si>
  <si>
    <t>Zhai, B; Li, TG; Chang, FM; Cao, QY</t>
  </si>
  <si>
    <t>Zhai Bin; Li TieGang; Chang FengMing; Cao QiYuan</t>
  </si>
  <si>
    <t>Vast laminated diatom mat deposits from the west low-latitude Pacific Ocean in the last glacial period</t>
  </si>
  <si>
    <t>diatom mats; West Pacific Ocean; AMS(14)C dating; last glacial period; AAIW</t>
  </si>
  <si>
    <t>SOUTHERN-OCEAN; ETHMODISCUS; SEA; OOZE; CIRCULATION; PERSPECTIVE; RECORD; GROWTH; CORE; FLUX</t>
  </si>
  <si>
    <t>Diatoms are one of the predominant contributors to global carbon fixation by accounting for over 40% of total oceanic primary production and dominate export production. They play a significant role in marine biogeochemistry cycle. The diatom mat deposits are results of vast diatoms bloom. By analysis of diatom mats in 136 degrees 00'-140 degrees 00'E, 15 degrees 00'-21 degrees 00'N, Eastern Philippines Sea, we identified the species of the diatoms as giant Ethmodiscus rex (Wallich) Hendey. AMS C-14 dating shows that the sediments rich in diatom mats occurred during 16000-28600 a B.P., which means the bloom mainly occurred during the last glacial period, while there are no diatom mat deposits in other layers. Preliminary analysis indicates that Antarctic Intermediate Water (AAIW) expanded northward and brought silicate-rich water into the area, namely, silicon leakage processes caused the bloom of diatoms. In addition, the increase of iron input is one of the main reasons for the diatom bloom.</t>
  </si>
  <si>
    <t>[Zhai Bin; Li TieGang; Chang FengMing; Cao QiYuan] Chinese Acad Sci, Inst Oceanol, Key Lab Marine Geol &amp; Environm, Qingdao 266071, Peoples R China; [Zhai Bin] Chinese Acad Sci, Grad Univ, Beijing 100049, Peoples R China</t>
  </si>
  <si>
    <t>Chinese Academy of Sciences; Institute of Oceanology, CAS; Chinese Academy of Sciences; University of Chinese Academy of Sciences, CAS</t>
  </si>
  <si>
    <t>Li, TG (corresponding author), Chinese Acad Sci, Inst Oceanol, Key Lab Marine Geol &amp; Environm, Qingdao 266071, Peoples R China.</t>
  </si>
  <si>
    <t>tgli@ms.qdio.ac.cn</t>
  </si>
  <si>
    <t>National Basic Research Program [2007CB815903]; National Natural Science Foundation of China [40776031]; Pilot Project of the National Knowledge Innovation Program of the Chinese Academy of Sciences [KZCX2-YW-221]</t>
  </si>
  <si>
    <t>National Basic Research Program(National Basic Research Program of China); National Natural Science Foundation of China(National Natural Science Foundation of China (NSFC)); Pilot Project of the National Knowledge Innovation Program of the Chinese Academy of Sciences(Chinese Academy of Sciences)</t>
  </si>
  <si>
    <t>Supported by the National Basic Research Program (Grant No. 2007CB815903), National Natural Science Foundation of China (Grant No. 40776031) and Pilot Project of the National Knowledge Innovation Program of the Chinese Academy of Sciences (Grant No. KZCX2-YW-221)</t>
  </si>
  <si>
    <t>10.1007/s11434-009-0447-1</t>
  </si>
  <si>
    <t>WOS:000272622100036</t>
  </si>
  <si>
    <t>Præbel, K; Hunt, B; Hunt, LH; DeVries, AL</t>
  </si>
  <si>
    <t>Praebel, Kim; Hunt, Ben; Hunt, Luke H.; DeVries, Arthur L.</t>
  </si>
  <si>
    <t>The presence and quantification of splenic ice in the McMurdo Sound Notothenioid fish, Pagothenia borchgrevinki (Boulenger, 1902)</t>
  </si>
  <si>
    <t>COMPARATIVE BIOCHEMISTRY AND PHYSIOLOGY A-MOLECULAR &amp; INTEGRATIVE PHYSIOLOGY</t>
  </si>
  <si>
    <t>Notothenioidei; Antifreeze glycoprotein; Antifreeze potentiating protein; Spleen; Ice; Freeze avoidance; Adsorption-inhibition</t>
  </si>
  <si>
    <t>BIOLOGICAL ANTIFREEZE AGENTS; ANTARCTIC FISH; FREEZING AVOIDANCE; GLYCOPEPTIDES; INHIBITION; RESISTANCE; ADSORPTION; BEHAVIOR</t>
  </si>
  <si>
    <t>Survival of some polar fishes is associated with high levels of circulating antifreeze glycoproteins (AFGPs). AFGP prevent ice growth giving rise to thermal hysteresis. The inhibiting action of AFGPs implies that polar fish contain ice to which AFGPs adsorb. Cryopelagic Pagothenia borchgrevinki, inhabiting the ice-laden waters of McMurdo Sound, Antarctica, were assayed for ice and ice was found on skin, gills, in the intestine, and in the spleen. Two methods used to assess the number of ice crystals in spleens gave comparable results (12.1 +/- 1.9 and 22 +/- 3.8 per spleen). Attempts were made to measure the rate of uptake of ice by P. borchgrevinki held in cages immediately beneath the sub-ice platelet layer in McMurdo Sound; uptake was sporadic Introduction of ice into fish by spray freezing a small patch of the integument resulted in detection of splenic ice illustrating that a mechanism exists for ice transport from the periphery to the spleen. Splenic ice did after 1 h, not seem to be eliminated from fish held in ice-free water at -1.6 degrees C for approximately two months. The relatively small number of splenic ice crystals and the slow rate of ice uptake suggest efficient ice barriers exist in P. borchgrevinki. (C) 2009 Elsevier Inc. All rights reserved.</t>
  </si>
  <si>
    <t>[Praebel, Kim] Univ Tromso, Dept Arctic &amp; Marine Biol, N-9037 Tromso, Norway; [Hunt, Ben; Hunt, Luke H.; DeVries, Arthur L.] Univ Illinois, Dept Anim Biol, Urbana, IL 61801 USA</t>
  </si>
  <si>
    <t>UiT The Arctic University of Tromso; University of Illinois System; University of Illinois Urbana-Champaign</t>
  </si>
  <si>
    <t>Præbel, K (corresponding author), Univ Tromso, Dept Arctic &amp; Marine Biol, N-9037 Tromso, Norway.</t>
  </si>
  <si>
    <t>kim.praebel@uit.no</t>
  </si>
  <si>
    <t>Præbel, Kim/A-1800-2008; Praebel, Kim/A-2844-2014</t>
  </si>
  <si>
    <t>Praebel, Kim/0000-0002-0681-1854</t>
  </si>
  <si>
    <t>National Science Foundation/Office of Polar Programs</t>
  </si>
  <si>
    <t>National Science Foundation/Office of Polar Programs(National Science Foundation (NSF))</t>
  </si>
  <si>
    <t>We thank Anne Kettunen Przebel for advice on the statistical analysis of the number of ice crystals in the spleen. This research was supported by a National Science Foundation/Office of Polar Programs grant to ALD.</t>
  </si>
  <si>
    <t>360 PARK AVE SOUTH, NEW YORK, NY 10010-1710 USA</t>
  </si>
  <si>
    <t>1095-6433</t>
  </si>
  <si>
    <t>COMP BIOCHEM PHYS A</t>
  </si>
  <si>
    <t>Comp. Biochem. Physiol. A-Mol. Integr. Physiol.</t>
  </si>
  <si>
    <t>10.1016/j.cbpa.2009.09.005</t>
  </si>
  <si>
    <t>Biochemistry &amp; Molecular Biology; Physiology; Zoology</t>
  </si>
  <si>
    <t>515UT</t>
  </si>
  <si>
    <t>WOS:000271499100018</t>
  </si>
  <si>
    <t>Sands, CJ; Lancaster, ML; Austin, JJ; Sunnucks, P</t>
  </si>
  <si>
    <t>Sands, Chester J.; Lancaster, Melanie L.; Austin, Jeremy J.; Sunnucks, Paul</t>
  </si>
  <si>
    <t>Single copy nuclear DNA markers for the onychophoran Phallocephale tallagandensis</t>
  </si>
  <si>
    <t>CONSERVATION GENETICS RESOURCES</t>
  </si>
  <si>
    <t>Marker development; Anonymous single copy nuclear markers; Population genetics; Microsatellite; Onychophora</t>
  </si>
  <si>
    <t>MITOCHONDRIAL</t>
  </si>
  <si>
    <t>For some species, particularly invertebrates, developing single copy nuclear markers is an expensive and time-consuming task that may result in few or no usable markers. This has proven true for Onychophora (velvet worms). Here we describe our PCR-based method of generating single copy nuclear markers in Onychophora-a phylum comprised of species generally regarded as rare and of high conservation value-for which suitable microsatellites have been difficult to obtain. We list 6 primer pairs, some of which amplify across genera, and demonstrate their utility in identifying strong population structure in the species Phallocephale tallagandensis.</t>
  </si>
  <si>
    <t>[Sands, Chester J.] British Antarctic Survey, Cambridge CB3 0ET, England; [Sands, Chester J.] La Trobe Univ, Dept Genet, Bundoora, Vic 3086, Australia; [Lancaster, Melanie L.; Austin, Jeremy J.] Univ Adelaide, Sch Earth &amp; Environm Sci, Adelaide, SA 5005, Australia; [Sunnucks, Paul] Monash Univ, Sch Biol Sci, Clayton, Vic 3800, Australia; [Sunnucks, Paul] Monash Univ, Australian Ctr Biodivers, Clayton, Vic 3800, Australia</t>
  </si>
  <si>
    <t>UK Research &amp; Innovation (UKRI); Natural Environment Research Council (NERC); NERC British Antarctic Survey; La Trobe University; University of Adelaide; Monash University; Monash University</t>
  </si>
  <si>
    <t>Sands, CJ (corresponding author), British Antarctic Survey, Madingley Rd, Cambridge CB3 0ET, England.</t>
  </si>
  <si>
    <t>cjsan@bas.ac.uk</t>
  </si>
  <si>
    <t>; Austin, Jeremy/F-8729-2010</t>
  </si>
  <si>
    <t>Sunnucks, Paul/0000-0002-8139-7059; Austin, Jeremy/0000-0003-4244-2942; Sands, Chester/0000-0003-1028-0328</t>
  </si>
  <si>
    <t>Holsworth Wildlife Trust; ARC [DP0211156]; Australian Research Council [DP0211156] Funding Source: Australian Research Council</t>
  </si>
  <si>
    <t>Holsworth Wildlife Trust; ARC(Australian Research Council); Australian Research Council(Australian Research Council)</t>
  </si>
  <si>
    <t>We thank Ryan Garrick, Christina Schmuki and David Runciman for laboratory discussions. The work in this manuscript was supported by a Holsworth Wildlife Trust grant to CJS and ARC Discovery grant DP0211156 to PS and DM Rowell.</t>
  </si>
  <si>
    <t>SPRINGER</t>
  </si>
  <si>
    <t>DORDRECHT</t>
  </si>
  <si>
    <t>VAN GODEWIJCKSTRAAT 30, 3311 GZ DORDRECHT, NETHERLANDS</t>
  </si>
  <si>
    <t>1877-7252</t>
  </si>
  <si>
    <t>1877-7260</t>
  </si>
  <si>
    <t>CONSERV GENET RESOUR</t>
  </si>
  <si>
    <t>Conserv. Genet. Resour.</t>
  </si>
  <si>
    <t>10.1007/s12686-009-9004-0</t>
  </si>
  <si>
    <t>Biodiversity Conservation; Genetics &amp; Heredity</t>
  </si>
  <si>
    <t>Biodiversity &amp; Conservation; Genetics &amp; Heredity</t>
  </si>
  <si>
    <t>V17FF</t>
  </si>
  <si>
    <t>WOS:000207922400005</t>
  </si>
  <si>
    <t>Lalouette, L; Kaufmann, B; Konecny, L; Renault, D; Douady, CJ</t>
  </si>
  <si>
    <t>Lalouette, L.; Kaufmann, B.; Konecny, L.; Renault, D.; Douady, C. J.</t>
  </si>
  <si>
    <t>Characterization and PCR multiplexing of 14 new polymorphic microsatellite loci for the invasive subantarctic carabid Merizodus soledadinus (Coleoptera: Carabidae)</t>
  </si>
  <si>
    <t>Microsatellite; Multiplex PCR; Carabid; Sub-Antarctic; Merizodus soledadinus</t>
  </si>
  <si>
    <t>Seventeen novel microsatellite markers were characterized from an enriched DNA library for the invasive carabid beetle Merizodus soledadinus. Loci were tested, as parts of two multiplex sets in 48 M. soledadinus from 2 populations. 14 loci gave reliable amplification, and genetic diversity ranged from 2 to 6 alleles per locus. In other species of the supertribe trechitae, 8 loci reliably amplified in Eotachys bistriatus, whereas all failed for Trechisibus antarcticus and Trechus obtusus.</t>
  </si>
  <si>
    <t>[Kaufmann, B.; Konecny, L.; Douady, C. J.] Univ Lyon, Lyon, France; [Lalouette, L.; Renault, D.] Univ Rennes 1, UMR CNRS 6553, F-35042 Rennes, France; [Kaufmann, B.; Konecny, L.; Douady, C. J.] Univ Lyon 1, Lab Ecol Hydrosyst Fluviaux, F-69622 Villeurbanne, France; [Douady, C. J.] Inst Univ France, Paris, France</t>
  </si>
  <si>
    <t>Universite de Rennes; Centre National de la Recherche Scientifique (CNRS); Centre National de la Recherche Scientifique (CNRS); Universite Claude Bernard Lyon 1; Institut Universitaire de France</t>
  </si>
  <si>
    <t>Douady, CJ (corresponding author), Univ Lyon, Lyon, France.</t>
  </si>
  <si>
    <t>christophe.douady@univ-lyon1.fr</t>
  </si>
  <si>
    <t>Douady, Christophe/N-3069-2019; Douady, Christophe J/N-1357-2014; Kaufmann, Bernard/JKJ-1207-2023</t>
  </si>
  <si>
    <t>Douady, Christophe/0000-0002-4503-8040; Douady, Christophe J/0000-0002-4503-8040; RENAULT, David/0000-0003-3644-1759; Kaufmann, Bernard/0000-0001-9097-3452</t>
  </si>
  <si>
    <t>Institut Polaire Francais; Agence Nationale de la Recherche [ANR-07-VULN-004]</t>
  </si>
  <si>
    <t>Institut Polaire Francais; Agence Nationale de la Recherche(Agence Nationale de la Recherche (ANR))</t>
  </si>
  <si>
    <t>This research was funded by the Institut Polaire Francais (program Institut Paul Emile Victor 136; coordinator: Marc Lebouvier) and the Agence Nationale de la Recherche (ANR-07-VULN-004, EVINCE). We thank Dr. Peter Convey, Dr. Roger Worland (British Antarctic Survey, Cambridge, UK), and Dr. Jose Retamales, Dr. Marcelo Gonzalez and Carla Gimpel (Chilean Antarctic Institut, INACH, Chile), as well as Jacques Coulon (Societe Linneenne de Lyon) for providing Trechus obtusus and Eotachys bistriatus.</t>
  </si>
  <si>
    <t>10.1007/s12686-009-9105-9</t>
  </si>
  <si>
    <t>WOS:000207922400103</t>
  </si>
  <si>
    <t>Ferreira, A; Garcia, VMT; Garcia, CAE</t>
  </si>
  <si>
    <t>Ferreira, Amabile; Garcia, Virginia M. T.; Garcia, Carlos A. E.</t>
  </si>
  <si>
    <t>Light absorption by phytoplankton, non-algal particles and dissolved organic matter at the Patagonia shelf-break in spring and summer</t>
  </si>
  <si>
    <t>DEEP-SEA RESEARCH PART I-OCEANOGRAPHIC RESEARCH PAPERS</t>
  </si>
  <si>
    <t>Absorption coefficient; Phytoplankton bloom; CDOM; Detritus; Patagonian shelf-break</t>
  </si>
  <si>
    <t>CHLOROPHYLL-A CONCENTRATION; BIOOPTICAL PROPERTIES; SPECTRAL ABSORPTION; NATURAL PHYTOPLANKTON; SEASONAL-VARIATION; BIOGENOUS MATTER; YELLOW-SUBSTANCE; CASE-1 WATERS; SOUTH-AMERICA; OCEAN</t>
  </si>
  <si>
    <t>Satellite image studies and recent in situ sampling have identified conspicuous phytoplankton blooms during spring and summer along the Patagonia shelf-break front. The magnitudes and spectral characteristics of light absorption by total particulate matter (phytoplankton and detritus) and colored dissolved organic matter (CDOM) have been determined by spectrophotometry in that region for spring 2006 and late summer 2007 seasons. In spring, phytoplankton absorption was the dominant optical component of light absorption (60-85%), and CDOM showed variable and important contributions in summer (10-90%). However, there was a lack of correlation between phytoplankton biomass (chlorophyll-a concentration or [chl a]) and the non-algal compartment in both periods. A statistically significant difference was found between the two periods with respect to the CDOM spectral shape parameter (S-cdom), with means of 0.015 (spring) and 0.012 nm(-1) (summer). Nonetheless, the mean S-cdm values, which describe the slope of detritus plus CDOM spectra, did not differ between the periods (average of 0.013 nm(-1)). Phytoplankton absorption values in this work showed deviations from mean parameterizations in previous studies, with respect to [chl a], as well as between the two study periods. In spring, despite the microplankton dominance, high specific absorption values and large dispersion were found (a(ph)*(440) = 0.04 +/- 0.03 m(2) mg [chl a](-1)), which could be attributed to an important influence of photo-protector accessory pigments. In summer, deviations from general trends, with values of a(ph)*(440) even higher (0.09 +/- 0.02 m(2) mg [chl a](-1)), were due to the dominance of small cell sizes and also to accessory pigments. These results highlight the difficulty in deriving robust relationships between chlorophyll concentration and phytoplankton absorption coefficients regardless of the season period. The validity of a size parameter (S-f) derived from the absorption spectra has been demonstrated and was shown to describe the size structure of phytoplankton populations, independently of pigment concentration, with mean values of 0.41 in spring and 0.72 in summer. Our results emphasize the need for specific parameterization for the study region and seasonal sampling approach in order to model the inherent optical properties from water reflectance signatures. (C) 2009 Elsevier Ltd. All rights reserved.</t>
  </si>
  <si>
    <t>[Ferreira, Amabile; Garcia, Virginia M. T.; Garcia, Carlos A. E.] Fed Univ Rio Grande, Inst Oceanog, BR-96201900 Rio Grande, RS, Brazil</t>
  </si>
  <si>
    <t>Universidade Federal do Rio Grande</t>
  </si>
  <si>
    <t>Ferreira, A (corresponding author), Fed Univ Rio Grande, Inst Oceanog, Av Italia,Km 8, BR-96201900 Rio Grande, RS, Brazil.</t>
  </si>
  <si>
    <t>amabilefr@hotmail.com; docvmtg@furg.br; dfsgar@furg.br</t>
  </si>
  <si>
    <t>Ferreira, Amabile/H-8245-2013; Garcia, Carlos A. E./K-7382-2012; Tavano, Virginia/C-5241-2013</t>
  </si>
  <si>
    <t>Tavano, Virginia/0000-0003-0039-8111</t>
  </si>
  <si>
    <t>CNPq (Brazilian National Council on Research and Development) [557305/2005-5]; Brazilian agency Coordenacao de Aperfeicoamento de Pessoal de Ensino Superior (CAPES)</t>
  </si>
  <si>
    <t>CNPq (Brazilian National Council on Research and Development)(Conselho Nacional de Desenvolvimento Cientifico e Tecnologico (CNPQ)); Brazilian agency Coordenacao de Aperfeicoamento de Pessoal de Ensino Superior (CAPES)(Coordenacao de Aperfeicoamento de Pessoal de Nivel Superior (CAPES))</t>
  </si>
  <si>
    <t>The PATagonian EXperiment (PATEX) is a multidisciplinary project as part of Group of high latitude oceanography (GOAL) activities in the Brazilian Antarctic Program. We thank the crew of the Brazilian Navy research ship Ary Rongel for their assistance during the field sampling. The project was sponsored by CNPq (Brazilian National Council on Research and Development) through Grant 557305/2005-5. Ocean color images were provided by GSFC/NASA. A. Ferreira was granted a graduate scholarship from the 0. Thanks are due to Aurea Maria Ciotti for providing MATLAB (R)) scripts used to calculate the 'size parameter', Sf. We also thank three anonymous reviewers for their reviews and helpful comments.</t>
  </si>
  <si>
    <t>PERGAMON-ELSEVIER SCIENCE LTD</t>
  </si>
  <si>
    <t>OXFORD</t>
  </si>
  <si>
    <t>THE BOULEVARD, LANGFORD LANE, KIDLINGTON, OXFORD OX5 1GB, ENGLAND</t>
  </si>
  <si>
    <t>0967-0637</t>
  </si>
  <si>
    <t>1879-0119</t>
  </si>
  <si>
    <t>DEEP-SEA RES PT I</t>
  </si>
  <si>
    <t>Deep-Sea Res. Part I-Oceanogr. Res. Pap.</t>
  </si>
  <si>
    <t>10.1016/j.dsr.2009.08.002</t>
  </si>
  <si>
    <t>528IQ</t>
  </si>
  <si>
    <t>WOS:000272438000007</t>
  </si>
  <si>
    <t>Swan, CM; Siegel, DA; Nelson, NB; Carlson, CA; Nasir, E</t>
  </si>
  <si>
    <t>Swan, Chantal M.; Siegel, David A.; Nelson, Norman B.; Carlson, Craig A.; Nasir, Elora</t>
  </si>
  <si>
    <t>Biogeochemical and hydrographic controls on chromophoric dissolved organic matter distribution in the Pacific Ocean</t>
  </si>
  <si>
    <t>CDOM; AOU; Pacific; Water masses; Hydrography; Bio-optical</t>
  </si>
  <si>
    <t>NORTH-PACIFIC; OXYGEN UTILIZATION; QUANTUM YIELD; WATER COLUMN; SARGASSO SEA; CARBON; ATLANTIC; CDOM; REMINERALIZATION; VARIABILITY</t>
  </si>
  <si>
    <t>Recent in situ observations of chromophoric dissolved organic material (CDOM) in the Pacific Ocean reveal the biogeochemical controls on CDOM and indicate predictive potential for open-ocean CDOM in diagnosing particulate organic matter (POM) remineralization rates within ocean basins. Relationships between CDOM and concentrations of dissolved oxygen, nutrients and inorganic carbon in the subthermocline waters of the Pacific reflect the relative influences of water mass ventilation and water-column oxidative remineralization. Apparent in situ oxygen utilization (AOU) accounts for 86% and 61% of variance in CDOM abundance, respectively, in Antarctic Intermediate Water and North Pacific Intermediate Water. In the deep waters of the Pacific below the zone of remineralization, AOU explains 26% of CDOM variability. The AOU-CDOM relationship results from competing biogeochemical and advective processes within the ocean interior. Dissolved organic carbon (DOC) is not statistically linked to the CDOM or AOU distributions, indicating that the majority of CDOM production occurs during the remineralization of sinking POM and thus potentially provides key information about carbon export. Once formed in the ocean interior, CDOM is relatively stable until it reaches the surface ocean where it is destroyed by solar bleaching. Susceptibility to bleaching confers an additional tracer-like quality for CDOM in water masses with active convection, such as mode waters that appear as subsurface CDOM minima. In the surface ocean, atypically low CDOM abundance highlights a region of unusually extreme oligotrophy: the subtropical South Pacific gyre. For these hyper-oligotrophic waters, the present CDOM observations are consistent with analysis of in situ radiometric observations of light attenuation and reflectance, demonstrating the accuracy of the CDOM spectrophotometric observations. Overall, we illustrate how CDOM abundance in the ocean interior can potentially diagnose rates of thermohaline overturning as they affect regional biogeochemistry and export. We further show how relative surface ocean CDOM abundances are driven in large part by processes occurring in the deep layers of the ocean. This is particularly significant for the interpretation of the global surface distribution of CDOM using satellite remote sensing. (C) 2009 Elsevier Ltd. All rights reserved.</t>
  </si>
  <si>
    <t>[Swan, Chantal M.; Siegel, David A.; Nelson, Norman B.; Nasir, Elora] Univ Calif Santa Barbara, Inst Computat Earth Syst Sci, Santa Barbara, CA 93106 USA; [Siegel, David A.] Univ Calif Santa Barbara, Dept Geog, Santa Barbara, CA 93106 USA; [Carlson, Craig A.] Univ Calif Santa Barbara, Dept Ecol Evolut &amp; Marine Biol, Santa Barbara, CA 93106 USA</t>
  </si>
  <si>
    <t>University of California System; University of California Santa Barbara; University of California System; University of California Santa Barbara; University of California System; University of California Santa Barbara</t>
  </si>
  <si>
    <t>Swan, CM (corresponding author), Univ Calif Santa Barbara, Inst Computat Earth Syst Sci, Santa Barbara, CA 93106 USA.</t>
  </si>
  <si>
    <t>swan@icess.ucsb.edu</t>
  </si>
  <si>
    <t>Nelson, Norman B/B-7343-2014; Siegel, David A/C-5587-2008</t>
  </si>
  <si>
    <t>Siegel, David/0000-0003-1674-3055</t>
  </si>
  <si>
    <t>NSF Chemical Oceanography [OCE-0241614, OCE-0648541]; NASA</t>
  </si>
  <si>
    <t>NSF Chemical Oceanography(National Science Foundation (NSF)NSF - Directorate for Geosciences (GEO)); NASA(National Aeronautics &amp; Space Administration (NASA))</t>
  </si>
  <si>
    <t>We acknowledge the support of NSF Chemical Oceanography (OCE-0241614 and OCE-0648541) and NASA Ocean Biology and Biogeochemistry to N. Nelson, D. Siegel and C. Carlson, and NASA Earth System Science Fellowship Program to C. Swan. We thank two anonymous reviewers for their insightful comments on improvement of the manuscript. We acknowledge the USCO2/CLIVAR Repeat Hydrography Program, chief scientists Jim Swift, Chris Sabine, Richard Feely, and Paul Robbins, as well as captains and crew of the R/Vs Revelle, Melville and Thompson. Dennis Hansell's group (UMiami) conducted DOC analysis for the P16N and the western section of P2. We thank Stacy Brown (UMiami) for CDOM collection on P2, Dave Menzies, Stuart Goldberg, Meredith Meyers and Elisa Wallner (UCSB) for field assistance on P16S and P16N, and Kirk Ireson for analytical assistance.</t>
  </si>
  <si>
    <t>10.1016/j.dsr.2009.09.002</t>
  </si>
  <si>
    <t>WOS:000272438000008</t>
  </si>
  <si>
    <t>Frolov, IE; Ashik, IM; Kassens, H; Polyakov, IV; Proshutinsky, AY; Sokolov, VT; Timokhov, LA</t>
  </si>
  <si>
    <t>Frolov, I. E.; Ashik, I. M.; Kassens, H.; Polyakov, I. V.; Proshutinsky, A. Yu.; Sokolov, V. T.; Timokhov, L. A.</t>
  </si>
  <si>
    <t>Anomalous variations in the thermohaline structure of the Arctic Ocean</t>
  </si>
  <si>
    <t>DOKLADY EARTH SCIENCES</t>
  </si>
  <si>
    <t>[Frolov, I. E.; Ashik, I. M.; Sokolov, V. T.; Timokhov, L. A.] Arctic &amp; Antarctic Res Inst, St Petersburg 199397, Russia; [Kassens, H.] IFM GEOMAR Gebaeude Ostufer, Leibniz Inst Meereswissensch, D-24148 Kiel, Germany; [Polyakov, I. V.] Int Arctic Res Ctr, Fairbanks, AK 99775 USA; [Proshutinsky, A. Yu.] Woods Hole Oceanog Inst, Woods Hole, MA 02543 USA</t>
  </si>
  <si>
    <t>Arctic &amp; Antarctic Research Institute; Helmholtz Association; GEOMAR Helmholtz Center for Ocean Research Kiel; Woods Hole Oceanographic Institution</t>
  </si>
  <si>
    <t>Frolov, IE (corresponding author), Arctic &amp; Antarctic Res Inst, Ul Beringa 38, St Petersburg 199397, Russia.</t>
  </si>
  <si>
    <t>ashik@aari.nw.ru</t>
  </si>
  <si>
    <t>Frolov, Ivan/L-2908-2018; Bloshkina, Ekaterina/I-6901-2015</t>
  </si>
  <si>
    <t>Frolov, Ivan/0000-0002-6586-354X; Bloshkina, Ekaterina/0000-0002-2078-7459</t>
  </si>
  <si>
    <t>MAIK NAUKA/INTERPERIODICA/SPRINGER</t>
  </si>
  <si>
    <t>233 SPRING ST, NEW YORK, NY 10013-1578 USA</t>
  </si>
  <si>
    <t>1028-334X</t>
  </si>
  <si>
    <t>DOKL EARTH SCI</t>
  </si>
  <si>
    <t>Dokl. Earth Sci.</t>
  </si>
  <si>
    <t>10.1134/S1028334X09090323</t>
  </si>
  <si>
    <t>540QY</t>
  </si>
  <si>
    <t>WOS:000273353100032</t>
  </si>
  <si>
    <t>Philosof, A; Sabehi, G; Béjà, O</t>
  </si>
  <si>
    <t>Philosof, Alon; Sabehi, Gazalah; Beja, Oded</t>
  </si>
  <si>
    <t>Comparative analyses of actinobacterial genomic fragments from Lake Kinneret</t>
  </si>
  <si>
    <t>ENVIRONMENTAL MICROBIOLOGY</t>
  </si>
  <si>
    <t>FRESH-WATER HABITATS; IN-SITU HYBRIDIZATION; RIBOSOMAL-RNA GENES; PHYLUM ACTINOBACTERIA; MOUNTAIN LAKES; BACTERIOPLANKTON COMMUNITY; PHYLOGENETIC ANALYSIS; BACTERIAL DIVERSITY; SEQUENCES; SOIL</t>
  </si>
  <si>
    <t>P&gt;The high genomic G+C group of Actinobacteria possesses a variety of physiological and metabolic properties, and exhibits diverse lifestyles and ecological distribution. In recent years, Actinobacteria have been found to frequently dominate samples obtained from freshwater samples. Furthermore, phylogenetic analyses have shown that 16S rRNA genes from uncultured actinobacterial freshwater samples cluster in four distinct lineages. While these lineages are abundant, little is known about them and currently no pure-culture representatives or genomic fragments of them are available. In a screen of a genomic library from the moderately eutrophic freshwater Lake Kinneret, five fosmid clones containing actinobacterial genomic fragments were found. Three similar to 40 kb genomic fragments were chosen for sequencing. Fosmids K003 and K005 showed high similarity and were affiliated with the acIV actinobacterial freshwater lineage. Fosmid K004 was affiliated with the highly abundant acI lineage. A comparative genomic analysis revealed high synteny between the two freshwater clones K003 and K005 but a lower synteny between these two and the K004 fosmid. Fosmids K003 and K005 share an identical arrangement of arginine biosynthesis gene while K004 showed a slightly different arrangement by lacking the argF gene. Fosmid Ant4E12, an Antarctic actinobacterial clone, showed a higher synteny with K003/5 than K004 and a similar arginine operon, but in a different genomic context. The Clusters of Orthologous Groups categories assignment of the three fosmids yielded genes that were mostly involved in amino acid and nucleotide metabolism, as well as transport and ribosomal RNA translation, structure and biogenesis. These genomic fragments represent the first sequences to be published from these lineages, providing a cornerstone for future work on this environmentally dominant group.</t>
  </si>
  <si>
    <t>[Philosof, Alon; Sabehi, Gazalah; Beja, Oded] Technion Israel Inst Technol, Fac Biol, IL-32000 Haifa, Israel</t>
  </si>
  <si>
    <t>Technion Israel Institute of Technology</t>
  </si>
  <si>
    <t>Béjà, O (corresponding author), Technion Israel Inst Technol, Fac Biol, IL-32000 Haifa, Israel.</t>
  </si>
  <si>
    <t>beja@tx.technion.ac.il</t>
  </si>
  <si>
    <t>philosof, Alon/0000-0003-2684-8678</t>
  </si>
  <si>
    <t>Israel Science Foundation [1203/06]</t>
  </si>
  <si>
    <t>Israel Science Foundation(Israel Science Foundation)</t>
  </si>
  <si>
    <t>The authors would like to thank the skippers James Easton and Meir Hatab for their help in the field and Nikos Kyrpides and Victor M. Markowitz from the Joint Genome Institute for their assistance and support with the IMG/M system. In addition, the authors would like to thank Hans-Peter Grossart from IGB-Neuglobsow for sharing his data on Actinobacteria from Lake Kinneret and Sharon Avrahami from the Technion for tutoring on the ARB package. This work was partially supported by Grant 1203/06 from the Israel Science Foundation.</t>
  </si>
  <si>
    <t>1462-2912</t>
  </si>
  <si>
    <t>1462-2920</t>
  </si>
  <si>
    <t>ENVIRON MICROBIOL</t>
  </si>
  <si>
    <t>Environ. Microbiol.</t>
  </si>
  <si>
    <t>10.1111/j.1462-2920.2009.02024.x</t>
  </si>
  <si>
    <t>Microbiology</t>
  </si>
  <si>
    <t>538KH</t>
  </si>
  <si>
    <t>WOS:000273182500022</t>
  </si>
  <si>
    <t>Watts, ME; Ball, IR; Stewart, RS; Klein, CJ; Wilson, K; Steinback, C; Lourival, R; Kircher, L; Possingham, HP</t>
  </si>
  <si>
    <t>Watts, Matthew E.; Ball, Ian R.; Stewart, Romola S.; Klein, Carissa J.; Wilson, Kerrie; Steinback, Charles; Lourival, Reinaldo; Kircher, Lindsay; Possingham, Hugh P.</t>
  </si>
  <si>
    <t>Marxan with Zones: Software for optimal conservation based land- and sea-use zoning</t>
  </si>
  <si>
    <t>ENVIRONMENTAL MODELLING &amp; SOFTWARE</t>
  </si>
  <si>
    <t>Article; Proceedings Paper</t>
  </si>
  <si>
    <t>2nd International Conference on Asian Simulation and Modelling</t>
  </si>
  <si>
    <t>JAN 09-11, 2007</t>
  </si>
  <si>
    <t>Chiang Mai, THAILAND</t>
  </si>
  <si>
    <t>Biodiversity; Zoning; Marxan; Systematic conservation planning; Decision support; Optimization; Simulated annealing; Natural resource management</t>
  </si>
  <si>
    <t>GREAT-BARRIER-REEF; PROTECTED AREAS; MANAGEMENT; BIODIVERSITY; ALGORITHMS; NETWORKS; RESERVES; IMPACTS; FORESTS; MAMMALS</t>
  </si>
  <si>
    <t>Marxan is the most widely used conservation planning software in the world and is designed for solving complex conservation planning problems in landscapes and seascapes. In this paper we describe a substantial extension of Marxan called Marxan with Zones, a decision support tool that provides land-use zoning options in geographical regions for biodiversity conservation. We describe new functions designed to enhance the original Marxan software and expand on its utility as a decision support tool. The major new element in the decision problem is allowing any parcel of land or sea to be allocated to a specific zone, not just reserved or unreserved. Each zone then has the option of its own actions, objectives and constraints, with the flexibility to define the contribution of each zone to achieve targets for pre-specified features (e.g. species or habitats). The objective is to minimize the total cost of implementing the zoning plan while ensuring a variety of conservation and land-use objectives are achieved. We outline the capabilities, limitations and additional data requirements of this new software and perform a comparison with the original version of Marxan. We feature a number of case studies to demonstrate the functionality of the software and highlight its flexibility to address a range of complex spatial planning problems. These studies demonstrate the design of multiple-use marine parks in both Western Australia and California, and the zoning of forest use in East Kalimantan. (C) 2009 Elsevier Ltd. All rights reserved.</t>
  </si>
  <si>
    <t>[Watts, Matthew E.; Stewart, Romola S.; Klein, Carissa J.; Wilson, Kerrie; Kircher, Lindsay; Possingham, Hugh P.] Univ Queensland, Ctr Ecol, Sch Biol Sci, St Lucia, Qld 4072, Australia; [Watts, Matthew E.; Stewart, Romola S.; Klein, Carissa J.; Wilson, Kerrie; Kircher, Lindsay; Possingham, Hugh P.] Univ Queensland, Ctr Appl Environm Decis Anal, St Lucia, Qld 4072, Australia; [Ball, Ian R.] Australian Antarctic Div, Kingston, Tas 7050, Australia; [Steinback, Charles] Ecotrust, Portland, OR 97209 USA; [Lourival, Reinaldo] SACR Amazon, Nat Conservancy, Belem, Para, Brazil; [Lourival, Reinaldo] CAPES Fdn, Minist Educ, BR-70359970 Brasilia, DF, Brazil</t>
  </si>
  <si>
    <t>University of Queensland; University of Queensland; Australian Antarctic Division; Coordenacao de Aperfeicoamento de Pessoal de Nivel Superior (CAPES)</t>
  </si>
  <si>
    <t>Watts, ME (corresponding author), Univ Queensland, Ctr Ecol, Sch Biol Sci, St Lucia, Qld 4072, Australia.</t>
  </si>
  <si>
    <t>m.watts@uq.edu.au</t>
  </si>
  <si>
    <t>Klein, Carissa J/F-1632-2011; Lourival, Reinaldo F/ABD-1466-2021; Possingham, Hugh/B-1337-2008; Wilson, Kerrie A/C-8058-2009; Wilson, Kerrie/W-4181-2019; POSSINGHAM, HUGH/R-8310-2019</t>
  </si>
  <si>
    <t>Possingham, Hugh/0000-0001-7755-996X; Wilson, Kerrie A/0000-0002-0092-935X; Wilson, Kerrie/0000-0002-0092-935X; POSSINGHAM, HUGH/0000-0001-7755-996X; STEWART, Romola/0000-0002-4280-8951</t>
  </si>
  <si>
    <t>ELSEVIER SCI LTD</t>
  </si>
  <si>
    <t>THE BOULEVARD, LANGFORD LANE, KIDLINGTON, OXFORD OX5 1GB, OXON, ENGLAND</t>
  </si>
  <si>
    <t>1364-8152</t>
  </si>
  <si>
    <t>1873-6726</t>
  </si>
  <si>
    <t>ENVIRON MODELL SOFTW</t>
  </si>
  <si>
    <t>Environ. Modell. Softw.</t>
  </si>
  <si>
    <t>10.1016/j.envsoft.2009.06.005</t>
  </si>
  <si>
    <t>Computer Science, Interdisciplinary Applications; Engineering, Environmental; Environmental Sciences; Water Resources</t>
  </si>
  <si>
    <t>Science Citation Index Expanded (SCI-EXPANDED); Conference Proceedings Citation Index - Science (CPCI-S)</t>
  </si>
  <si>
    <t>Computer Science; Engineering; Environmental Sciences &amp; Ecology; Water Resources</t>
  </si>
  <si>
    <t>504JC</t>
  </si>
  <si>
    <t>WOS:000270611200017</t>
  </si>
  <si>
    <t>Cristóbal, HA; Schmidt, A; Kothe, E; Breccia, J; Abate, CM</t>
  </si>
  <si>
    <t>Cristobal, Hector A.; Schmidt, Andre; Kothe, Erika; Breccia, Javier; Abate, Carlos M.</t>
  </si>
  <si>
    <t>Characterization of inducible cold-active β-glucosidases from the psychrotolerant bacterium Shewanella sp G5 isolated from a sub-Antarctic ecosystem</t>
  </si>
  <si>
    <t>ENZYME AND MICROBIAL TECHNOLOGY</t>
  </si>
  <si>
    <t>beta-Glucosidase; Shewanella; Psychrotolerant; Proteomics; Two-dimensional gel electrophoresis</t>
  </si>
  <si>
    <t>ONEIDENSIS MR-1; PROTEINS; ELECTROPHORESIS; EXPRESSION; BALTICA; ENZYMES; CLONING; GENE</t>
  </si>
  <si>
    <t>The psychrotolerant bacterium Shewanella sp. G5 was used to study differential protein expression oil glucose and cellobiose as carbon Sources in cold-adapted conditions. This strain was able to growth at 4 C, but reached the maximal specific growth rate at 37 C, exhibiting similar growing rates values with glucose (mu: 0.4 h(-1)) and cellobiose (mu: 0.48 h(-1)) However, it grew at 15 C approximately in 30 h, with specific growing rates of 0 25 and 0.19 h(-1) for cellobiose and glucose. respectively Thus. this temperature was used to provide conditions related to the environment where the organism was originally isolated, the intestinal content of Munida subrrugosa in the Beagle Channel, Fire Land, Argentina. Cellobiose was reported as a carbon source more frequently available in marine environments close to shore, and its degradation requires the enzyme beta-glucosidase Therefore, this enzymatic activity was used as a marker of cellobiose catabolism. Zymogram analysis showed the presence of cold-adapted beta-glucosidase activity bands in the cell wall as well as in the cytoplasm cell fractions. Two-dimensional gel electrophoresis of the whole protein pattern of Shewanella sp. G5 revealed 59 and 55 different spots induced by cellobiose and glucose, respectively. Identification of the quantitatively more relevant proteins suggested that different master regulation schemes are involved in response to glucose and cellobiose carbon Sources Both. physiological and proteomic analyses could show that Shewanella sp. G5 re-organizes its metabolism in response to low temperature (15 C) with significant differences in the presence of these two carbon sources. (C) 2009 Published by Elsevier Inc.</t>
  </si>
  <si>
    <t>[Cristobal, Hector A.; Abate, Carlos M.] PROIMI, CONICET, RA-4000 San Miguel De Tucuman, Argentina; [Schmidt, Andre; Kothe, Erika] Univ Jena, Biol Pharmazeut Fak, Inst Mikrobiol, D-07743 Jena, Germany; [Breccia, Javier] Univ Nacl Pampa, CONICET, Dept Quim, FCEyN, Santa Rosa, Argentina; [Abate, Carlos M.] Univ Nacl Tucuman, Fac Bioquim Quim &amp; Farm, RA-4000 San Miguel De Tucuman, Argentina</t>
  </si>
  <si>
    <t>Friedrich Schiller University of Jena; Consejo Nacional de Investigaciones Cientificas y Tecnicas (CONICET); Universidad Nacional de Tucuman</t>
  </si>
  <si>
    <t>Abate, CM (corresponding author), PROIMI, CONICET, Av Belgrano &amp; Pasaje Caseros, RA-4000 San Miguel De Tucuman, Argentina.</t>
  </si>
  <si>
    <t>cabate@proimi.org.ar</t>
  </si>
  <si>
    <t>Breccia, Javier/0000-0003-3692-0995</t>
  </si>
  <si>
    <t>SECyT; CONICET (Argentina); DAAD (Germany)</t>
  </si>
  <si>
    <t>SECyT(Secretaria de Ciencia y Tecnologia (SECYT)); CONICET (Argentina)(Consejo Nacional de Investigaciones Cientificas y Tecnicas (CONICET)); DAAD (Germany)(Deutscher Akademischer Austausch Dienst (DAAD))</t>
  </si>
  <si>
    <t>The authors gratefully acknowledge Petra Mitscherlich for technical assistance and Sascha Braun, Gbtz Haferburg and Astrid Schmidt for their help with this project. This work was financially supported by SECyT, CONICET (Argentina) and DAAD (Germany).</t>
  </si>
  <si>
    <t>0141-0229</t>
  </si>
  <si>
    <t>1879-0909</t>
  </si>
  <si>
    <t>ENZYME MICROB TECH</t>
  </si>
  <si>
    <t>Enzyme Microb. Technol.</t>
  </si>
  <si>
    <t>6-7</t>
  </si>
  <si>
    <t>10.1016/j.enzmictec.2009.06.010</t>
  </si>
  <si>
    <t>Biotechnology &amp; Applied Microbiology</t>
  </si>
  <si>
    <t>512OX</t>
  </si>
  <si>
    <t>WOS:000271260700014</t>
  </si>
  <si>
    <t>Maazouzi, C; Piscart, C; Pihan, JC; Masson, G</t>
  </si>
  <si>
    <t>Maazouzi, Chafik; Piscart, Christophe; Pihan, Jean-Claude; Masson, Gerard</t>
  </si>
  <si>
    <t>Effect of habitat-related resources on fatty acid composition and body weight of the invasive Dikerogammarus villosus in an artificial reservoir</t>
  </si>
  <si>
    <t>FUNDAMENTAL AND APPLIED LIMNOLOGY</t>
  </si>
  <si>
    <t>Amphipods; aquatic invasion; feeding strategy; food quality; trophic biomarkers</t>
  </si>
  <si>
    <t>LIFE-HISTORY TRAITS; TROPHIC RELATIONSHIPS; ANTARCTIC KRILL; FOOD-WEB; BENTHIC INVERTEBRATES; EUPHAUSIA-SUPERBA; PREDATORY IMPACT; MOSELLE RIVER; LIPID-CONTENT; TRINITY BAY</t>
  </si>
  <si>
    <t>Successful invasions are attributed to a combination of adaptations to biotic and abiotic conditions and many studies have highlighted the role of biological traits of invaders in their success. Among the most useful traits for successful establishment in a new ecosystem are the size of the invader and its diet and feeding habits. During the last twenty years, Dikerogammarus villosus has been one of the most successful invaders of large European rivers and lakes. However, regarding feeding habits, results were confusing and sometimes contradictory. In this study, we attempt to define the feeding strategy of D. villosus using their FA content according to sex and the seasonal and the spatial variation in its feeding habit. Our results indicated that D. villosus is rather unspecialized with plasticity in its feeding behaviour, switching between different functional feeding groups depending on seasons, habitats and available resources. The selection of high quality resources may hence provide a strong advantage during the invasion process by optimizing the growth and the reproduction of the invader.</t>
  </si>
  <si>
    <t>[Maazouzi, Chafik; Pihan, Jean-Claude; Masson, Gerard] Univ Paul Verlaine Metz, Lab Interact Ecotoxicol, CNRS, UMR 7146, F-57070 Metz, France; [Maazouzi, Chafik; Piscart, Christophe] Univ Lyon 1, Lab Ecol Hydrosyst Fluviaux, CNRS, UMR 5023, F-69622 Villeurbanne, France</t>
  </si>
  <si>
    <t>Universite de Lorraine; Centre National de la Recherche Scientifique (CNRS); Centre National de la Recherche Scientifique (CNRS); CNRS - Institute of Ecology &amp; Environment (INEE); Universite Claude Bernard Lyon 1</t>
  </si>
  <si>
    <t>Maazouzi, C (corresponding author), Univ Paul Verlaine Metz, Lab Interact Ecotoxicol, CNRS, UMR 7146, Campus Bridoux,Ave Gen Delestraint, F-57070 Metz, France.</t>
  </si>
  <si>
    <t>chafik.maazouzi@univ-lyon1.fr</t>
  </si>
  <si>
    <t>Maazouzi, Chafik/A-8275-2010; Piscart, christophe/AAD-8973-2019; Piscart, Christophe/A-7216-2008</t>
  </si>
  <si>
    <t>Piscart, christophe/0000-0002-4054-4542; MASSON, Masson/0000-0003-3847-5784</t>
  </si>
  <si>
    <t>E SCHWEIZERBARTSCHE VERLAGSBUCHHANDLUNG</t>
  </si>
  <si>
    <t>STUTTGART</t>
  </si>
  <si>
    <t>NAEGELE U OBERMILLER, SCIENCE PUBLISHERS, JOHANNESSTRASSE 3A, D 70176 STUTTGART, GERMANY</t>
  </si>
  <si>
    <t>1863-9135</t>
  </si>
  <si>
    <t>FUND APPL LIMNOL</t>
  </si>
  <si>
    <t>Fundam. Appl. Limnol.</t>
  </si>
  <si>
    <t>10.1127/1863-9135/2009/0175-0327</t>
  </si>
  <si>
    <t>Limnology; Marine &amp; Freshwater Biology</t>
  </si>
  <si>
    <t>553IE</t>
  </si>
  <si>
    <t>WOS:000274359100006</t>
  </si>
  <si>
    <t>Prescott, V</t>
  </si>
  <si>
    <t>Prescott, Victor</t>
  </si>
  <si>
    <t>Looking South: Australia's Antarctic Agenda</t>
  </si>
  <si>
    <t>GEOGRAPHICAL RESEARCH</t>
  </si>
  <si>
    <t>Book Review</t>
  </si>
  <si>
    <t>[Prescott, Victor] Univ Melbourne, Melbourne, Vic 3010, Australia</t>
  </si>
  <si>
    <t>University of Melbourne; Melbourne Bioinformatics</t>
  </si>
  <si>
    <t>Prescott, V (corresponding author), Univ Melbourne, Melbourne, Vic 3010, Australia.</t>
  </si>
  <si>
    <t>WILEY-BLACKWELL PUBLISHING, INC</t>
  </si>
  <si>
    <t>MALDEN</t>
  </si>
  <si>
    <t>COMMERCE PLACE, 350 MAIN ST, MALDEN 02148, MA USA</t>
  </si>
  <si>
    <t>1745-5863</t>
  </si>
  <si>
    <t>GEOGR RES</t>
  </si>
  <si>
    <t>Geogr. Res.</t>
  </si>
  <si>
    <t>10.1111/j.1745-5871.2009.00612.x</t>
  </si>
  <si>
    <t>Geography</t>
  </si>
  <si>
    <t>Social Science Citation Index (SSCI)</t>
  </si>
  <si>
    <t>509WU</t>
  </si>
  <si>
    <t>WOS:000271050800012</t>
  </si>
  <si>
    <t>Blagoveshchensky, DV; Kalishin, AS; Stocker, AJ; Warrington, EM</t>
  </si>
  <si>
    <t>Blagoveshchensky, D. V.; Kalishin, A. S.; Stocker, A. J.; Warrington, E. M.</t>
  </si>
  <si>
    <t>Propagation of HF radiowaves on high-latitude radio paths during the magnetically disturbed period of October 24-28, 2003</t>
  </si>
  <si>
    <t>GEOMAGNETISM AND AERONOMY</t>
  </si>
  <si>
    <t>IONOSPHERE; DOPPLER</t>
  </si>
  <si>
    <t>The behavior of the HF signal parameters during magnetic storms and substorms has bee experimentally studied simultaneously on the Kiruna-Kirkenes auroral path, Kiruna-Longyearbyen polar path, and Murmansk-St. Petersburg subauroral path. The first two paths are equipped with the instruments making it possible to measure the values of the signal-to-noise ratio, Doppler frequency shift, and elevation angle. The method of oblique sounding of the ionosphere (OSI) was used on the Murmansk-St. Petersburg path. Two substantial substorms, a moderate storm, and an intense storm occurred during the studied period. Some new regularities have been revealed. On the Kiruna-Kirkenes and Kiruna-Longyearbyen paths, the signalto-noise ratio increased (due to the transition from the F (2) signal reflections to the E (s) reflections), the elevation angle increased (due to an increase in the ionospheric F (2) layer height and a decrease in the critical frequency), and the Doppler shift increased (due to the variations in ionization and the appearance of ionospheric irregularities during a substorm) when the signal was reflected from the F (2) layer close to the moment of the substorm or storm beginning T (0). It is possible to control the so-called main effect in the ionosphere on the Murmansk-St. Petersburg path.</t>
  </si>
  <si>
    <t>[Blagoveshchensky, D. V.] St Petersburg Univ Aerosp Instrument Making, St Petersburg, Russia; [Kalishin, A. S.] Russian Acad Sci, Arctic &amp; Antarctic Res Inst AANII, St Petersburg 196140, Russia; [Stocker, A. J.; Warrington, E. M.] Univ Leicester, Leicester LE1 7RH, Leics, England</t>
  </si>
  <si>
    <t>Arctic &amp; Antarctic Research Institute; Russian Academy of Sciences; University of Leicester</t>
  </si>
  <si>
    <t>Blagoveshchensky, DV (corresponding author), St Petersburg Univ Aerosp Instrument Making, St Petersburg, Russia.</t>
  </si>
  <si>
    <t>dvb@ppp.delfa.net</t>
  </si>
  <si>
    <t>Warrington, Michael/0000-0001-6505-7380; Kalishin, Alexey/0000-0001-7299-6546</t>
  </si>
  <si>
    <t>CLG [983460]</t>
  </si>
  <si>
    <t>CLG</t>
  </si>
  <si>
    <t>The authors thank for the ability to use the data of geophysical observations the corresponding services: the CUTLASS radar, Hankasalmi, Finland, IMAGE magnetometer network, Finnish riometer network, Tromse dynasonde, Norway, NOAA weekly, and Solar Data Center (CDAweb).; The work was partly supported by the CLG grant No. 983460.</t>
  </si>
  <si>
    <t>0016-7932</t>
  </si>
  <si>
    <t>1555-645X</t>
  </si>
  <si>
    <t>GEOMAGN AERONOMY+</t>
  </si>
  <si>
    <t>Geomagn. Aeron.</t>
  </si>
  <si>
    <t>10.1134/S0016793209060127</t>
  </si>
  <si>
    <t>528RC</t>
  </si>
  <si>
    <t>WOS:000272463300012</t>
  </si>
  <si>
    <t>Borisova, TD; Blagoveshchenskaya, NF; Kornienko, VA; Yanzhura, AS; Kalishin, AS; Robinson, TR; Ioman, TK; Badelli, LJ</t>
  </si>
  <si>
    <t>Borisova, T. D.; Blagoveshchenskaya, N. F.; Kornienko, V. A.; Yanzhura, A. S.; Kalishin, A. S.; Robinson, T. R.; Ioman, T. K.; Badelli, L. J.</t>
  </si>
  <si>
    <t>Peculiarities of Artificial Ionospheric Radiation under the Action of Higher-Power HF Radiowaves, Emitted by the SPEAR Facility, on the Sporadic E Layer of the Polar Ionosphere (vol 49, pg 653, 2009)</t>
  </si>
  <si>
    <t>Correction</t>
  </si>
  <si>
    <t>[Borisova, T. D.; Blagoveshchenskaya, N. F.; Kornienko, V. A.; Yanzhura, A. S.; Kalishin, A. S.] Russian Acad Sci, Arctic &amp; Antarctic Res Inst, St Petersburg 199397, Russia; [Robinson, T. R.; Ioman, T. K.] Univ Leicester, Leicester, Leics, England; [Badelli, L. J.] EISCAT European Assoc, Tromso, Norway</t>
  </si>
  <si>
    <t>Russian Academy of Sciences; Arctic &amp; Antarctic Research Institute; University of Leicester</t>
  </si>
  <si>
    <t>Borisova, TD (corresponding author), Russian Acad Sci, Arctic &amp; Antarctic Res Inst, Ul Beringa 38, St Petersburg 199397, Russia.</t>
  </si>
  <si>
    <t>borisova@aari.nw.ru</t>
  </si>
  <si>
    <t>Blagoveshchenskaya, Nataly/AAE-4093-2022; Borisova, Tatiana/AAK-7698-2020; Blagoveshchenskaya, Nataly F./S-4342-2017</t>
  </si>
  <si>
    <t>Blagoveshchenskaya, Nataly/0000-0003-1752-3273; Blagoveshchenskaya, Nataly F./0000-0003-1752-3273; Kalishin, Alexey/0000-0001-7299-6546; Borisova, Tatiana/0000-0003-1727-5310</t>
  </si>
  <si>
    <t>STFC [PP/E000983/1] Funding Source: UKRI; Science and Technology Facilities Council [PP/E000983/1] Funding Source: researchfish</t>
  </si>
  <si>
    <t>STFC(UK Research &amp; Innovation (UKRI)Science &amp; Technology Facilities Council (STFC)); Science and Technology Facilities Council(UK Research &amp; Innovation (UKRI)Science &amp; Technology Facilities Council (STFC))</t>
  </si>
  <si>
    <t>10.1134/S0016793209060176</t>
  </si>
  <si>
    <t>WOS:000272463300017</t>
  </si>
  <si>
    <t>Kokourov, VD; Vergasova, GV; Kazimirovsky, ES</t>
  </si>
  <si>
    <t>Kokourov, V. D.; Vergasova, G. V.; Kazimirovsky, E. S.</t>
  </si>
  <si>
    <t>Ozone content of the atmosphere. 1. Climatological characteristics of the total ozone content in the 100-110A° E longitudinal zone</t>
  </si>
  <si>
    <t>The climatological characteristics of the total ozone content (TOC) in the 100A degrees-110A degrees E longitudinal zone have been studied. The results of the TOC measurements, using the TOMS spectrometer installed on board the Earth Probe satellite from July 1996 to January 2003, have been used. Substantial latitudinal differences in the TOC variations have been found. The latitudinal effect is especially distinct in the annual behavior. The annual wave amplitude substantially increases from the equator to the pole in the Northern Hemisphere. The dispersion also substantially varies along latitude: the TOC variability is minimal at the equatorial stations. It has been noted that the total ozone content increased in 2002, and this increase was most substantial (by 110 DU) in the Antarctic Regions (at Vostok station). The quasi-biennial oscillations with the amplitude maximum at the equatorial stations have been revealed.</t>
  </si>
  <si>
    <t>[Kokourov, V. D.; Vergasova, G. V.; Kazimirovsky, E. S.] Inst Solar Terr Phys, Irkutsk 664033, Russia</t>
  </si>
  <si>
    <t>Irkutsk Science Centre of the Russian Academy of Sciences; Russian Academy of Sciences; Institute of Solar-Terrestrial Physics of the Siberian Branch of the Russian Academy of Sciences</t>
  </si>
  <si>
    <t>10.1134/S0016793209070329</t>
  </si>
  <si>
    <t>540DZ</t>
  </si>
  <si>
    <t>WOS:000273312400032</t>
  </si>
  <si>
    <t>Johnson, JS; Smellie, JL; Nelson, AE; Stuart, FM</t>
  </si>
  <si>
    <t>Johnson, Joanne S.; Smellie, John L.; Nelson, Anna E.; Stuart, Finlay M.</t>
  </si>
  <si>
    <t>History of the Antarctic Peninsula Ice Sheet since the early Pliocene-Evidence from cosmogenic dating of Pliocene lavas on James Ross Island, Antarctica</t>
  </si>
  <si>
    <t>GLOBAL AND PLANETARY CHANGE</t>
  </si>
  <si>
    <t>terrestrial cosmogenic nuclides; glaciation; ice sheet; Antarctica; refugia; glacial erosion</t>
  </si>
  <si>
    <t>QUATERNARY GLACIAL HISTORY; HE-3 PRODUCTION-RATES; SEA-LEVEL CHANGES; EXPOSURE AGES; EAST ANTARCTICA; LATE NEOGENE; GEOLOGICAL EVIDENCE; LARSEMANN HILLS; FLOW DYNAMICS; WEDDELL SEA</t>
  </si>
  <si>
    <t>Knowledge of the thickness, extent and basal thermal conditions of ice cover on Antarctica during past climatic fluctuations is essential if we are to accurately predict the contribution from the Antarctic ice sheets to future global sea level rise. When combined with geomorphological evidence, terrestrial cosmogenic nuclides are a powerful tool for palaeo-ice sheet reconstructions. Here we present results from the first terrestrial cosmogenic nuclide study on James Ross Island, northern Antarctic Peninsula. We measured cosmogen He-3 concentrations in primary flow surface features of Pliocene basalt lavas which are exposed more than 600 m above present-day sea level. Our results suggest that the lava surfaces have been ice-free for no more than 15 kyr since their eruption at 4.69 Ma. This implies that a glacial cover has persisted on James Ross Island since 4.69 Ma, even during interglacial periods, and much (if not all) of the warm Pliocene (5-3 Ma, when average global temperatures were up to 3 degrees C higher than today). This is consistent with results of recent modelling studies, but contradicts General Circulation Models that suggest an ice-free Antarctic Peninsula during that time. Field observations of striated lava surfaces found adjacent to primary volcanogenic features, such as ropy textures, combined with cosmogen He-3 data suggest that the ice cover was locally wet-based, and relatively thin (not exceeding 45-200 m) for the majority of the past 4.69 Myr. The ice temporarily reached a thickness sufficient to cause some localised erosion in hollows, but this erosion was not widespread. Although the pristinely-preserved lavas found on upstanding tumuli appear never to have been eroded, our exposure age data show that they were covered by ice for most of their history, and therefore could not have been refugia for terrestrial organisms during glacial periods. (C) 2009 Elsevier B.V. All rights reserved.</t>
  </si>
  <si>
    <t>[Johnson, Joanne S.; Smellie, John L.; Nelson, Anna E.] British Antarctic Survey, Cambridge CB3 0ET, England; [Stuart, Finlay M.] Scottish Univ, Environm Res Ctr, E Kilbride G75 0QF, Lanark, Scotland</t>
  </si>
  <si>
    <t>UK Research &amp; Innovation (UKRI); Natural Environment Research Council (NERC); NERC British Antarctic Survey; Scottish Universities Research &amp; Reactor Center</t>
  </si>
  <si>
    <t>Johnson, JS (corresponding author), British Antarctic Survey, High Cross,Madingley Rd, Cambridge CB3 0ET, England.</t>
  </si>
  <si>
    <t>jsj@bas.ac.uk</t>
  </si>
  <si>
    <t>Stuart, Finlay M/E-7417-2010</t>
  </si>
  <si>
    <t>Johnson, Joanne/0000-0003-4537-4447; Stuart, Finlay/0000-0002-6395-7868</t>
  </si>
  <si>
    <t>Natural Environment Research Council; NERC [bas010018] Funding Source: UKRI; Natural Environment Research Council [bas010018]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</si>
  <si>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</si>
  <si>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Captains, Officers and crews of HMS Endurance, for their logistical support in Antarctica, BAS field assistant Tom Spreyer for assistance with sample collection, and Richard Hindmarsh for invaluable help with calculations of minimum ice thicknesses capable of eroding bedrock. We are also grateful to Hilary Blagbrough, Jurgen Foeken and Mike Tabecki for their technical support, and Peter Fretwell for providing the DEM for Fig. 1b. This paper is published as part of the British Antarctic Survey 'Polar Science for Planet Earth' programme. It was funded by The Natural Environment Research Council. It also contributes to the aims and objectives of the SCAR ACE Initiative (Antarctic Climate Evolution). We thank Joe Licciardi and an anonymous reviewer for comments which substantially improved the manuscript.</t>
  </si>
  <si>
    <t>0921-8181</t>
  </si>
  <si>
    <t>1872-6364</t>
  </si>
  <si>
    <t>GLOBAL PLANET CHANGE</t>
  </si>
  <si>
    <t>Glob. Planet. Change</t>
  </si>
  <si>
    <t>10.1016/j.gloplacha.2009.09.001</t>
  </si>
  <si>
    <t>Geography, Physical; Geosciences, Multidisciplinary</t>
  </si>
  <si>
    <t>Physical Geography; Geology</t>
  </si>
  <si>
    <t>534MJ</t>
  </si>
  <si>
    <t>WOS:000272901500003</t>
  </si>
  <si>
    <t>Veevers, JJ; Saeed, A</t>
  </si>
  <si>
    <t>Veevers, J. J.; Saeed, A.</t>
  </si>
  <si>
    <t>Permian-Jurassic Mahanadi and Pranhita-Godavari Rifts of Gondwana India: Provenance from regional paleoslope and U-Pb/Hf analysis of detrital zircons</t>
  </si>
  <si>
    <t>GONDWANA RESEARCH</t>
  </si>
  <si>
    <t>Detrital zircons; U-Pb ages; Hf-isotopes; Mahanadi Rift; Pranhita-Godavari Rift</t>
  </si>
  <si>
    <t>GAMBURTSEV SUBGLACIAL MOUNTAINS; PRINCE-CHARLES MOUNTAINS; HOST-ROCK AFFINITY; T-DM AGES; ANTARCTIC PROVENANCE; EAST ANTARCTICA; TECTONIC ZONE; SOUTH-INDIA; PRYDZ BAY; BASIN</t>
  </si>
  <si>
    <t>The Permian-Jurassic Mahanadi and Pranhita-Godavari Rifts are part of a drainage system that radiated from the Gamburtsev Subglacial Mountains in central Antarctica. From 12 samples we analysed detrital zircons for U-Pb ages, Hf-isotopes, and trace elements to determine the age, rock type and source of the host magma, and Tom model age. Clusters, in decreasing order of abundance, are (1) 820-1000 Ma, host magmas felsic granitoids with alkaline rock, (2) 1500-1700 Ma felsic granitoids, (3) 500 to 700 Ma mafic granitoids with alkaline rock, (4) 2400-2550 Ma granitoids, and (5) 1000-1200 Ma felsic and mafic granitoids, mafic rock, and alkaline rock. Tom ranges from 1.5 to 3.5 Ga. Joint paleoslope measurements and zircon ages indicate that the Eastern Ghats Mobile Belt (EGMB) and lateral belts and conjugate Antarctica are potential provenances. Zircons from the Gondwana Rifts differ from those in other Gondwanaland sandstones in their predominant 820-1000 Ma and 1500-1700 Ma ages (from the EGMB and conjugate Rayner-MacRobertson Belt) that dilute the 500-700 Ma (Pan-Gondwanaland) ages. The 1000-1200 Ma zircons reflect the assembly of Rodinia, the 500-700 Ma ones that of Gondwanaland; the other ages reflect collisions in the region. (C) 2009 International Association for Gondwana Research. Published by Elsevier B.V. All rights reserved.</t>
  </si>
  <si>
    <t>[Veevers, J. J.; Saeed, A.] Macquarie Univ, GEMOC ARC Natl Key Ctr, Dept Earth &amp; Planetary Sci, Sydney, NSW 2109, Australia</t>
  </si>
  <si>
    <t>Macquarie University</t>
  </si>
  <si>
    <t>Veevers, JJ (corresponding author), Macquarie Univ, GEMOC ARC Natl Key Ctr, Dept Earth &amp; Planetary Sci, Sydney, NSW 2109, Australia.</t>
  </si>
  <si>
    <t>john.veevers@mq.edu.au</t>
  </si>
  <si>
    <t>GAU, geochemist/H-1985-2016</t>
  </si>
  <si>
    <t>ARC [DP0344841]; Macquarie University; ARC LIEF; DEST Systemic Infrastructure Grants; ARC National Key Centre for Geochemical Evolution and Metallogeny of Continents; Australian Research Council [DP0344841] Funding Source: Australian Research Council</t>
  </si>
  <si>
    <t>ARC(Australian Research Council); Macquarie University; ARC LIEF(Australian Research Council); DEST Systemic Infrastructure Grants(Australian GovernmentDepartment of Industry, Innovation and Science); ARC National Key Centre for Geochemical Evolution and Metallogeny of Continents(Australian Research Council); Australian Research Council(Australian Research Council)</t>
  </si>
  <si>
    <t>We are indebted to Ram Tewari who collected the samples and measured the cross-dip azimuths of the sample sites. We thank Alexander Golynsky for advice and help with references, Elena Belousova and Norm Pearson for advice on analysis, and Michael Flowerdew for his insightful comments on the manuscript. Supported by ARC DP0344841 and grants from Macquarie University. This study used instrumentation funded by ARC LIEF and DEST Systemic Infrastructure Grants, Macquarie University, and industry. Contribution 529 from the ARC National Key Centre for Geochemical Evolution and Metallogeny of Continents (www.es.mq.edu.au/GEMOC).</t>
  </si>
  <si>
    <t>1342-937X</t>
  </si>
  <si>
    <t>1878-0571</t>
  </si>
  <si>
    <t>GONDWANA RES</t>
  </si>
  <si>
    <t>Gondwana Res.</t>
  </si>
  <si>
    <t>10.1016/j.gr.2009.05.013</t>
  </si>
  <si>
    <t>504UK</t>
  </si>
  <si>
    <t>WOS:000270643000023</t>
  </si>
  <si>
    <t>Michaux, B</t>
  </si>
  <si>
    <t>Michaux, B.</t>
  </si>
  <si>
    <t>Reciprocality between biology and geology: Reconstructing polar Gondwana</t>
  </si>
  <si>
    <t>Reconstruction models; Phylogenies; Wegener; East Gondwana; West Gondwana; Chatham Islands; Reciprocal illumination</t>
  </si>
  <si>
    <t>ANTARCTIC RIFT SYSTEM; NORTHERN NEW-ZEALAND; SOUTHWEST PACIFIC; SW PACIFIC; TECTONIC RECONSTRUCTIONS; SEISMIC STRATIGRAPHY; NORTHLAND ALLOCHTHON; CRUSTAL STRUCTURE; MEDIAN BATHOLITH; CHATHAM ISLANDS</t>
  </si>
  <si>
    <t>The reciprocal nature of the relationship between historical geology (reconstruction models) and biology (constructing phylogenies) is discussed and the conceptual basis of such a relationship is examined through its historical development. Examples to illustrate aspects of the relationship are drawn from the Cretaceous breakup of polar Gondwana and the Cenozoic history of some of the resultant microcontinental fragments. A new mid-Cretaceous (circa 100 Ma) rift zone, separating the west Gondwanan Campbell Plateau, southern New Zealand. from the east Gondwanan Melanesian Rift is proposed, and biological and geological evidence for it is presented and discussed. It is also suggested that the Bounty Trough, Chatham Rise, and Hikurangi Plateau unit is incorrectly placed in reconstruction models, and it should be fitted outboard of the Melanesian Rift until its mid-Cenozoic attachment to the Campbell Plateau. It is concluded that both reconstruction modelling and phylogenetic analyses have much to gain through 'reciprocal illumination'. (C) 2009 International Association for Gondwana Research. Published by Elsevier B.V. All rights reserved.</t>
  </si>
  <si>
    <t>michaux@xtra.co.nz</t>
  </si>
  <si>
    <t>10.1016/j.gr.2009.06.002</t>
  </si>
  <si>
    <t>WOS:000270643000024</t>
  </si>
  <si>
    <t>Hill, SL; Trathan, PN; Agnew, DJ</t>
  </si>
  <si>
    <t>Hill, Simeon L.; Trathan, Philip N.; Agnew, David J.</t>
  </si>
  <si>
    <t>The risk to fishery performance associated with spatially resolved management of Antarctic krill (Euphausia superba) harvesting</t>
  </si>
  <si>
    <t>ICES JOURNAL OF MARINE SCIENCE</t>
  </si>
  <si>
    <t>Antarctic krill; ecosystem approach to fisheries; ecosystem model; management strategy evaluation; risk evaluation; spatial distribution</t>
  </si>
  <si>
    <t>SCOTIA SEA; VARIABILITY; ABUNDANCE; ECOSYSTEM; UNCERTAINTY; PENINSULA; ATLANTIC; PATTERNS; BIOMASS; TRENDS</t>
  </si>
  <si>
    <t>The ecosystem approach to fisheries attempts to define objectives for target species, the wider ecosystem, and critically, the fishery itself. Proposals for implementing the approach often include spatial restrictions on harvesting, so it is important to understand how these will affect fishery performance. One metric of potential performance is the probability of encountering exploitable densities of a target species at the scale of fishing operations. The probability of encountering exploitable densities of Antarctic krill, Euphausia superba, at the scale of 1 nautical mile during an acoustic survey was predicted by bathymetry and the mean krill density at the larger scale at which the fishery is managed. This suggests that the risk to fishery performance will increase if management actions relocate the fishery into deeper water. The results also suggest that ecosystem models resolved to the spatial scale of management units could usefully predict effects at the scale of fishing operations. However, correct parameterization of these models will require better characterization of threshold densities for efficient exploitation. Finally, the distribution of catch and fishing effort over an entire fishing season reflected the distribution of krill density observed during the survey.</t>
  </si>
  <si>
    <t>[Hill, Simeon L.; Trathan, Philip N.] British Antarctic Survey, Nat Environm Res Council, Cambridge CB3 0ET, England; [Agnew, David J.] Univ London Imperial Coll Sci Technol &amp; Med, Dept Biol, London SW7 2BP, England</t>
  </si>
  <si>
    <t>UK Research &amp; Innovation (UKRI); Natural Environment Research Council (NERC); NERC British Antarctic Survey; Imperial College London</t>
  </si>
  <si>
    <t>Hill, SL (corresponding author), British Antarctic Survey, Nat Environm Res Council, Madingley Rd, Cambridge CB3 0ET, England.</t>
  </si>
  <si>
    <t>sih@bas.ac.uk</t>
  </si>
  <si>
    <t>Simeon, Hill L/B-2307-2008</t>
  </si>
  <si>
    <t>BAS; Natural Environment Research Council [bas0100025, bas010017] Funding Source: researchfish; NERC [bas0100025, bas010017] Funding Source: UKRI</t>
  </si>
  <si>
    <t>BAS; Natural Environment Research Council(UK Research &amp; Innovation (UKRI)Natural Environment Research Council (NERC)); NERC(UK Research &amp; Innovation (UKRI)Natural Environment Research Council (NERC))</t>
  </si>
  <si>
    <t>This paper is a contribution to the BAS core-funded programme DISCOVERY 2010. We thank the CCAMLR Secretariat and participants in the CCAMLR 2000 survey and the krill fishery for making the data available. We also thank the following for their input and guidance: members of CCAMLR's working group on Ecosystem Management and Monitoring, Angus Atkinson, Andrew Constable, Sophie Fielding, Peter Fretwell, David Ramm, Pete Rothery, Jon Watkins, and two anonymous referees.</t>
  </si>
  <si>
    <t>OXFORD UNIV PRESS</t>
  </si>
  <si>
    <t>GREAT CLARENDON ST, OXFORD OX2 6DP, ENGLAND</t>
  </si>
  <si>
    <t>1054-3139</t>
  </si>
  <si>
    <t>1095-9289</t>
  </si>
  <si>
    <t>ICES J MAR SCI</t>
  </si>
  <si>
    <t>ICES J. Mar. Sci.</t>
  </si>
  <si>
    <t>10.1093/icesjms/fsp172</t>
  </si>
  <si>
    <t>Fisheries; Marine &amp; Freshwater Biology; Oceanography</t>
  </si>
  <si>
    <t>523NJ</t>
  </si>
  <si>
    <t>WOS:000272080600009</t>
  </si>
  <si>
    <t>McMillan, M; Shepherd, A; Vaughan, DG; Laxon, S; McAdoo, D</t>
  </si>
  <si>
    <t>McMillan, Malcolm; Shepherd, Andrew; Vaughan, David G.; Laxon, Seymour; McAdoo, David</t>
  </si>
  <si>
    <t>Amundsen Sea Bathymetry: The Benefits of Using Gravity Data for Bathymetric Prediction</t>
  </si>
  <si>
    <t>IEEE TRANSACTIONS ON GEOSCIENCE AND REMOTE SENSING</t>
  </si>
  <si>
    <t>Altimetry; Arctic regions; gravity measurement; satellites; sea floor; terrain mapping</t>
  </si>
  <si>
    <t>ANTARCTIC ICE-SHEET; MARINE GRAVITY; EXPERIMENTAL ISOSTASY; FIELD</t>
  </si>
  <si>
    <t>Bathymetric charts are essential for modeling oceanic processes, yet, in remote areas, direct measurements of seafloor depth are often scarce. It is possible to augment sparse depth soundings with dense satellite-derived gravity data to provide additional bathymetric detail in regions devoid of sounding data. We demonstrate this method by using marine gravity derived from the European Remote Sensing (ERS-1) satellite altimeter, combined with depth soundings, to form a bathymetric prediction of the Amundsen Sea, West Antarctica. We estimate the root mean square error of depth estimates at unsurveyed locations in our solution to be similar to 120 m. We use a Monte Carlo method to assess the value of gravity as a bathymetric predictor in sparsely surveyed regions by comparing our solution to predictions formed from depth soundings alone. When less than similar to 11% of 10-km grid cells contain depth soundings, inclusion of gravity data improves the depth accuracy of the solution by up to 17%, as compared to a minimum curvature surface interpolation of the depth soundings alone. When depth data are sparse, our gravity-derived prediction reveals additional short-wavelength bathymetric features, such as troughs on the continental shelf, which are not resolved by interpolations of the depth soundings alone.</t>
  </si>
  <si>
    <t>[McMillan, Malcolm; Shepherd, Andrew] Univ Edinburgh, Ctr Polar Observat &amp; Modelling, Edinburgh EH8 9XP, Midlothian, Scotland; [Vaughan, David G.] British Antarctic Survey, Cambridge CB3 0ET, England; [Laxon, Seymour] UCL, Ctr Polar Observat &amp; Modelling, London WC1E 6BT, England; [McAdoo, David] Natl Ocean &amp; Atmospher Adm, Lab Satellite Altimetry, Silver Spring, MD 20910 USA</t>
  </si>
  <si>
    <t>University of Edinburgh; UK Research &amp; Innovation (UKRI); Natural Environment Research Council (NERC); NERC British Antarctic Survey; University of London; University College London; National Oceanic Atmospheric Admin (NOAA) - USA</t>
  </si>
  <si>
    <t>McMillan, M (corresponding author), Univ Edinburgh, Ctr Polar Observat &amp; Modelling, Edinburgh EH8 9XP, Midlothian, Scotland.</t>
  </si>
  <si>
    <t>m.j.mcmillan@sms.ed.ac.uk; andrew.shepherd@ed.ac.uk; dgv@bas.ac.uk; swl@cpom.ucl.ac.uk; dave.mcadoo@noaa.gov</t>
  </si>
  <si>
    <t>Laxon, Seymour/C-1644-2008; McMillan, Malcolm/K-7712-2014; Vaughan, David/C-8348-2011; McAdoo, Dave/F-5612-2010</t>
  </si>
  <si>
    <t>McAdoo, Dave/0000-0002-7533-5564; McMillan, Malcolm/0000-0002-5113-0177; Shepherd, Andrew/0000-0002-4914-1299; Vaughan, David/0000-0002-9065-0570</t>
  </si>
  <si>
    <t>U.K. Natural Environment Research Council Centre for Polar Observation and Modelling [NE/F007531/1]; Natural Environment Research Council [earth010006, cpom20001] Funding Source: researchfish; NERC [cpom20001] Funding Source: UKRI</t>
  </si>
  <si>
    <t>U.K. Natural Environment Research Council Centre for Polar Observation and Modelling; Natural Environment Research Council(UK Research &amp; Innovation (UKRI)Natural Environment Research Council (NERC)); NERC(UK Research &amp; Innovation (UKRI)Natural Environment Research Council (NERC))</t>
  </si>
  <si>
    <t>This work was supported by the U.K. Natural Environment Research Council Centre for Polar Observation and Modelling under Contract NE/F007531/1.</t>
  </si>
  <si>
    <t>IEEE-INST ELECTRICAL ELECTRONICS ENGINEERS INC</t>
  </si>
  <si>
    <t>PISCATAWAY</t>
  </si>
  <si>
    <t>445 HOES LANE, PISCATAWAY, NJ 08855-4141 USA</t>
  </si>
  <si>
    <t>0196-2892</t>
  </si>
  <si>
    <t>1558-0644</t>
  </si>
  <si>
    <t>IEEE T GEOSCI REMOTE</t>
  </si>
  <si>
    <t>IEEE Trans. Geosci. Remote Sensing</t>
  </si>
  <si>
    <t>10.1109/TGRS.2009.2023665</t>
  </si>
  <si>
    <t>Geochemistry &amp; Geophysics; Engineering, Electrical &amp; Electronic; Remote Sensing; Imaging Science &amp; Photographic Technology</t>
  </si>
  <si>
    <t>Geochemistry &amp; Geophysics; Engineering; Remote Sensing; Imaging Science &amp; Photographic Technology</t>
  </si>
  <si>
    <t>521VL</t>
  </si>
  <si>
    <t>WOS:000271952800012</t>
  </si>
  <si>
    <t>Rai, AK; Maurya, AS</t>
  </si>
  <si>
    <t>Rai, Ajai Kumar; Maurya, Abhayanand Singh</t>
  </si>
  <si>
    <t>Effect of Miocene paleoceanographic changes on the benthic foraminiferal diversity at ODP site 754A (southeastern Indian Ocean)</t>
  </si>
  <si>
    <t>INDIAN JOURNAL OF MARINE SCIENCES</t>
  </si>
  <si>
    <t>Benthic Foraminifera; Diversity; Indian Ocean; Miocene; Oceanography</t>
  </si>
  <si>
    <t>DEEP-WATER PALEOCEANOGRAPHY; PLIOCENE BIOGENIC BLOOM; SOUTHWEST PACIFIC; SPECIES-DIVERSITY; LATEST MIOCENE; LATE NEOGENE; ISOTOPE STRATIGRAPHY; SEA FORAMINIFERA; DEPTH TRANSECT; WOMBAT PLATEAU</t>
  </si>
  <si>
    <t>Miocene deep sea benthic foraminiferal diversity at ODP site 754A, in the southeastern Indian Ocean was examined in the present study. Paleoceanographic and paleoclimatic change were inferred based on the above study. Species diversity was measured in terms of Shannon-Weaver Index [H(S)]. Hurlbert's Diversity Index (S-100), Alpha Index (alpha) and Equitability (E). Values of S-100 show more positive correlation with H(S) and alpha value. All diversity parameters show almost similar pattern during the study interval. Present study infers that the changing trophic level has much influence on the faunal diversity. More diverse fauna of late early Miocene to early middle Miocene along with low delta O-18 and high delta C-13 values reflect warn and stable bottom waters with low food supply. This corresponds to the Miocene climatic optimum. This was also an interval of global warming and reduced Antaretic ice-sheet volume. Significant decline in diversity and delta C-13 values along with abrupt increase in delta C-18 values at similar to 14 Ma indicate cold, relatively less oxygenated and unstable bottom waters with increased food supply due to higher surface productivity. Development of thermal gradient between low and high latitudes in response to the expansion of Antarctic ice-sheet during 15-12.5 Ma was responsible for increased upwelling and high surface productivity. Decrease in faunal diversity at similar to 7 Ma onwards along with low delta C-13 and high delta C-18 values corresponds with the Chron-6 negative Carbon shift, expansion of west Antactic ice-sheet and lowering of sea level.</t>
  </si>
  <si>
    <t>[Rai, Ajai Kumar; Maurya, Abhayanand Singh] Univ Allahabad, Dept Earth &amp; Planetary Sci, Nehru Sci Ctr, Allahabad 211002, Uttar Pradesh, India</t>
  </si>
  <si>
    <t>University of Allahabad</t>
  </si>
  <si>
    <t>Rai, AK (corresponding author), Univ Allahabad, Dept Earth &amp; Planetary Sci, Nehru Sci Ctr, Allahabad 211002, Uttar Pradesh, India.</t>
  </si>
  <si>
    <t>akrai@sancharnet.in</t>
  </si>
  <si>
    <t>Maurya, Abhayanad Singh/0000-0001-7489-8026</t>
  </si>
  <si>
    <t>Council of Scientific and Industrial Research (CSIR), Government of India, New Delhi [24/282/2005/ EMR-II]</t>
  </si>
  <si>
    <t>Council of Scientific and Industrial Research (CSIR), Government of India, New Delhi(Council of Scientific &amp; Industrial Research (CSIR) - India)</t>
  </si>
  <si>
    <t>Authors gratefuly acknowledge Ocean Drilling Program (ODP) for providing core samples to the present investigation. Council of Scientific and Industrial Research (CSIR), Government of India, New Delhi provided the financial support (Grant No. 24/282/2005/ EMR-II).</t>
  </si>
  <si>
    <t>NATL INST SCIENCE COMMUNICATION-NISCAIR</t>
  </si>
  <si>
    <t>NEW DELHI</t>
  </si>
  <si>
    <t>DR K S KRISHNAN MARG, PUSA CAMPUS, NEW DELHI 110 012, INDIA</t>
  </si>
  <si>
    <t>0379-5136</t>
  </si>
  <si>
    <t>INDIAN J MAR SCI</t>
  </si>
  <si>
    <t>Indian J. Mar. Sci.</t>
  </si>
  <si>
    <t>552PH</t>
  </si>
  <si>
    <t>WOS:000274305000008</t>
  </si>
  <si>
    <t>Shetye, SS; Sudhakar, M; Mohan, R; Tyagi, A</t>
  </si>
  <si>
    <t>Shetye, Suhas S.; Sudhakar, Maruthadu; Mohan, Rahul; Tyagi, Abhishek</t>
  </si>
  <si>
    <t>Implications of organic carbon, trace elemental and CaCO3 variations in a sediment core from the Arabian Sea</t>
  </si>
  <si>
    <t>Organic; Marine Upulling Phytoplankton Holoeine</t>
  </si>
  <si>
    <t>CONTINENTAL-SLOPE; MARINE-SEDIMENTS; METALS; PRODUCTIVITY; MATTER; VARIABILITY; SPECIATION; BAY; COMPLEXATION; PRESERVATION</t>
  </si>
  <si>
    <t>Arabian Sea differs from other oceanic areas by strong seasonal variations in sea surface circulation controlled by the monsoonal wind system, very high primary productivity (PP) and the presence of an intense Oxygen Minimum Zone (OMZ). Sediment core, collected from a depth of 803 M in OMZ of eastern Arabian Sea, was analyzed for organic carbon, CaCO3, grain size and trace metals (Cu, Zn, Cr, Mn and Fe). Organic carbon and CaCO3 varied from 0.5-4.7% and 34-55.9% respectively and exhibit an inverse relation, whereas a positive correlation is observed between organic carbon and clay fraction in the upper 150 cm. Cu, Zn and Cr show positive correlation with organic carbon and is negatively related to CaCO3. Mn and Cr show inverse correlation due to the influence of redox conditions of the sedimentary column. Low productivity, oxic conditions and less intense southwest monsoon prevailed during the deglacial period. Productivity has increased from 16 kyr to the modern age.</t>
  </si>
  <si>
    <t>[Shetye, Suhas S.; Sudhakar, Maruthadu; Mohan, Rahul; Tyagi, Abhishek] Natl Ctr Antarctic &amp; Ocean Res, Vasco Da Gama 403804, Goa, India</t>
  </si>
  <si>
    <t>Shetye, SS (corresponding author), Natl Ctr Antarctic &amp; Ocean Res, Vasco Da Gama 403804, Goa, India.</t>
  </si>
  <si>
    <t>suhas@ncaor.org</t>
  </si>
  <si>
    <t>WOS:000274305000009</t>
  </si>
  <si>
    <t>Marshall, GJ</t>
  </si>
  <si>
    <t>Marshall, Gareth J.</t>
  </si>
  <si>
    <t>On the annual and semi-annual cycles of precipitation across Antarctica</t>
  </si>
  <si>
    <t>INTERNATIONAL JOURNAL OF CLIMATOLOGY</t>
  </si>
  <si>
    <t>Antarctica; precipitation; annual cycle; semi-annual cycle; climate change</t>
  </si>
  <si>
    <t>SURFACE MASS-BALANCE; SOUTHERN-HEMISPHERE; SEA-LEVEL; PENINSULA PRECIPITATION; TEMPORAL VARIABILITY; ISOTOPE COMPOSITION; VOSTOK STATION; OSCILLATION; SNOW; ACCUMULATION</t>
  </si>
  <si>
    <t>In this study, we examine the importance of the annual and semi-annual cycles of precipitation (H-1(P) and H-2(P), respectively) across Antarctica utilizing the ERA-40 re-analysis from 1980 to 2001. A qualitative comparison between monthly precipitation from ERA-40 and precipitation reports from Antarctic bases reveals that the re-analysis successfully captures the seasonal cycle of precipitation at coastal sites. However, likely excessive summer precipitation on the high Antarctic Plateau in ERA-40 means the re-analysis is uncertain in the continental interior. The spatial variability in the amplitude of both H-1(P) and H-2(P) reveals coastal maxima with a clear wavenumber 3 pattern: unsurprisingly, maximum values are located east of climatological low-pressure centres, where moisture advection into the continent is greatest. This pattern is particularly pronounced for H-1(P), for which the amplitude exceeds 25 mm water equivalent (WE) in coastal west Antarctica. In the Antarctic coastal region H-1(P) often explains greater than 50% - and sometimes more than 80% - of the total variance of the seasonal precipitation cycle. In contrast, the northwest Antarctic Peninsula has a higher amplitude in H-1(P) that is linked to its location within the circumpolar trough (CPT). A marked change in the magnitude of H-1(P) between the 1980s and 1990s in parts of coastal west Antarctica and the west coast of the Antarctic Peninsula was observed in the ERA-40 data and confirmed by similar changes in the seasonal cycle of precipitation reports. The principal modification to H-1(P) results from a decrease in winter precipitation that can be linked to a weaker and smaller winter Amundsen Sea Low, which in turn is known to be influenced by El Nino-Southern Oscillation (ENSO). A simple estimate indicates that the observed change in the seasonal cycle of precipitation Would lead to an apparent warming of similar to 0.6 degrees C in a proxy of mean annual temperature derived from oxygen isotope measurements. Copyright (C) 2009 Royal Meteorological Society</t>
  </si>
  <si>
    <t>British Antarctic Survey, Cambridge CB3 0ET, England</t>
  </si>
  <si>
    <t>Marshall, GJ (corresponding author), British Antarctic Survey, High Cross,Madingley Rd, Cambridge CB3 0ET, England.</t>
  </si>
  <si>
    <t>GJMA@bas.ac.uk</t>
  </si>
  <si>
    <t>0899-8418</t>
  </si>
  <si>
    <t>1097-0088</t>
  </si>
  <si>
    <t>INT J CLIMATOL</t>
  </si>
  <si>
    <t>Int. J. Climatol.</t>
  </si>
  <si>
    <t>10.1002/joc.1810</t>
  </si>
  <si>
    <t>534KS</t>
  </si>
  <si>
    <t>WOS:000272896000007</t>
  </si>
  <si>
    <t>Volpi, V; Rebesco, M; Diviacco, P</t>
  </si>
  <si>
    <t>Volpi, V.; Rebesco, M.; Diviacco, P.</t>
  </si>
  <si>
    <t>New insights in the evolution of Antarctic glaciation from depth conversion of well-log calibrated seismic section of Prydz Bay</t>
  </si>
  <si>
    <t>INTERNATIONAL JOURNAL OF EARTH SCIENCES</t>
  </si>
  <si>
    <t>Prydz Bay; Log property; Seismic attributes; Neogene stratigraphy</t>
  </si>
  <si>
    <t>PRINCE-CHARLES MOUNTAINS; ICE-SHEET; EAST-ANTARCTICA; PAGODROMA GROUP; GLACIER REGION; SIRIUS GROUP; DRY VALLEYS; RECORD; SEDIMENTATION; STRATIGRAPHY</t>
  </si>
  <si>
    <t>The understanding of the evolution of the Antarctic Ice Sheet is crucial for the comprehension of the history of past global climate. The debate regarding the age of the transition to modern dry- and cold-based'' ice sheet after the Neogene polythermal conditions has taken place over more than 20 years. An evident change in the geometry of the depositional systems of the Prydz Bay continental margin demarked the initiation of the Prydz Channel Fan and has been inferred to correspond to this transition. The improvement in the age placement of this change contributes to unravel the last stages of the Antarctic glacial history. We predicted the spatial distribution of P-wave velocity data along both dip- and strike-oriented seismic profiles that intersect 3 Ocean Drilling Program (ODP) sites on the Prydz Bay continental shelf. We used this information to assist the correlation of the existing litho- and bio-stratigraphic information among the drilling sites and to produce an accurate geometric reconstruction of the Neogene shelf units through depth-migration of the seismic data. The revised stratigraphy that we obtained suggests an early late to late early Pliocene age for the seismic reflector at the base of the Prydz Channel Fan. This age, younger than previously proposed, is consistent with the age inferred for similar geometric changes identified in different Antarctic margins.</t>
  </si>
  <si>
    <t>[Volpi, V.; Rebesco, M.; Diviacco, P.] OGS, Ist Nazl Oceanog &amp; Geofis Sperimentale, I-34010 Trieste, Italy</t>
  </si>
  <si>
    <t>Istituto Nazionale di Oceanografia e di Geofisica Sperimentale</t>
  </si>
  <si>
    <t>Volpi, V (corresponding author), OGS, Ist Nazl Oceanog &amp; Geofis Sperimentale, Borgo Grotta Gigante 42-C, I-34010 Trieste, Italy.</t>
  </si>
  <si>
    <t>vvolpi@ogs.trieste.it</t>
  </si>
  <si>
    <t>Rebesco, Michele/B-7462-2014</t>
  </si>
  <si>
    <t>Rebesco, Michele/0000-0002-9492-4081; Diviacco, Paolo/0000-0001-9404-9611; Volpi, Valentina/0000-0002-4407-615X</t>
  </si>
  <si>
    <t>233 SPRING ST, NEW YORK, NY 10013 USA</t>
  </si>
  <si>
    <t>1437-3254</t>
  </si>
  <si>
    <t>INT J EARTH SCI</t>
  </si>
  <si>
    <t>Int. J. Earth Sci.</t>
  </si>
  <si>
    <t>10.1007/s00531-008-0356-6</t>
  </si>
  <si>
    <t>524XB</t>
  </si>
  <si>
    <t>WOS:000272176600013</t>
  </si>
  <si>
    <t>Hwang, CY; Il Zhang, G; Kang, SH; Kim, HJ; Cho, BC</t>
  </si>
  <si>
    <t>Hwang, Chung Yeon; Il Zhang, Gwang; Kang, Sung-Ho; Kim, Hak Jun; Cho, Byung Cheol</t>
  </si>
  <si>
    <t>Pseudomonas pelagia sp nov., isolated from a culture of the Antarctic green alga Pyramimonas gelidicola</t>
  </si>
  <si>
    <t>INTERNATIONAL JOURNAL OF SYSTEMATIC AND EVOLUTIONARY MICROBIOLOGY</t>
  </si>
  <si>
    <t>DEOXYRIBONUCLEIC-ACID; IDENTIFICATION; PHYLOGENY</t>
  </si>
  <si>
    <t>Two Gram-negative, strictly aerobic bacterial strains, designated CL-AP6(T) and CL-AP22, were isolated from a culture of a green alga, Pyramimonas gelidicola, established from the Antarctic. Cells of the strains were straight rods and motile by means of a single polar flagellum. The strains grew with 0.5-8% (w/v) NaCl (optimum, 1-2%) and at 4-33 degrees C (optimum, 25 degrees C) and pH 6.5-9.1 (optimum, pH 7.5-8.1). The two strains shared 98.8% 16S rRNA gene sequence similarity. Analysis of the 16S rRNA gene sequences of strains CL-AP6(T) and CL-AP22 revealed that they were members of the genus Pseudomonas and were most closely related to Pseudomonas xiamenensis C10-2(T) (95.5-95.8% sequence similarity) and next to Pseudomonas pertucinogena NBRC 14163(T) (95.1-95.5% sequence similarity) and to other members of the genus Pseudomonas (&lt;95.2% sequence similarity). Phylogenetic analyses based on the 16S rRNA gene sequences showed that strain CL-AP6(T) formed a robust clade with strain CL-AP22, and that this clade clustered tightly with the nearest clade containing P. xiamenensis and P. pertucinogena. The major isoprenoid quinone of strains CL-AP6(T) and CL-AP22 was Q-9 and the major cellular fatty acids were C-18:1 omega 7c (40.2-41.6%), summed feature 3 (C-16:1 omega 7c and/or iso-C-15:0 2-OH; 26.3-26.8%), C-16:0 (13.7-13.9%) and C-12:0 (5.8-6.2%). The genomic DNA G + C contents of strains CL-AP6(T) and CL-AP22 were 59.1 and 57.2 mol%, respectively. DNA-DNA hybridization experiments revealed high relatedness values (98.5 +/- 0.5%; mean +/- SEM, n=2) between strains CL-AP6(T) and CL-AP22, indicating that the two strains constituted a single species. However, the two strains differed phenotypically from P. xiamenensis by their inability to grow without NaCl, temperature range for growth, hydrolysis of starch and production of certain enzymes. The phylogenetic analysis and physiological and biochemical data showed that strains CL-AP6(T) and CL-AP22 should be classified as representing a novel species in the genus Pseudomonas, for which the name Pseudomonas pelagia sp. nov. is proposed. The type strain is CL-AP6(T) (=KCCM 90073(T)=JCM 15562(T)).</t>
  </si>
  <si>
    <t>[Hwang, Chung Yeon; Il Zhang, Gwang; Cho, Byung Cheol] Seoul Natl Univ, Sch Earth &amp; Environm Sci, Seoul 151742, South Korea; [Hwang, Chung Yeon; Il Zhang, Gwang; Cho, Byung Cheol] Seoul Natl Univ, Res Inst Oceanog, Seoul 151742, South Korea; [Kang, Sung-Ho; Kim, Hak Jun] Korea Polar Res Inst, Div Polar Biol &amp; Ocean Sci, Inchon 406840, South Korea</t>
  </si>
  <si>
    <t>Seoul National University (SNU); Seoul National University (SNU); Korea Institute of Ocean Science &amp; Technology (KIOST); Korea Polar Research Institute (KOPRI)</t>
  </si>
  <si>
    <t>Cho, BC (corresponding author), Seoul Natl Univ, Sch Earth &amp; Environm Sci, 599 Gwanak Ro, Seoul 151742, South Korea.</t>
  </si>
  <si>
    <t>bccho@snu.ac.kr</t>
  </si>
  <si>
    <t>Hwang, Chung/0000-0001-9861-0197</t>
  </si>
  <si>
    <t>KOPRI [PE08060]; Korean Government</t>
  </si>
  <si>
    <t>KOPRI(Korea Polar Research Institute of Marine Research Placement (KOPRI)); Korean Government(Korean Government)</t>
  </si>
  <si>
    <t>We acknowledge the expert technical support of Ms In-Sung Lee (electron microscopy) of the National Center for Inter-university Research Facilities at Seoul National University. This work was supported by the KOPRI grant No. PE08060 and the BK21 project of the Korean Government.</t>
  </si>
  <si>
    <t>MICROBIOLOGY SOC</t>
  </si>
  <si>
    <t>14-16 MEREDITH ST, LONDON, ENGLAND</t>
  </si>
  <si>
    <t>1466-5026</t>
  </si>
  <si>
    <t>1466-5034</t>
  </si>
  <si>
    <t>INT J SYST EVOL MICR</t>
  </si>
  <si>
    <t>Int. J. Syst. Evol. Microbiol.</t>
  </si>
  <si>
    <t>10.1099/ijs.0.008102-0</t>
  </si>
  <si>
    <t>537TA</t>
  </si>
  <si>
    <t>WOS:000273135700015</t>
  </si>
  <si>
    <t>Alekseev, GV; Danilov, AI; Kattsov, VM; Kuz'mina, SI; Ivanov, NE</t>
  </si>
  <si>
    <t>Alekseev, G. V.; Danilov, A. I.; Kattsov, V. M.; Kuz'mina, S. I.; Ivanov, N. E.</t>
  </si>
  <si>
    <t>Changes in the climate and sea ice of the Northern Hemisphere in the 20th and 21st centuries from data of observations and modeling</t>
  </si>
  <si>
    <t>IZVESTIYA ATMOSPHERIC AND OCEANIC PHYSICS</t>
  </si>
  <si>
    <t>TEMPERATURE</t>
  </si>
  <si>
    <t>The shrinking of the area occupied by sea ice in the Northern Hemisphere accelerated at the end of the 1990s, when the record minima of the summer area were successively noted, and its absolute minimum was observed in September 2007. Such a radical decrease is ahead of the projections of global models and provokes interest in the reliability of model calculations of the future of Arctic sea ice. The results of an analysis of the relation between the warming in the Arctic and the ice extent shrinkage from data of observations and modeling by an ensemble of global climate models are presented.</t>
  </si>
  <si>
    <t>[Alekseev, G. V.; Danilov, A. I.; Ivanov, N. E.] Fed Serv Hydrometeorol &amp; Environm Monitoring, Arctic &amp; Antarctic Res Inst, St Petersburg 199397, Russia; [Kattsov, V. M.] Fed Serv Hydrometeorol &amp; Environm Monitoring, Voeikov Main Geophys Observ, St Petersburg 194021, Russia; [Kuz'mina, S. I.] Nansen Int Environm &amp; Remote Sensing Ctr, St Petersburg 199034, Russia</t>
  </si>
  <si>
    <t>Arctic &amp; Antarctic Research Institute; Nansen Environmental &amp; Remote Sensing Center (NERSC)</t>
  </si>
  <si>
    <t>Alekseev, GV (corresponding author), Fed Serv Hydrometeorol &amp; Environm Monitoring, Arctic &amp; Antarctic Res Inst, Ul Beringa 38, St Petersburg 199397, Russia.</t>
  </si>
  <si>
    <t>alexgv@aari.nw.ru; kattsov@main.mgo.rssi.ru; svetlana.kuzmina@niersc.spb.ru</t>
  </si>
  <si>
    <t>Kattsov, Vladimir M/D-1467-2016</t>
  </si>
  <si>
    <t>Kattsov, Vladimir/0000-0001-9108-3670</t>
  </si>
  <si>
    <t>Russian Foundation for Basic Research [07-05-13558 ofi-ts, 06-05-64054-a, 08-05-00569-a]; Ministry of Education of Norway and the Norway Research Council [179125/S30]</t>
  </si>
  <si>
    <t>Russian Foundation for Basic Research(Russian Foundation for Basic Research (RFBR)Spanish Government); Ministry of Education of Norway and the Norway Research Council</t>
  </si>
  <si>
    <t>This study was supported by the Russian Foundation for Basic Research (project nos. 07-05-13558 ofi-ts, 06-05-64054-a, 08-05-00569-a), as well as by the Ministry of Education of Norway and the Norway Research Council (project no. 179125/S30).</t>
  </si>
  <si>
    <t>0001-4338</t>
  </si>
  <si>
    <t>1555-628X</t>
  </si>
  <si>
    <t>IZV ATMOS OCEAN PHY+</t>
  </si>
  <si>
    <t>Izv. Atmos. Ocean. Phys.</t>
  </si>
  <si>
    <t>10.1134/S0001433809060012</t>
  </si>
  <si>
    <t>Meteorology &amp; Atmospheric Sciences; Oceanography</t>
  </si>
  <si>
    <t>533CK</t>
  </si>
  <si>
    <t>WOS:000272799700001</t>
  </si>
  <si>
    <t>Yin, P; Mitchell, CN; Alfonsi, L; Pinnock, M; Spencer, P; De Franceschi, G; Romano, V; Newell, P; Sarti, P; Negusini, M; Capra, A</t>
  </si>
  <si>
    <t>Yin, Ping; Mitchell, Cathryn N.; Alfonsi, Lucilla; Pinnock, Mike; Spencer, Paul; De Franceschi, Giorgiana; Romano, Vincenzo; Newell, Patrick; Sarti, Pierguido; Negusini, Monia; Capra, Alessandro</t>
  </si>
  <si>
    <t>Imaging of the Antarctic ionosphere: Experimental results</t>
  </si>
  <si>
    <t>JOURNAL OF ATMOSPHERIC AND SOLAR-TERRESTRIAL PHYSICS</t>
  </si>
  <si>
    <t>GPS imaging; Antarctic ionosphere; Multi-instrument approach; Ionospheric disturbance</t>
  </si>
  <si>
    <t>POLAR; SIMULATION; CONVECTION; PATCHES; OCTOBER</t>
  </si>
  <si>
    <t>Ground-based dual-frequency GPS observations can be used to create images of electron density. This is well established for the Arctic ionosphere; here one of the first results is presented for the Antarctic. In this study, the GPS receivers in the Antarctic are supplemented with another GPS receiver onboard CHAMP. The aim of the study is to demonstrate the technique for investigating geophysical events, for example, an ionospheric disturbance period on 11 February 2004. The images have been validated by in-situ measurements from DMSP and CHAMP satellites, as well as Super Dual Auroral Radar Network (SuperDARN) convection patterns, which are able to confirm the location, presence, and transportation of large-scale plasma patches. This study indicates that although the convection still dominates in the high-latitude ionosphere, soft precipitation within the polar cap may play a role in the evolution of the polar patches. It also illustrates the potential for future multi-instrument studies of the Antarctic. (C) 2009 Elsevier Ltd. All rights reserved.</t>
  </si>
  <si>
    <t>[Yin, Ping] Civil Aviat Univ China, Coll Elect Informat Engn, Tianjin, Peoples R China; [Mitchell, Cathryn N.; Spencer, Paul] Univ Bath, Dept Elect &amp; Elect Engn, Bath BA2 7AY, Avon, England; [Alfonsi, Lucilla; De Franceschi, Giorgiana; Romano, Vincenzo] INGV, Rome, Italy; [Pinnock, Mike] British Antarctic Survey, Cambridge, England; [Newell, Patrick] Johns Hopkins Univ, Appl Phys Lab, Baltimore, MD 21218 USA; [Sarti, Pierguido; Negusini, Monia] IRA INAF, Bologna, Italy; [Capra, Alessandro] Univ Modena &amp; Reggio Emilia, Modena, Italy</t>
  </si>
  <si>
    <t>Civil Aviation University of China; University of Bath; Istituto Nazionale Geofisica e Vulcanologia (INGV); UK Research &amp; Innovation (UKRI); Natural Environment Research Council (NERC); NERC British Antarctic Survey; Johns Hopkins University; Johns Hopkins University Applied Physics Laboratory; Istituto Nazionale Astrofisica (INAF); Universita di Modena e Reggio Emilia</t>
  </si>
  <si>
    <t>Yin, P (corresponding author), Civil Aviat Univ China, Coll Elect Informat Engn, Tianjin, Peoples R China.</t>
  </si>
  <si>
    <t>eexpybath@googlemail.com</t>
  </si>
  <si>
    <t>Negusini, Monia/N-6493-2015; Alfonsi, Lucilla/V-2969-2018; Romano, Vincenzo/HKV-6552-2023; Sarti, Pierguido/D-2391-2009; Capra, Alessandro/L-9743-2015</t>
  </si>
  <si>
    <t>Negusini, Monia/0000-0002-0064-5533; Romano, Vincenzo/0000-0002-7532-4507; Sarti, Pierguido/0000-0003-1260-5587; Mitchell, Cathryn/0000-0003-1964-8723; De Franceschi, Giorgiana/0000-0002-3943-6798; Alfonsi, Lucilla/0000-0002-1806-9327; Capra, Alessandro/0000-0001-6660-3291</t>
  </si>
  <si>
    <t>PNRA (Italian National Program for Antarctic Research); UK Engineering and Physical Sciences Research Council (EPSRC); Engineering and Physical Sciences Research Council [EP/E007902/1, TS/G002592/1] Funding Source: researchfish; Natural Environment Research Council [bas0100023, NE/F015321/1] Funding Source: researchfish; Science and Technology Facilities Council [PP/D002230/1] Funding Source: researchfish; EPSRC [TS/G002592/1, EP/E007902/1] Funding Source: UKRI; NERC [bas0100023, NE/F015321/1] Funding Source: UKRI; STFC [PP/D002230/1] Funding Source: UKRI</t>
  </si>
  <si>
    <t>PNRA (Italian National Program for Antarctic Research); UK Engineering and Physical Sciences Research Council (EPSRC)(UK Research &amp; Innovation (UKRI)Engineering &amp; Physical Sciences Research Council (EPSRC));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 EPSRC(UK Research &amp; Innovation (UKRI)Engineering &amp; Physical Sciences Research Council (EPSRC)); NERC(UK Research &amp; Innovation (UKRI)Natural Environment Research Council (NERC)); STFC(UK Research &amp; Innovation (UKRI)Science &amp; Technology Facilities Council (STFC))</t>
  </si>
  <si>
    <t>The authors acknowledge the use of GPS data provided by the IGS and the CHAMP data from GFZ, Germany. We thank the ACE SWEPAM instrument team and the ACE Science Center for providing the ACE data. We gratefully acknowledge the Center for Space Sciences at the University of Texas at Dallas and the US Air Force for providing the DMSP thermal plasma data. The DMSP particle detectors were designed by Dave Hardy of AFRL, and data obtained from JHU/APL. We thank Dave Hardy, Fred Rich, and Patrick Newell for its use. SuperDARN maps were downloaded from http://superdarnjhuapl.edu/ and we gratefully acknowledge the SuperDARN PIS for providing this. The authors acknowledge PNRA (Italian National Program for Antarctic Research) for supporting the GPS stations at Mario Zucchelli Station. PY and CNM are also grateful for support from the UK Engineering and Physical Sciences Research Council (EPSRC). Finally, thanks are given to the editor and the reviewers for their constructive Suggestions.</t>
  </si>
  <si>
    <t>1364-6826</t>
  </si>
  <si>
    <t>1879-1824</t>
  </si>
  <si>
    <t>J ATMOS SOL-TERR PHY</t>
  </si>
  <si>
    <t>J. Atmos. Sol.-Terr. Phys.</t>
  </si>
  <si>
    <t>17-18</t>
  </si>
  <si>
    <t>10.1016/j.jastp.2009.09.014</t>
  </si>
  <si>
    <t>Geochemistry &amp; Geophysics; Meteorology &amp; Atmospheric Sciences</t>
  </si>
  <si>
    <t>535QK</t>
  </si>
  <si>
    <t>WOS:000272985200010</t>
  </si>
  <si>
    <t>Xu, X; Manson, AH; Meek, CE; Chshyolkova, T; Drummond, JR; Riggin, DM; Hall, CM; Hibbins, RE; Tsutsumi, M</t>
  </si>
  <si>
    <t>Xu, X.; Manson, A. H.; Meek, C. E.; Chshyolkova, T.; Drummond, J. R.; Riggin, D. M.; Hall, C. M.; Hibbins, R. E.; Tsutsumi, M.</t>
  </si>
  <si>
    <t>Asymmetry in the interhemispheric planetary wave-tide link between the two hemispheres</t>
  </si>
  <si>
    <t>Interhemispheric coupling; Planetary wave; Semidiurnal tide; Interannual variability</t>
  </si>
  <si>
    <t>NONMIGRATING SEMIDIURNAL TIDES; MF RADAR OBSERVATIONS; UPPER-ATMOSPHERE; OSCILLATION; NORTHERN; THERMOSPHERE; VARIABILITY; MESOSPHERE; MLT; S=1</t>
  </si>
  <si>
    <t>This Study assesses the relation between the year-to-year variability of the semidiurnal tides (SDT) observed at high latitudes of both hemispheres and the global stratospheric stationary planetary wave (SPW) with zonal wavenumber S = 1 (SPW1) derived from the UKMO temperature data. No significant positive correlation can be identified between the interannual variability of the Northern Hemisphere (NH) SDT and the Southern Hemisphere (SH) SPW1 for austral late-winter months. In contrast, a good consistency is evident for the interannual variations between the SDT observed at Rothera (68 degrees S, 68 degrees W) and the Arctic SPW1 for NH mid-winter months. Since it has been observed that during austral summer the non-migrating SDT often plays a significant role at the latitude of Rothera, a physical link between the SH SDT and the NH SPW is suggested. This asymmetry in the interhemispheric link is also noted in a recent study. (C) 2009 Elsevier Ltd. All rights reserved.</t>
  </si>
  <si>
    <t>[Xu, X.; Manson, A. H.; Meek, C. E.; Chshyolkova, T.] Univ Saskatchewan, Inst Space &amp; Atmospher Studies, Saskatoon, SK S7N 0W0, Canada; [Drummond, J. R.] Dalhousie Univ, Dept Phys &amp; Atmospher Sci, Halifax, NS, Canada; [Riggin, D. M.] Colorado Res Associates, Boulder, CO USA; [Hall, C. M.] Univ Tromso, Tromso Geophys Observ, Tromso, Norway; [Hibbins, R. E.] British Antarctic Survey, Cambridge CB3 0ET, England; [Tsutsumi, M.] Natl Inst Polar Res, Tokyo, Japan</t>
  </si>
  <si>
    <t>University of Saskatchewan; Dalhousie University; UiT The Arctic University of Tromso; UK Research &amp; Innovation (UKRI); Natural Environment Research Council (NERC); NERC British Antarctic Survey; Research Organization of Information &amp; Systems (ROIS); National Institute of Polar Research (NIPR) - Japan</t>
  </si>
  <si>
    <t>Xu, X (corresponding author), Univ Saskatchewan, Inst Space &amp; Atmospher Studies, Saskatoon, SK S7N 0W0, Canada.</t>
  </si>
  <si>
    <t>xix303@mail.usask.ca</t>
  </si>
  <si>
    <t>Drummond, James R/O-7467-2014; Hall, Colin Michael/C-1439-2010; Xu, Xiaoyong/HOA-7068-2023; Xu, Xiaoyong/AAB-5498-2019</t>
  </si>
  <si>
    <t>Hall, Colin Michael/0000-0002-7734-4587; Xu, Xiaoyong/0000-0002-5040-6442; Xu, Xiaoyong/0000-0002-5040-6442; Hibbins, Robert/0000-0002-6867-2255</t>
  </si>
  <si>
    <t>CANDAC-PEARL; Canadian Natural Sciences and Engineering Research Council; University of Saskatchewan; National Science Foundation [OPP-0438777]; UK Natural Environment Research Council; NERC [bas0100023] Funding Source: UKRI; Natural Environment Research Council [bas0100023] Funding Source: researchfish</t>
  </si>
  <si>
    <t>CANDAC-PEARL; Canadian Natural Sciences and Engineering Research Council(Natural Sciences and Engineering Research Council of Canada (NSERC)); University of Saskatchewan; National Science Foundation(National Science Foundation (NSF));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</si>
  <si>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Funding for this work was from CANDAC-PEARL, in part from its IPY funding: the Canadian Natural Sciences and Engineering Research Council and the University of Saskatchewan through support to ISAS. Thanks are given to the UK Meteorological Office for the stratospheric assimilated data, and to the British Atmosphere Data centre for providing access to these data. Professor T. Aso jointly supports the Svalbard radar data. The Rothera MF radar was jointly supported by National Science Foundation Grant OPP-0438777 and by the UK Natural Environment Research Council.</t>
  </si>
  <si>
    <t>10.1016/j.jastp.2009.07.011</t>
  </si>
  <si>
    <t>WOS:000272985200025</t>
  </si>
  <si>
    <t>Kumar, VV; Parkinson, ML; Dyson, PL; Burns, GB</t>
  </si>
  <si>
    <t>Kumar, V. V.; Parkinson, M. L.; Dyson, P. L.; Burns, G. B.</t>
  </si>
  <si>
    <t>The effects of thunderstorm-generated atmospheric gravity waves on mid-latitude F-region drifts</t>
  </si>
  <si>
    <t>Thunderstorm-ionosphere coupling; Atmospheric gravity waves; Digital ionosonde; Superposed epoch analysis</t>
  </si>
  <si>
    <t>TRAVELING IONOSPHERIC DISTURBANCES; ELECTRIC-FIELDS; DISCHARGES; PROPAGATION; SATELLITE; CLOUDS; DYNAMO; PULSES; MODEL; SOLAR</t>
  </si>
  <si>
    <t>Superposed epoch analysis (SEA) was used to examine ionospheric drift velocities measured by a digital ionosonde located at the mid-latitude station Bundoora (145.1 degrees E, 37.7 degrees S geographic), near Melbourne. The control times for the SEA were the times of cloud-to-ground (CG) lightning strokes measured from August 2003 to August 2004 by the World Wide Lightning Location Network (WWLLN). Statistically, regions of concentrated lightning activity migrated from west to east across Bundoora, and the stroke frequency was higher the day prior the activity reached the station, and lower on the day after it passed to the east. For the SEA, CG strokes were separated into four directional quadrants centred on north, south, east and west. No SEA results are shown for the south quadrant due to the relatively low detection frequency of strokes across the Southern Ocean (6% of all events). The strongest downward vertical perturbations in F-region drifts, -4.5 m s(-1), were found for lightning located towards the west during -30 to -16 h (i.e., the afternoon prior the activity passed near the station at t = 0 h). The downward perturbation decreased in amplitude to -1.5 m s(-1) for lightning located towards the north during -6-+6 h, and was weakest (-0.7 m s(-1)) for lightning located towards the east during +16-+28 h (i.e., the next afternoon). There were directionally consistent perturbations in the drift azimuths associated with the lightning located in their respective quadrants; lightning located to the west of the station caused eastward azimuth enhancements, northward lightning caused southward enhancements, and eastward lightning caused westward enhancements. Velocity magnitudes and fluctuations tended to increase during the passage of lightning. The observed responses were stronger when the SEA was performed with data selected using time windows of &lt; 2 min on either side of each lightning stroke. However, they persisted at longer time scales and were strong when thunderstorm onsets (instead of lightning times) were used as controls. Our results can be explained by thunderstorm-generated atmospheric gravity waves (AGWs) which subsequently gave rise to medium-scale travelling ionospheric disturbances (MSTIDs), with the lightning strokes acting merely as a proxy for this coupling. The prevailing thermospheric winds were flowing from east to west across the study region, and may have acted as a directional 'filter' for the MSTIDs, allowing waves generated in the west quadrant to reach the station and preventing those generated in other quadrants. Displacement of the MSTIDs in the direction anti-parallel to mean neutral wind flow has been observed by (Waldock, J.A., Jones, T.B., 1986. HF Doppler observations of medium-scale travelling ionospheric disturbances at mid-latitudes. journal of atmospheric and terrestrial physics 48(3), 245-260). (C) 2009 Elsevier Ltd. All rights reserved.</t>
  </si>
  <si>
    <t>[Kumar, V. V.; Dyson, P. L.] La Trobe Univ, Dept Phys, Bundoora, Vic 3086, Australia; [Parkinson, M. L.] IPS Radio &amp; Space Serv, Bur Meteorol, Haymarket, NSW 1240, Australia; [Burns, G. B.] Australian Govt, Australian Antarctic Div, Kingston, Tas 7050, Australia</t>
  </si>
  <si>
    <t>La Trobe University; Bureau of Meteorology - Australia; Australian Antarctic Division</t>
  </si>
  <si>
    <t>Kumar, VV (corresponding author), La Trobe Univ, Dept Phys, Bundoora, Vic 3086, Australia.</t>
  </si>
  <si>
    <t>v.kumar@latrobe.edu.au</t>
  </si>
  <si>
    <t>Kumar, Vickal/0000-0002-9885-229X</t>
  </si>
  <si>
    <t>Australian Government Endeavour Postgraduate [ESPA_DCD_365_2007]; La Trobe University</t>
  </si>
  <si>
    <t>Australian Government Endeavour Postgraduate(Australian GovernmentDepartment of Industry, Innovation and Science); La Trobe University</t>
  </si>
  <si>
    <t>This work was supported by an internal research grant awarded by La Trobe University. We thank WWLLN for providing lightning data over the region. Financial support for VVK was provided by an Australian Government Endeavour Postgraduate Award (ESPA_DCD_365_2007) and La Trobe University. VVK thanks Callum Anderson for providing the neutral wind data for this paper.</t>
  </si>
  <si>
    <t>10.1016/j.jastp.2009.07.006</t>
  </si>
  <si>
    <t>WOS:000272985200026</t>
  </si>
  <si>
    <t>Lin, P; Fu, Q; Solomon, S; Wallace, JM</t>
  </si>
  <si>
    <t>Lin, Pu; Fu, Qiang; Solomon, Susan; Wallace, John M.</t>
  </si>
  <si>
    <t>Temperature Trend Patterns in Southern Hemisphere High Latitudes: Novel Indicators of Stratospheric Change</t>
  </si>
  <si>
    <t>JOURNAL OF CLIMATE</t>
  </si>
  <si>
    <t>ZONAL ASYMMETRY; POLAR VORTEX; TOTAL OZONE; CLIMATE; EVOLUTION; VARIABILITY; CIRCULATION; SIMULATION; ATMOSPHERE; DEPLETION</t>
  </si>
  <si>
    <t>Robust stratospheric temperature trend patterns are suggested in the winter and spring seasons in the Southern Hemisphere high latitudes from the satellite-borne Microwave Sounding Unit (MSU) measurement for 1979-2007. These patterns serve as indicators of key processes governing temperature and ozone changes in the Antarctic. The observed patterns are characterized by cooling and warming regions of comparable magnitudes, with the strongest local trends occurring in September and October. In September, ozone depletion induces radiative cooling, and strengthening of the Brewer-Dobson circulation (BDC) induces dynamical warming. Because the trends induced by these two processes are centered in different locations in September, they do not cancel each other, but rather produce a wavelike structure. In contrast, during October, the ozone-induced radiative cooling and the BDC-induced warming exhibit a more zonally symmetric structure than in September, and hence largely cancel each other. However, the October quasi-stationary planetary wavenumber 1 has shifted eastward from 1979 to 2007, producing a zonal wavenumber-1 trend structure, which dominates the observed temperature trend pattern. Simulated temperature changes for 1979-2007 from coupled atmosphere-ocean general circulation model (AOGCM) experiments run for the Intergovernmental Panel on Climate Change Fourth Assessment Report (IPCC AR4) are compared with the observations. In general, the simulated temperature changes are dominated by zonally symmetric ozone-induced radiative cooling. The models fail to simulate the warming in the southern polar stratosphere, implying a lack of the BDC strengthening in these models. They also fail to simulate the quasi-stationary planetary wave changes observed in October and November.</t>
  </si>
  <si>
    <t>[Lin, Pu; Fu, Qiang; Wallace, John M.] Univ Washington, Dept Atmospher Sci, Seattle, WA 98195 USA; [Solomon, Susan] NOAA, Earth Syst Res Lab, Div Chem Sci, Boulder, CO USA</t>
  </si>
  <si>
    <t>University of Washington; University of Washington Seattle; National Oceanic Atmospheric Admin (NOAA) - USA</t>
  </si>
  <si>
    <t>Lin, P (corresponding author), Univ Washington, Dept Atmospher Sci, 408 ATG Bldg,Box 351640, Seattle, WA 98195 USA.</t>
  </si>
  <si>
    <t>plin@atmos.washington.edu</t>
  </si>
  <si>
    <t>Fu, Qiang/W-5836-2019; Lin, Pu/D-4393-2014</t>
  </si>
  <si>
    <t>Lin, Pu/0000-0003-2577-6094</t>
  </si>
  <si>
    <t>Div Atmospheric &amp; Geospace Sciences; Directorate For Geosciences [0812802] Funding Source: National Science Foundation</t>
  </si>
  <si>
    <t>Div Atmospheric &amp; Geospace Sciences; Directorate For Geosciences(National Science Foundation (NSF)NSF - Directorate for Geosciences (GEO))</t>
  </si>
  <si>
    <t>AMER METEOROLOGICAL SOC</t>
  </si>
  <si>
    <t>BOSTON</t>
  </si>
  <si>
    <t>45 BEACON ST, BOSTON, MA 02108-3693 USA</t>
  </si>
  <si>
    <t>0894-8755</t>
  </si>
  <si>
    <t>1520-0442</t>
  </si>
  <si>
    <t>J CLIMATE</t>
  </si>
  <si>
    <t>J. Clim.</t>
  </si>
  <si>
    <t>10.1175/2009JCLI2971.1</t>
  </si>
  <si>
    <t>526GC</t>
  </si>
  <si>
    <t>WOS:000272274700011</t>
  </si>
  <si>
    <t>Sijp, WP; England, MH; Toggweiler, JR</t>
  </si>
  <si>
    <t>Sijp, Willem P.; England, Matthew H.; Toggweiler, J. R.</t>
  </si>
  <si>
    <t>Effect of Ocean Gateway Changes under Greenhouse Warmth</t>
  </si>
  <si>
    <t>DRAKE PASSAGE; ANTARCTIC GLACIATION; EOCENE GREENHOUSE; CIRCULATION; TEMPERATURE; HEMISPHERE; SIMULATION; TRANSPORT; EVOLUTION; IMPACTS</t>
  </si>
  <si>
    <t>The role of tectonic Southern Ocean gateway changes in driving Antarctic climate change at the Eocene Oligocene boundary remains a topic of debate. One approach taken in previous idealized modeling studies of gateway effects has been to alter modern boundary conditions, whereby the Drake Passage becomes closed. Here, the authors follow this approach but vary atmospheric pCO(2) over a range of values when comparing gateway configurations. They find a significantly greater sensitivity of Antarctic temperatures to Southern Ocean gateway changes when atmospheric pCO(2) is high than when concentrations are low and the ambient climate is cool. In particular, the closure of the Drake Passage (DP) gap is a necessary condition for the existence of ice-free Antarctic conditions at high CO2 concentrations in this coupled climate model. The absence of the Antarctic Circumpolar Current (ACC) is particularly conducive to warm Antarctic conditions at higher CO2 concentrations, which is markedly different from previous simulations conducted under present-day CO2 conditions. The reason for this is the reduction of sea ice associated with higher CO2. Antarctic sea surface temperature and surface air temperature warming due to a closed DP gap reach values around; similar to 5 degrees and; similar to 7 degrees C, respectively, for high concentrations of CO2 (above 1250 ppm). In other words, the authors find a significantly greater sensitivity of Antarctic temperatures to atmospheric CO2 concentration when the DP is closed compared to when it is open. The presence of a DP gap inhibits a return to warmer and more Eocene-like Antarctic and deep ocean conditions, even under enhanced atmospheric greenhouse gas concentrations.</t>
  </si>
  <si>
    <t>[Sijp, Willem P.; England, Matthew H.; Toggweiler, J. R.] Univ New S Wales, CCRC, Fac Sci, Sydney, NSW 2052, Australia</t>
  </si>
  <si>
    <t>University of New South Wales Sydney</t>
  </si>
  <si>
    <t>Sijp, WP (corresponding author), Univ New S Wales, CCRC, Fac Sci, Sydney, NSW 2052, Australia.</t>
  </si>
  <si>
    <t>w.sijp@unsw.edu.au</t>
  </si>
  <si>
    <t>Sijp, Willem P/E-5988-2012; England, Matthew/A-7539-2011; Toggweiler, J. R./O-5883-2019</t>
  </si>
  <si>
    <t>England, Matthew/0000-0001-9696-2930; Toggweiler, J. R./0000-0001-6345-5756; Sijp, Willem/0000-0002-5971-3860</t>
  </si>
  <si>
    <t>University of Victoria; Australian Research Council; Australian Antarctic Science Program</t>
  </si>
  <si>
    <t>University of Victoria; Australian Research Council(Australian Research Council); Australian Antarctic Science Program</t>
  </si>
  <si>
    <t>We thank the University of Victoria staff for support in usage of their coupled climate model. This research was supported by the Australian Research Council and the Australian Antarctic Science Program. We also thank Matthew Huber and Andreas Schmittner for constructive reviews that have improved the quality of this paper.</t>
  </si>
  <si>
    <t>10.1175/2009JCLI3003.1</t>
  </si>
  <si>
    <t>540SJ</t>
  </si>
  <si>
    <t>WOS:000273359000009</t>
  </si>
  <si>
    <t>Ashcroft, LC; Pezza, AB; Simmonds, I</t>
  </si>
  <si>
    <t>Ashcroft, Linden Claire; Pezza, Alexandre Bernardes; Simmonds, Ian</t>
  </si>
  <si>
    <t>Cold Events over Southern Australia: Synoptic Climatology and Hemispheric Structure</t>
  </si>
  <si>
    <t>TRACKING CYCLONE CENTERS; URBAN HEAT-ISLAND; AIR OUTBREAKS; TROPICAL CYCLONES; DAILY TEMPERATURE; NUMERICAL SCHEME; DIGITAL DATA; AMERICA; SURGES; FREEZES</t>
  </si>
  <si>
    <t>Cold events (CEs) are an important feature of southern Australian weather. Unseasonably cold conditions can have a significant impact on Australia's agricultural industry and other aspects of society. In this study the bottom 0.4% of maximum temperatures in Melbourne and Perth from the 1958-2006 period are defined as CEs, representing the large-scale patterns affecting most of extratropical Australia. Compiling 6-hourly progressions of the tracks of the cyclones and anticyclones that are geostrophically associated with CEs gives for the first time a detailed synoptic climatology over the area. The anticyclone tracks display a cloud'' of high density across the Indian Ocean, which is linked, in the mean, to weak but significant negative SST anomalies in the region. The cyclone tracks display much variability, with system origins ranging from subpolar to tropical. Several CEs are found to involve tropical and extratropical interaction or extratropical transition of originally tropical cyclones (hurricanes). CE-associated systems travel farther and exhibit longer life spans than similar, non-CE systems. Upper-level analyses indicate the presence of a wave train originating more than 1208 west of the CE. This pattern greatly intensifies over the affected area in conjunction with a merging of the subpolar and subtropical jets. The upper-level wave train is present up to five days before the CE. The absence of large orographic features in Australia highlights the importance of wave amplification in CE occurrence. No consistent trend in CE intensity over the period is found, but a significant negative trend in event frequency is identified for both Melbourne and Perth.</t>
  </si>
  <si>
    <t>[Ashcroft, Linden Claire; Pezza, Alexandre Bernardes; Simmonds, Ian] Univ Melbourne, Sch Earth Sci, Melbourne, Vic 3010, Australia</t>
  </si>
  <si>
    <t>Pezza, AB (corresponding author), Univ Melbourne, Sch Earth Sci, Melbourne, Vic 3010, Australia.</t>
  </si>
  <si>
    <t>apezza@unimelb.edu.au</t>
  </si>
  <si>
    <t>; Ashcroft, Linden/K-5234-2016</t>
  </si>
  <si>
    <t>Simmonds, Ian/0000-0002-4479-3255; Ashcroft, Linden/0000-0003-3898-6648</t>
  </si>
  <si>
    <t>Australian Research Council; Antarctic Science Advisory Committee</t>
  </si>
  <si>
    <t>Australian Research Council(Australian Research Council); Antarctic Science Advisory Committee</t>
  </si>
  <si>
    <t>Parts of this research were made possible by funding from the Australian Research Council and the Antarctic Science Advisory Committee. The authors are indebted to Kevin Keay for his expertise and assistance in this work and to Luke Garde for his comments and advice. The authors are also very grateful for the insightful comments from three anonymous reviewers that greatly improved the work.</t>
  </si>
  <si>
    <t>10.1175/2009JCLI2997.1</t>
  </si>
  <si>
    <t>WOS:000273359000011</t>
  </si>
  <si>
    <t>Rodríguez, A; Negro, JJ; Fox, JW; Afanasyev, V</t>
  </si>
  <si>
    <t>Rodriguez, Airam; Negro, Juan J.; Fox, James W.; Afanasyev, Vsevolod</t>
  </si>
  <si>
    <t>Effects of geolocator attachments on breeding parameters of Lesser Kestrels</t>
  </si>
  <si>
    <t>JOURNAL OF FIELD ORNITHOLOGY</t>
  </si>
  <si>
    <t>biochemical parameters; breeding success; effects; Falco naumanni; geolocators; Lesser Kestrel; survival</t>
  </si>
  <si>
    <t>RADIO TRANSMITTERS; DISPERSAL; SURVIVAL</t>
  </si>
  <si>
    <t>Light level geolocators, also known as GLS loggers, are electronic devices intended for tracking the location of wide-ranging animals using ambient light to estimate latitude and longitude. Miniaturized geolocators that can be used on relatively small migratory birds have recently become available, but little is known about the potential harmful effects of geolocators on birds. We examined the possible effects of 1.5-g geolocators (dimensions: 21 x 6.5 x 9 mm) on the breeding success and survival of migratory Lesser Kestrels (Falco naumanni). During the 2007 breeding season, kestrels were fitted with geolocators using two attachment methods (Teflon wing harnesses and darvic bands), and geolocators were removed in 2008 after the birds returned to the breeding grounds. We found no differences in the breeding success of control and tagged pairs during the 2007 breeding season, but tagged pairs had greater fledgling mortality in the following breeding season. Furthermore, nestlings of tagged individuals had higher triglyceride and uric acid concentrations in their blood than control nestlings during the breeding season following tagging. As for return rates, 75% of tagged birds came back to the colony after the nonbreeding period, a proportion similar to that reported in previous studies. Although back-mounts are slightly heavier and require more skill to attach, we recommend their use on small migratory raptors because most leg-mounted geolocators in this study were damaged or rendered useless by dirt obscuring the light sensor.</t>
  </si>
  <si>
    <t>[Rodriguez, Airam; Negro, Juan J.] CSIC, Estac Biol Donana, Dept Evolutionary Ecol, Seville 41092, Spain; [Fox, James W.; Afanasyev, Vsevolod] British Antarctic Survey, NERC, Cambridge CB3 0ET, England</t>
  </si>
  <si>
    <t>Consejo Superior de Investigaciones Cientificas (CSIC); CSIC - Estacion Biologica de Donana (EBD); UK Research &amp; Innovation (UKRI); Natural Environment Research Council (NERC); NERC British Antarctic Survey</t>
  </si>
  <si>
    <t>Rodríguez, A (corresponding author), CSIC, Estac Biol Donana, Dept Evolutionary Ecol, Avda Amer Vespucio S-N, Seville 41092, Spain.</t>
  </si>
  <si>
    <t>airamrguez@ebd.csic.es</t>
  </si>
  <si>
    <t>Rodríguez, Airam/D-5110-2011; Negro, juan/I-2653-2015</t>
  </si>
  <si>
    <t>Rodríguez, Airam/0000-0001-7882-135X; Fox, James W./0000-0002-3107-696X; Negro, juan/0000-0002-8697-5647</t>
  </si>
  <si>
    <t>Spanish National Research Council (CSIC); Proyecto de Excelencia de la Junta de Andalucia [P06-RNM-01712]; NERC [bas010013] Funding Source: UKRI; Natural Environment Research Council [bas010013] Funding Source: researchfish</t>
  </si>
  <si>
    <t>Spanish National Research Council (CSIC); Proyecto de Excelencia de la Junta de Andalucia(Junta de Andalucia); NERC(UK Research &amp; Innovation (UKRI)Natural Environment Research Council (NERC)); Natural Environment Research Council(UK Research &amp; Innovation (UKRI)Natural Environment Research Council (NERC))</t>
  </si>
  <si>
    <t>Thanks to M. de la Riva for valuable advice about attachment methods, and to B. Rodriguez, C. Rodriguez, G. Ritchison, and three anonymous reviewers for comments and corrections on earlier drafts. A. R. was supported by an I3P predoctoral fellowship from the Spanish National Research Council (CSIC). This study was partially funded by a Proyecto de Excelencia de la Junta de Andalucia, HORUS Project P06-RNM-01712, granted to J. Bustamante. The procedures used in this study comply with current Spanish laws on wildlife research.</t>
  </si>
  <si>
    <t>0273-8570</t>
  </si>
  <si>
    <t>1557-9263</t>
  </si>
  <si>
    <t>J FIELD ORNITHOL</t>
  </si>
  <si>
    <t>J. Field Ornithol.</t>
  </si>
  <si>
    <t>10.1111/j.1557-9263.2009.00247.x</t>
  </si>
  <si>
    <t>Ornithology</t>
  </si>
  <si>
    <t>525BM</t>
  </si>
  <si>
    <t>WOS:000272188100010</t>
  </si>
  <si>
    <t>Dong, SF; Garzoli, SL; Baringer, M</t>
  </si>
  <si>
    <t>Dong, Shenfu; Garzoli, Silvia L.; Baringer, Molly</t>
  </si>
  <si>
    <t>An assessment of the seasonal mixed layer salinity budget in the Southern Ocean</t>
  </si>
  <si>
    <t>KUROSHIO EXTENSION REGION; HEAT-BUDGET; GLOBAL PRECIPITATION; ANTARCTIC MODE; BALANCE; WATER; CIRCULATION; PACIFIC; VARIABILITY; ADVECTION</t>
  </si>
  <si>
    <t>The seasonal cycle of mixed layer salinity and its causes in the Southern Ocean are examined by combining remotely sensed and in situ observations. The domain-averaged terms of oceanic advection, diffusion, entrainment, and air-sea freshwater flux ( evaporation minus precipitation) are largely consistent with the seasonal evolution of mixed layer salinity, which increases from March to October and decreases from November to February. This seasonal cycle is largely attributed to oceanic advection and entrainment; air-sea freshwater flux plays only a minimal role. Both oceanic advection-diffusion and the freshwater flux are negative throughout the year, i.e., reduce mixed layer salinity, while entrainment is positive year-round, reaching its maximum in May. The advection-diffusion term is dominated by Ekman advection. Although the spatial structure of the air-sea freshwater flux and oceanic processes are similar for the steady state, the magnitude of the freshwater flux is relatively small when compared to that of the oceanic processes. The spatial structure of the salinity tendency for each month is also well captured by the sum of the contributions from the air-sea freshwater flux, advection-diffusion, and entrainment processes. However, substantial imbalances in the salinity budget exist locally, particularly for regions with strong eddy kinetic energy and sparse in situ measurements. Sensitivity tests suggest that a proper representation of the mixed layer depth, a better freshwater flux product, and an improved surface salinity field are all important for closing the mixed layer salinity budget in the Southern Ocean.</t>
  </si>
  <si>
    <t>[Dong, Shenfu] Univ Miami, RSMAS, CIMAS, Miami, FL 33149 USA; [Garzoli, Silvia L.; Baringer, Molly] NOAA, AOML, Miami, FL 33149 USA</t>
  </si>
  <si>
    <t>University of Miami; National Oceanic Atmospheric Admin (NOAA) - USA; Atlantic Oceanographic &amp; Meteorological Laboratory (AOML)</t>
  </si>
  <si>
    <t>Dong, SF (corresponding author), Univ Miami, RSMAS, CIMAS, 4301 Rickenbacker Causeway, Miami, FL 33149 USA.</t>
  </si>
  <si>
    <t>shenfu.dong@noaa.gov</t>
  </si>
  <si>
    <t>Dong, Shenfu/I-4435-2013; Garzoli, Silvia/JCP-1471-2023; Baringer, Molly/D-2277-2012; Garzoli, Silvia/A-3556-2010</t>
  </si>
  <si>
    <t>Dong, Shenfu/0000-0001-8247-8072; Baringer, Molly/0000-0002-8503-5194; Garzoli, Silvia/0000-0003-3553-2253</t>
  </si>
  <si>
    <t>Centre National d'Etudes Spatiales; Physical Sciences Division of NOAA's Earth System Research Laboratory in Boulder, Colorado, USA</t>
  </si>
  <si>
    <t>Centre National d'Etudes Spatiales(Centre National D'etudes Spatiales); Physical Sciences Division of NOAA's Earth System Research Laboratory in Boulder, Colorado, USA</t>
  </si>
  <si>
    <t>The authors thank Carlisle Thacker and the two anonymous reviewers for their helpful comments. The authors also thank Gail Derr for her grammatical corrections. The Argo float profiles are managed by the Global Ocean Data Assimilation Experiment and are available at http://www.usgodae.org/ftp/outgoing/argo/dac/. The altimeter SSH anomalies were produced by Ssalto/Duacs and are distributed by AVISO with support from the Centre National d'Etudes Spatiales. The NCEP reanalysis-derived data were provided by the Physical Sciences Division of NOAA's Earth System Research Laboratory in Boulder, Colorado, USA, from their web site at http://www.esrl.noaa.gov/psd/. The pseudostress fields were produced at COAPS and are available at http://www.coaps.fsu.edu/scatterometry/Qscat/.</t>
  </si>
  <si>
    <t>C12001</t>
  </si>
  <si>
    <t>10.1029/2008JC005258</t>
  </si>
  <si>
    <t>528LA</t>
  </si>
  <si>
    <t>WOS:000272445700001</t>
  </si>
  <si>
    <t>Simmons, BL; Adams, BJ; McKnight, DM; Wall, DH</t>
  </si>
  <si>
    <t>Simmons, B. L.; Adams, B. J.; McKnight, D. M.; Wall, D. H.</t>
  </si>
  <si>
    <t>RELATIONSHIPS BETWEEN INVERTEBRATE HABITAT PREFERENCE, STREAM FLOW AND DIEL TEMPERATURE FLUCTUATION IN AN ANTARCTIC MELTWATER STREAM.</t>
  </si>
  <si>
    <t>JOURNAL OF NEMATOLOGY</t>
  </si>
  <si>
    <t>[Simmons, B. L.; Wall, D. H.] Colorado State Univ, Nat Resource Ecol Lab, Ft Collins, CO 80523 USA; [Adams, B. J.] Brigham Young Univ, Dept Microbiol &amp; Mol Biol, Provo, UT 84602 USA; [McKnight, D. M.] Univ Colorado, Inst Arctic &amp; Alpine Res, Boulder, CO 80309 USA; [Wall, D. H.] Colorado State Univ, Dept Biol, Ft Collins, CO 80523 USA</t>
  </si>
  <si>
    <t>Colorado State University; Brigham Young University; University of Colorado System; University of Colorado Boulder; Colorado State University</t>
  </si>
  <si>
    <t>Wall, Diana H/F-5491-2011; Adams, Byron/C-3808-2009</t>
  </si>
  <si>
    <t>Adams, Byron/0000-0002-7815-3352</t>
  </si>
  <si>
    <t>SOC NEMATOLOGISTS</t>
  </si>
  <si>
    <t>MARCELINE</t>
  </si>
  <si>
    <t>PO BOX 311, MARCELINE, MO 64658 USA</t>
  </si>
  <si>
    <t>0022-300X</t>
  </si>
  <si>
    <t>J NEMATOL</t>
  </si>
  <si>
    <t>J. Nematol.</t>
  </si>
  <si>
    <t>647BI</t>
  </si>
  <si>
    <t>WOS:000281590300214</t>
  </si>
  <si>
    <t>de Tomasel, CM; Li, G; Adams, BJ; Adhikari, B; Wall, DH</t>
  </si>
  <si>
    <t>de Tomasel, Cecilia M.; Li, G.; Adams, B. J.; Adhikari, B.; Wall, D. H.</t>
  </si>
  <si>
    <t>ISOLATION AND CULTURE OF THE ANTARCTIC NEMATODE, PLECTUS MURRAYI UNDER LABORATORY CONDITIONS.</t>
  </si>
  <si>
    <t>[de Tomasel, Cecilia M.; Li, G.; Wall, D. H.] Colorado State Univ, Dept Biol, Ft Collins, CO 80523 USA; [de Tomasel, Cecilia M.; Li, G.; Wall, D. H.] Colorado State Univ, Nat Resource Ecol Lab, Ft Collins, CO 80523 USA; [Adams, B. J.; Adhikari, B.] Brigham Young Univ, Dept Biol, Provo, UT 84602 USA; [Adams, B. J.; Adhikari, B.] Brigham Young Univ, Evolutionary Ecol Labs, Provo, UT 84602 USA</t>
  </si>
  <si>
    <t>Colorado State University; Colorado State University; Brigham Young University; Brigham Young University</t>
  </si>
  <si>
    <t>Wall, Diana H/F-5491-2011; Adhikari, Bishwo N/E-8144-2013; Adams, Byron/C-3808-2009</t>
  </si>
  <si>
    <t>WOS:000281590300238</t>
  </si>
  <si>
    <t>Jezewski, W; Zdzitowiecki, K; Laskowski, Z</t>
  </si>
  <si>
    <t>Jezewski, Witold; Zdzitowiecki, Krzysztof; Laskowski, Zdzislaw</t>
  </si>
  <si>
    <t>DESCRIPTION OF A NEW DIGENEAN (ZOOGONIDAE) GENUS AND SPECIES FROM SUB-ANTARCTIC FISH PATAGONOTOTHEN TESSELLATA</t>
  </si>
  <si>
    <t>JOURNAL OF PARASITOLOGY</t>
  </si>
  <si>
    <t>N. SP DIGENEA</t>
  </si>
  <si>
    <t>Whitegonimus ozoufae n. gen., n. sp. (Digenea: Zoogonidae) is reported from the stomach of Patagonotothen tessellata in the harbor of Ushuaia in the Beagle Channel (Tierra del Fuego, Argentina) at a depth of 7-9 m. The female genital system structure indicates the new taxon belongs in the Subfamily Lepidophyllinae (Zoogonidae). None of the genera previously described is similar to the new genus. The most important taxonomic features are the spined tegument, lack of enlarged circumoral spines, gonads arranged in tandem, long caeca, vitelline follicles extending from the level of the ventral sucker to the posterior end of anterior testis, and a Y-shaped excretory vesicle. Only 3 genera, Overstreetia, Anarhichotrema, and Pseudopalaeorchis, have testes arranged in tandem, but they differ from the new genus in possessing enlarged circumoral spines, oral sucker size, esophagus length, length of caeca, vitellaria restricted to hindbody, the form of the ovary, and an I-shaped excretory vesicle.</t>
  </si>
  <si>
    <t>[Jezewski, Witold; Zdzitowiecki, Krzysztof; Laskowski, Zdzislaw] Polish Acad Sci, W Stefanski Inst Parasitol, PL-00818 Warsaw, Poland</t>
  </si>
  <si>
    <t>Polish Academy of Sciences</t>
  </si>
  <si>
    <t>Jezewski, W (corresponding author), Polish Acad Sci, W Stefanski Inst Parasitol, Twarda 51-55, PL-00818 Warsaw, Poland.</t>
  </si>
  <si>
    <t>jezw@twarda.pan.pl</t>
  </si>
  <si>
    <t>Laskowski, Zdzislaw/V-5682-2018</t>
  </si>
  <si>
    <t>Laskowski, Zdzislaw/0000-0001-8542-6307; Jezewski, Witold/0000-0002-1966-294X</t>
  </si>
  <si>
    <t>ALLEN PRESS INC</t>
  </si>
  <si>
    <t>LAWRENCE</t>
  </si>
  <si>
    <t>810 E 10TH ST, LAWRENCE, KS 66044 USA</t>
  </si>
  <si>
    <t>0022-3395</t>
  </si>
  <si>
    <t>1937-2345</t>
  </si>
  <si>
    <t>J PARASITOL</t>
  </si>
  <si>
    <t>J. Parasitol.</t>
  </si>
  <si>
    <t>10.1645/GE-2160.1</t>
  </si>
  <si>
    <t>Parasitology</t>
  </si>
  <si>
    <t>549QJ</t>
  </si>
  <si>
    <t>WOS:000274068400035</t>
  </si>
  <si>
    <t>Ryan, KG; Cowie, ROM; Liggins, E; McNaughtan, D; Martin, A; Davy, SK</t>
  </si>
  <si>
    <t>Ryan, Ken G.; Cowie, Rebecca O. M.; Liggins, Elizabeth; McNaughtan, Daniel; Martin, Andrew; Davy, Simon K.</t>
  </si>
  <si>
    <t>THE SHORT-TERM EFFECT OF IRRADIANCE ON THE PHOTOSYNTHETIC PROPERTIES OF ANTARCTIC FAST-ICE MICROALGAL COMMUNITIES1</t>
  </si>
  <si>
    <t>JOURNAL OF PHYCOLOGY</t>
  </si>
  <si>
    <t>Antarctic sea ice; E-k; PAM fluorometry; photoinhibition; rapid light curves; rETR(max); alpha; Theta(PSII)</t>
  </si>
  <si>
    <t>SEA-ICE; MCMURDO-SOUND; PRIMARY PRODUCTIVITY; ALGAL COMMUNITIES; PHOTOSYSTEM-II; D1 PROTEIN; PHOTOINHIBITION; PHOTOADAPTATION; PHOTOINACTIVATION; PHOTOPROTECTION</t>
  </si>
  <si>
    <t>Although sea-ice represents a harsh physicochemical environment with steep gradients in temperature, light, and salinity, diverse microbial communities are present within the ice matrix. We describe here the photosynthetic responses of sea-ice microalgae to varying irradiances. Rapid light curves (RLCs) were generated using pulse amplitude fluorometry and used to derive photosynthetic yield (Theta(PSII)), photosynthetic efficiency (alpha), and the irradiance (E-k) at which relative electron transport rate (rETR) saturates. Surface brine algae from near the surface and bottom-ice algae were exposed to a range of irradiances from 7 to 262 mu mol photons center dot m-2 center dot s-1. In surface brine algae, Theta(PSII) and alpha remained constant at all irradiances, and rETR(max) peaked at 151 mu mol photons center dot m-2 center dot s-1, indicating these algae are well acclimated to the irradiances to which they are normally exposed. In contrast, Theta(PSII), alpha, and rETR(max) in bottom-ice algae reduced when exposed to irradiances &gt; 26 mu mol photons center dot m-2 center dot s-1, indicating a high degree of shade acclimation. In addition, the previous light history had no significant effect on the photosynthetic capacity of bottom-ice algae whether cells were gradually exposed to target irradiances over a 12 h period or were exposed immediately (light shocked). These findings indicate that bottom-ice algae are photoinhibited in a dose-dependent manner, while surface brine algae tolerate higher irradiances. Our study shows that sea-ice algae are able to adjust to changes in irradiance rapidly, and this ability to acclimate may facilitate survival and subsequent long-term acclimation to the postmelt light regime of the Southern Ocean.</t>
  </si>
  <si>
    <t>[Ryan, Ken G.; Cowie, Rebecca O. M.; Liggins, Elizabeth; McNaughtan, Daniel; Martin, Andrew; Davy, Simon K.] Victoria Univ Wellington, Sch Biol Sci, Wellington 6012, New Zealand</t>
  </si>
  <si>
    <t>Victoria University Wellington</t>
  </si>
  <si>
    <t>Ryan, KG (corresponding author), Victoria Univ Wellington, Sch Biol Sci, POB 600, Wellington 6012, New Zealand.</t>
  </si>
  <si>
    <t>ken.ryan@vuw.ac.nz</t>
  </si>
  <si>
    <t>Martin, Andrew/F-5688-2013; Ryan, Ken/F-5652-2013; Liggins, Libby/K-2410-2013</t>
  </si>
  <si>
    <t>Martin, Andrew/0000-0001-8260-5529; Liggins, Libby/0000-0003-1143-2346; Davy, Simon/0000-0003-3584-5356; Ryan, Ken/0000-0001-7075-0112</t>
  </si>
  <si>
    <t>New Zealand Foundation for Research Science and Technology [VICX0706]; Victoria University of Wellington [26252]</t>
  </si>
  <si>
    <t>New Zealand Foundation for Research Science and Technology(New Zealand Foundation for Research, Science and Technology); Victoria University of Wellington</t>
  </si>
  <si>
    <t>We are grateful to the Latitudinal Gradient Project, Antarctica NZ, and especially Brian Staite and Shulamit Gordon for logistic support. The authors thank the New Zealand Foundation for Research Science and Technology contract no. VICX0706 and Victoria University of Wellington for URF grant no. 26252.</t>
  </si>
  <si>
    <t>0022-3646</t>
  </si>
  <si>
    <t>1529-8817</t>
  </si>
  <si>
    <t>J PHYCOL</t>
  </si>
  <si>
    <t>J. Phycol.</t>
  </si>
  <si>
    <t>10.1111/j.1529-8817.2009.00764.x</t>
  </si>
  <si>
    <t>533PV</t>
  </si>
  <si>
    <t>WOS:000272837600007</t>
  </si>
  <si>
    <t>Kanzow, T; Johnson, HL; Marshall, DP; Cunningham, SA; Hirschi, JJM; Mujahid, A; Bryden, HL; Johns, WE</t>
  </si>
  <si>
    <t>Kanzow, T.; Johnson, H. L.; Marshall, D. P.; Cunningham, S. A.; Hirschi, J. J. -M.; Mujahid, A.; Bryden, H. L.; Johns, W. E.</t>
  </si>
  <si>
    <t>Basinwide Integrated Volume Transports in an Eddy-Filled Ocean</t>
  </si>
  <si>
    <t>JOURNAL OF PHYSICAL OCEANOGRAPHY</t>
  </si>
  <si>
    <t>WESTERN BOUNDARY CURRENT; MERIDIONAL OVERTURNING CIRCULATION; ANTARCTIC CIRCUMPOLAR CURRENT; TROPICAL NORTH-ATLANTIC; GULF-STREAM; THERMOHALINE CIRCULATION; DRAKE PASSAGE; TIME SCALES; VARIABILITY; 26.5-DEGREES-N</t>
  </si>
  <si>
    <t>The temporal evolution of the strength of the Atlantic Meridional Overturning Circulation (AMOC) in the subtropical North Atlantic is affected by both remotely forced, basin-scale meridionally coherent, climate-relevant transport anomalies, such as changes in high-latitude deep water formation rates, and locally forced transport anomalies, such as eddies or Rossby waves, possibly associated with small meridional coherence scales, which can be considered as noise. The focus of this paper is on the extent to which local eddies and Rossby waves when impinging on the western boundary of the Atlantic affect the temporal variability of the AMOC at 26.5 degrees N. Continuous estimates of the AMOC at this latitude have been made since April 2004 by combining the Florida Current, Ekman, and midocean transports with the latter obtained from continuous density measurements between the coasts of the Bahamas and Morocco, representing, respectively, the western and eastern boundaries of the Atlantic at this latitude. Within 100 km of the western boundary there is a threefold decrease in sea surface height variability toward the boundary, observed in both dynamic heights from in situ density measurements and altimetric heights. As a consequence, the basinwide zonally integrated upper midocean transport shallower than 1000 m-as observed continuously between April 2004 and October 2006-varies by only 3.0 Sv (1 Sv = 10(6) m(3) s(-1)) RMS. Instead, upper midocean transports integrated from western boundary stations 16, 40, and 500 km offshore to the eastern boundary vary by 3.6, 6.0, and 10.7 Sv RMS, respectively. The reduction in eddy energy toward the western boundary is reproduced in a nonlinear reduced-gravity model suggesting that boundary-trapped waves may account for the observed decline in variability in the coastal zone because they provide a mechanism for the fast equatorward export of transport anomalies associated with eddies impinging on the western boundary. An analytical model of linear Rossby waves suggests a simple scaling for the reduction in thermocline thickness variability toward the boundary. Physically, the reduction in amplitude is understood as along-boundary pressure gradients accelerating the fluid and rapidly propagating pressure anomalies along the boundary. The results suggest that the local eddy field does not dominate upper midocean transport or AMOC variability at 26.5 degrees N on interannual to decadal time scales.</t>
  </si>
  <si>
    <t>[Kanzow, T.] Univ Kiel, Leibniz Inst Meereswissensch, D-24105 Kiel, Germany; [Kanzow, T.; Cunningham, S. A.; Hirschi, J. J. -M.; Mujahid, A.; Bryden, H. L.] Natl Oceanog Ctr, Ocean Observing &amp; Climate Res Grp, Southampton, Hants, England; [Johnson, H. L.] Univ Oxford, Dept Earth Sci, Oxford OX1 3PR, England; [Marshall, D. P.] Univ Oxford, Clarendon Lab, Oxford OX1 3PU, England; [Johns, W. E.] Univ Miami, Rosenstiel Sch Marine &amp; Atmospher Sci, Div Meteorol &amp; Phys Oceanog, Miami, FL 33149 USA</t>
  </si>
  <si>
    <t>University of Kiel; Helmholtz Association; GEOMAR Helmholtz Center for Ocean Research Kiel; NERC National Oceanography Centre; University of Oxford; University of Oxford; University of Miami</t>
  </si>
  <si>
    <t>Kanzow, T (corresponding author), Univ Kiel, Leibniz Inst Meereswissensch, Dusternbrooker Weg 20, D-24105 Kiel, Germany.</t>
  </si>
  <si>
    <t>tkanzow@ifm-geomar.de</t>
  </si>
  <si>
    <t>Hirschi, Joel/F-5631-2013; Marshall, David Philip/B-6767-2009; Mujahid, Aazani/AAI-4421-2020</t>
  </si>
  <si>
    <t>Hirschi, Joel/0000-0003-1481-3697; Marshall, David Philip/0000-0002-5199-6579; Mujahid, Aazani/0000-0002-8672-8021; Kanzow, Torsten/0000-0002-5786-3435; Bryden, Harry/0000-0002-8216-6359; Johnson, Helen/0000-0003-1873-2085</t>
  </si>
  <si>
    <t>NERC RAPID [NER/T/S/2002/00481]; NSF; NOAA Office of Climate Observations; Royal Society University; Directorate For Geosciences; Division Of Ocean Sciences [0728108] Funding Source: National Science Foundation; Natural Environment Research Council [NER/T/S/2002/00481, soc010007, NE/F00236X/1, NE/C509266/2] Funding Source: researchfish; NERC [NE/C509266/2, NE/F00236X/1, soc010007] Funding Source: UKRI</t>
  </si>
  <si>
    <t>NERC RAPID(UK Research &amp; Innovation (UKRI)Natural Environment Research Council (NERC)); NSF(National Science Foundation (NSF)); NOAA Office of Climate Observations(National Oceanic Atmospheric Admin (NOAA) - USA); Royal Society University(Royal Society);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</si>
  <si>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The authors thank the captains and crews of the Research Vessels Charles Darwin, Discovery, Ronald H. Brown, Knorr, Poseidon, and Seward Johnson, and the UKORS and RSMAS mooring teams. The mooring operations have been funded through NERC RAPID and NSF. The altimetric data used in this study have kindly been made available by AVISO(information online at http://www.aviso.oceanobs.com). The Florida Current cable data are made freely available by the Atlantic Oceanographic and Meteorological Laboratory (information online at www.aoml.noaa.gov/phod/floridacurrent/) and are funded by the NOAA Office of Climate Observations. The wind stress data were obtained from CERSAT, at IFREMER, Plouzane, France. We thank Darren Rayner (NOCS) for coordinating and planning the seagoing activities and leading the mooring data recovery. The competent help from Julie Collins and John Molina in processing the mooring data is highly appreciated. The OCCAM MOC time series has been made available to us by Bob Marsh. Two of the authors (TK, JJMH) were supported within the framework of the NERC-funded Rapid Climate Change Programme (Grant NER/ T/S/2002/00481). HLJ is funded by a Royal Society University research fellowship, for which she is grateful.</t>
  </si>
  <si>
    <t>0022-3670</t>
  </si>
  <si>
    <t>1520-0485</t>
  </si>
  <si>
    <t>J PHYS OCEANOGR</t>
  </si>
  <si>
    <t>J. Phys. Oceanogr.</t>
  </si>
  <si>
    <t>10.1175/2009JPO4185.1</t>
  </si>
  <si>
    <t>530XB</t>
  </si>
  <si>
    <t>Green Accepted, Green Submitted, Bronze</t>
  </si>
  <si>
    <t>WOS:000272624800003</t>
  </si>
  <si>
    <t>Tallberg, P; Lukkari, K; Räike, A; Lehtoranta, J; Leivuori, M</t>
  </si>
  <si>
    <t>Tallberg, Petra; Lukkari, Kaarina; Raike, Antti; Lehtoranta, Jouni; Leivuori, Mirja</t>
  </si>
  <si>
    <t>Applicability of a sequential P fractionation procedure to Si in sediment</t>
  </si>
  <si>
    <t>JOURNAL OF SOILS AND SEDIMENTS</t>
  </si>
  <si>
    <t>Fractionation; Oxygen; Phosphorus; Redox; Sediment; Silicon</t>
  </si>
  <si>
    <t>BIOGENIC SILICA; MARINE-SEDIMENTS; AMORPHOUS SILICA; DISSOLVED SUBSTANCES; COASTAL WATERS; SEA SEDIMENTS; PHOSPHORUS; ADSORPTION; FLUXES; POOLS</t>
  </si>
  <si>
    <t>A sequential phosphorus (P) fractionation procedure for sediments was applied to silicon (Si) to test its applicability. We wanted to know (1) whether it would be used in a cost-efficient way to study the finding of both elements, defining Si pools corresponding to the respective P pools, and in particular, (2) whether it could be shown that redox-sensitive processes affect Si mobility in sediment. A P fractionation method, which separates pore water and loosely adsorbed P (NaCl-P), redox-sensitive iron (Fe)- and manganese (Mn)-bound P (NaBD-P), P from oxides of aluminum (Al) and other nonreducible metals (NaOH-P), and apatite-P (HCl-P), was applied to Si. Biogenic Si, BSi (Na(2)CO(3) extraction with mineral correction), was also analyzed. Surface sediment samples from the Baltic Sea and samples of high and low BSi content were used. The study showed that (1) the first two extractions (NaCl and NaBD) in the P fractionation procedure can be successfully applied to Si, (2) a potentially redox-sensitive Si pool of the same size as the corresponding pool of P could be extracted, and (3) that it was not possible to separate the BSi fraction from the adsorbed Si pool using this methodology. Applying the first two extractions of the P fractionation procedure to Si provides information about the immediately available and redox-sensitive Si, but should be combined with a standard BSi extraction procedure. The immediately available pool of Si in sediment may be dependent on redox-sensitive processes, and the redox-sensitive pools of Si and P were of comparable size in the studied Baltic Sea sediments.</t>
  </si>
  <si>
    <t>[Tallberg, Petra] Univ Helsinki, Dept Appl Chem &amp; Microbiol, FIN-00014 Helsinki, Finland; [Lukkari, Kaarina; Raike, Antti; Lehtoranta, Jouni] Finnish Environm Inst, Ctr Marine Res, Helsinki 00251, Finland; [Leivuori, Mirja] Finnish Environm Inst Lab, Helsinki 00251, Finland</t>
  </si>
  <si>
    <t>University of Helsinki; Finnish Environment Institute; Finnish Environment Institute</t>
  </si>
  <si>
    <t>Tallberg, P (corresponding author), Univ Helsinki, Dept Appl Chem &amp; Microbiol, POB 27, FIN-00014 Helsinki, Finland.</t>
  </si>
  <si>
    <t>petra.tallberg@helsinki.fi</t>
  </si>
  <si>
    <t>Lehtoranta, Jouni/0000-0003-0853-7331</t>
  </si>
  <si>
    <t>Finnish Ministry of the Environment, Finnish Environment Institute, Finnish Institute of Marine Research; Academy of Finland</t>
  </si>
  <si>
    <t>Finnish Ministry of the Environment, Finnish Environment Institute, Finnish Institute of Marine Research; Academy of Finland(Research Council of Finland)</t>
  </si>
  <si>
    <t>Some of the BSi analyses were performed at the National Environment Research Institute in Denmark, courtesy of Daniel Conley. We gratefully acknowledge that the Antarctic sample was provided by Oliver Sachs, Alfred Wegener Institute fur Polar und Meeresforschung (AWI), Germany. We also thank Susanna Hietanen, University of Helsinki for the sand sample. Thanks are also due to the crews at R/S Aranda and R/S Muikku and to the laboratory personnel at the Finnish Institute of Marine Research, the Institute for Environmental Research at the University of Jyvaskyla, and Pirkanmaa Regional Environment Centre. The manuscript was considerably improved due to insightful comments by several anonymous reviewers. This study was part of the SEGUE consortium project within the Academy of Finland BIREME program. It was financed by the Finnish Ministry of the Environment, Finnish Environment Institute, Finnish Institute of Marine Research and by the Academy of Finland.</t>
  </si>
  <si>
    <t>SPRINGER HEIDELBERG</t>
  </si>
  <si>
    <t>HEIDELBERG</t>
  </si>
  <si>
    <t>TIERGARTENSTRASSE 17, D-69121 HEIDELBERG, GERMANY</t>
  </si>
  <si>
    <t>1439-0108</t>
  </si>
  <si>
    <t>J SOIL SEDIMENT</t>
  </si>
  <si>
    <t>J. Soils Sediments</t>
  </si>
  <si>
    <t>10.1007/s11368-009-0147-0</t>
  </si>
  <si>
    <t>Environmental Sciences; Soil Science</t>
  </si>
  <si>
    <t>Environmental Sciences &amp; Ecology; Agriculture</t>
  </si>
  <si>
    <t>517UL</t>
  </si>
  <si>
    <t>WOS:000271643900009</t>
  </si>
  <si>
    <t>Dunkley Jones, T; Bown, PR; Pearson, PN</t>
  </si>
  <si>
    <t>Dunkley Jones, Tom; Bown, Paul R.; Pearson, Paul N.</t>
  </si>
  <si>
    <t>EXCEPTIONALLY WELL PRESERVED UPPER EOCENE TO LOWER OLIGOCENE CALCAREOUS NANNOFOSSILS (PRYMNESIOPHYCEAE) FROM THE PANDE FORMATION (KILWA GROUP), TANZANIA</t>
  </si>
  <si>
    <t>JOURNAL OF SYSTEMATIC PALAEONTOLOGY</t>
  </si>
  <si>
    <t>coccolithophores; taxonomy; nannoplankton; Eocene; Oligocene; preservation</t>
  </si>
  <si>
    <t>CARBON-DIOXIDE CONCENTRATIONS; CRETACEOUS SEDIMENT CORES; COASTAL TANZANIA; INDIAN-OCEAN; ANTARCTIC GLACIATION; CRYPTIC SPECIATION; ATLANTIC-OCEAN; LIFE-CYCLE; PALEOGENE; NANNOPLANKTON</t>
  </si>
  <si>
    <t>The most well preserved and diverse upper Eocene to lower Oligocene assemblage of calcareous nannofossils (coccolithophores) known to date is described from the Pande Clays, Kilwa Group, Tanzania. The assemblage is exceptionally diverse, with a total of 115 species described herein, which significantly exceeds the current globally compiled nannofossil species diversity of 67 for the latest Eocene (NP19/20). The enhanced diversity observed in these sections is concentrated in the numerous Rhabdosphaeraceae (20 species), Syracosphaeraceae and holococcolith taxa (19 species) that are unknown from any other contemporaneous location. Scanning electron microscope (SEM) studies reveal exquisite preservation down to the sub-micron scale in many of these taxa, including the architecture of &lt;3 mu m holococcoliths and the details of grills and processes in other very small fragile taxa - a size class which is rarely preserved even in Recent sediments. A distinct assemblage of at least four specialist lower-photic zone taxa - three Gladiolithus species and Algirosphaera fabaceus - is present in these sediments. The occurrence of these highly specialised coccoliths in the Palaeogene sediments of Tanzania extends their previously known late Quaternary fossil record by tens of millions of years. The controls on the exquisite preservation of such a diverse nannofossil assemblage are difficult to determine but we speculate that a diverse open-ocean, oligotrophic coccolithophore assemblage was being rapidly buried and sealed within a clay-rich facies that is more characteristic of shelf-environments, a combination that, to date, makes the Palaeogene sediments of Tanzania unique. One new genus, Pocillithus, is described, consisting of very small spine-bearing muroliths that may be related to extant narrow-rimmed muroliths of uncertain affinity. Ten new species are described: Pocillithus spinulifer, Reticulofenestra macmillanii, Calcidiscus parvus, Syracosphaera monechiae, Syracosphaera raffiae, Blackites cutter, Blackites shafikii, Acanthoica backmanii, Orthozygus occultus and Orthozygus arcus.</t>
  </si>
  <si>
    <t>[Dunkley Jones, Tom; Bown, Paul R.] UCL, Dept Earth Sci, London WC1E 6BT, England; [Pearson, Paul N.] Cardiff Univ, Sch Earth Ocean &amp; Planetary Sci, Cardiff CF10 3YE, S Glam, Wales</t>
  </si>
  <si>
    <t>University of London; University College London; Cardiff University</t>
  </si>
  <si>
    <t>Dunkley Jones, T (corresponding author), UCL, Dept Earth Sci, Gower St, London WC1E 6BT, England.</t>
  </si>
  <si>
    <t>tom.dunkleyjones@ucl.ac.uk; p.bown@ucl.ac.uk; pearsonp@Cardiff.ac.uk</t>
  </si>
  <si>
    <t>Pearson, Paul/B-2276-2009; Dunkley Jones, Tom/A-8441-2008; Bown, Paul/C-5235-2011</t>
  </si>
  <si>
    <t>Pearson, Paul/0000-0003-4628-9818; Dunkley Jones, Tom/0000-0002-9518-8143; Bown, Paul/0000-0001-6777-4463</t>
  </si>
  <si>
    <t>Natural Environment Research Council [NE/C510508/1] Funding Source: researchfish</t>
  </si>
  <si>
    <t>Natural Environment Research Council(UK Research &amp; Innovation (UKRI)Natural Environment Research Council (NERC))</t>
  </si>
  <si>
    <t>TAYLOR &amp; FRANCIS LTD</t>
  </si>
  <si>
    <t>ABINGDON</t>
  </si>
  <si>
    <t>4 PARK SQUARE, MILTON PARK, ABINGDON OX14 4RN, OXON, ENGLAND</t>
  </si>
  <si>
    <t>1477-2019</t>
  </si>
  <si>
    <t>1478-0941</t>
  </si>
  <si>
    <t>J SYST PALAEONTOL</t>
  </si>
  <si>
    <t>J. Syst. Palaeontol.</t>
  </si>
  <si>
    <t>10.1017/S1477201909990010</t>
  </si>
  <si>
    <t>Evolutionary Biology; Paleontology</t>
  </si>
  <si>
    <t>530BE</t>
  </si>
  <si>
    <t>WOS:000272563100001</t>
  </si>
  <si>
    <t>d'Ovidio, F; Shuckburgh, E; Legras, B</t>
  </si>
  <si>
    <t>d'Ovidio, Francesco; Shuckburgh, Emily; Legras, Bernard</t>
  </si>
  <si>
    <t>Local Mixing Events in the Upper Troposphere and Lower Stratosphere. Part I: Detection with the Lyapunov Diffusivity</t>
  </si>
  <si>
    <t>JOURNAL OF THE ATMOSPHERIC SCIENCES</t>
  </si>
  <si>
    <t>LAGRANGIAN COHERENT STRUCTURES; ROSSBY-WAVE BREAKING; EDDY DIFFUSIVITY; SURFACE-OCEAN; TRANSPORT; VARIABILITY; TROPOPAUSE; ADVECTION; EXPONENTS; MANIFOLDS</t>
  </si>
  <si>
    <t>Anew diagnostic (the Lyapunov diffusivity'') is presented that has the ability to quantify isentropic mixing in diffusion units and detects local mixing events by describing latitude-longitude variability. It is a hybrid diagnostic, combining the tracer-based effective diffusivity with the particle-based Lyapunov exponent calculation. Isentropic mixing on the 350-K surface shows that there is significant longitudinal variation to the strength of mixing at the northern subtropical jet, with a strong mixing barrier over Asia and the western Pacific, a weaker mixing barrier over the western Atlantic, and active mixing regions at the jet exits over the eastern Pacific and Atlantic.</t>
  </si>
  <si>
    <t>[d'Ovidio, Francesco] Inst Syst Complexes Paris Ile France, F-75005 Paris, France; [d'Ovidio, Francesco; Legras, Bernard] Ecole Normale Super, Meteorol Dynam Lab, F-75231 Paris, France; [Shuckburgh, Emily] British Antarctic Survey, Cambridge CB3 0ET, England; [Legras, Bernard] CNRS, Paris, France</t>
  </si>
  <si>
    <t>Universite Paris Cite; Universite PSL; Ecole Normale Superieure (ENS); Sorbonne Universite; UK Research &amp; Innovation (UKRI); Natural Environment Research Council (NERC); NERC British Antarctic Survey; Centre National de la Recherche Scientifique (CNRS)</t>
  </si>
  <si>
    <t>d'Ovidio, F (corresponding author), Inst Syst Complexes Paris Ile France, 57-59 Rue Lhomond, F-75005 Paris, France.</t>
  </si>
  <si>
    <t>francesco.dovidio@locean-ipsl.upmc.fr</t>
  </si>
  <si>
    <t>d'Ovidio, Francesco/ABA-8461-2021; Legras, Bernard/HNI-8473-2023; Legras, Bernard/AAE-1352-2019</t>
  </si>
  <si>
    <t>d'Ovidio, Francesco/0000-0002-9664-7778; Shuckburgh, Emily/0000-0001-9206-3444; Legras, Bernard/0000-0002-3756-7794</t>
  </si>
  <si>
    <t>Natural Environment Research Council [bas0100028, bas010013] Funding Source: researchfish; NERC [bas0100028, bas010013] Funding Source: UKRI</t>
  </si>
  <si>
    <t>0022-4928</t>
  </si>
  <si>
    <t>1520-0469</t>
  </si>
  <si>
    <t>J ATMOS SCI</t>
  </si>
  <si>
    <t>J. Atmos. Sci.</t>
  </si>
  <si>
    <t>10.1175/2009JAS2982.1</t>
  </si>
  <si>
    <t>530UA</t>
  </si>
  <si>
    <t>hybrid, Green Submitted</t>
  </si>
  <si>
    <t>WOS:000272616600009</t>
  </si>
  <si>
    <t>Shuckburgh, E; d'Ovidio, F; Legras, B</t>
  </si>
  <si>
    <t>Shuckburgh, Emily; d'Ovidio, Francesco; Legras, Bernard</t>
  </si>
  <si>
    <t>Local Mixing Events in the Upper Troposphere and Lower Stratosphere. Part II: Seasonal and Interannual Variability</t>
  </si>
  <si>
    <t>ROSSBY-WAVE-BREAKING; NORTH-ATLANTIC OSCILLATION; TROPICAL UPPER TROPOSPHERE; SOUTHERN-HEMISPHERE; EFFECTIVE DIFFUSIVITY; ANNULAR MODES; SUBTROPICAL TROPOPAUSE; CLIMATE VARIABILITY; SUMMER MONSOON; ASIAN MONSOON</t>
  </si>
  <si>
    <t>The Lyapunov diffusivity is used to investigate local isentropic mixing events in the upper troposphere lower stratosphere (UTLS) region. The diagnostic highlights the seasonal cycle of the longitudinally varying mixing properties, in particular those associated with the monsoon circulations and the westerly ducts in the subtropics. The results are broadly consistent with studies of Rossby wave-breaking frequencies. The mixing structure is shown to be modulated by modes of atmospheric variability. El Nino-Southern Oscillation (ENSO) is found to strongly influence the mixing structure throughout the tropics and subtropics. The subtropical jet is associated with longitudinal bands of mixing minima (isentropic mixing barriers) separated by synoptic-scale regions of strong mixing activity. The greatest ENSO modulation in December-February is confined to the Pacific sector, where the barriers associated with the subtropical jets extend farther into the eastern Pacific, and in the western Pacific a barrier is found at the equator during the positive phase. During June-August, the influence is seen to extend beyond the Pacific region, with the barrier at the subtropical jet in the Southern Hemisphere increasing in strength at all longitudes and with an increase in strength (and isolation of) monsoon-related mixing over Asia and North America. The local influence of the North Atlantic Oscillation in wintertime is investigated. During the positive phase, a double-barrier structure is associated with the subtropical jet, the northern branch crosses the Atlantic toward Scandinavia, and the southern branch tends toward North Africa. The Antarctic Oscillation is shown to influence whether the subvortex region is isolated from midlatitudes.</t>
  </si>
  <si>
    <t>[Shuckburgh, Emily] British Antarctic Survey, Cambridge CB3 0ET, England; [d'Ovidio, Francesco; Legras, Bernard] Ecole Normale Super, Meteorol Dynam Lab, F-75231 Paris, France; [d'Ovidio, Francesco] ISC PIF, Paris, France; [Legras, Bernard] CNRS, Paris, France</t>
  </si>
  <si>
    <t>UK Research &amp; Innovation (UKRI); Natural Environment Research Council (NERC); NERC British Antarctic Survey; Universite PSL; Ecole Normale Superieure (ENS); Sorbonne Universite; Universite Paris Cite; Centre National de la Recherche Scientifique (CNRS)</t>
  </si>
  <si>
    <t>Shuckburgh, E (corresponding author), British Antarctic Survey, Madingley Rd, Cambridge CB3 0ET, England.</t>
  </si>
  <si>
    <t>emsh@bas.ac.uk</t>
  </si>
  <si>
    <t>d'Ovidio, Francesco/ABA-8461-2021; Legras, Bernard/AAE-1352-2019; Legras, Bernard/HNI-8473-2023</t>
  </si>
  <si>
    <t>d'Ovidio, Francesco/0000-0002-9664-7778; Legras, Bernard/0000-0002-3756-7794; Shuckburgh, Emily/0000-0001-9206-3444</t>
  </si>
  <si>
    <t>Marie-Curie fellowship [024717-DEMETRA]; NERC postdoctoral fellowship; EU [505390GOCECT-2004]; Natural Environment Research Council [bas0100028] Funding Source: researchfish; NERC [bas0100028] Funding Source: UKRI</t>
  </si>
  <si>
    <t>Marie-Curie fellowship(European Union (EU)); NERC postdoctoral fellowship(UK Research &amp; Innovation (UKRI)Natural Environment Research Council (NERC)); EU(European Union (EU)); Natural Environment Research Council(UK Research &amp; Innovation (UKRI)Natural Environment Research Council (NERC)); NERC(UK Research &amp; Innovation (UKRI)Natural Environment Research Council (NERC))</t>
  </si>
  <si>
    <t>F. d'O. has been supported during this research by the Marie-Curie fellowship (024717-DEMETRA). EFS is supported by a NERC postdoctoral fellowship. Wealso acknowledge the support of the EU integrated project SCOUT (Contract 505390GOCECT-2004).</t>
  </si>
  <si>
    <t>10.1175/2009JAS2983.1</t>
  </si>
  <si>
    <t>WOS:000272616600010</t>
  </si>
  <si>
    <t>Choi, BG; Park, CG; Ahn, I; Lee, JI</t>
  </si>
  <si>
    <t>Choi, Byeon-Gak; Park, Chang Gun; Ahn, Insoo; Lee, Jong Ik</t>
  </si>
  <si>
    <t>Classification and petrological and geochemical characteristics of Antarctic meteorites found by 1st, 2nd and 3rd KOREAMET</t>
  </si>
  <si>
    <t>JOURNAL OF THE GEOLOGICAL SOCIETY OF KOREA</t>
  </si>
  <si>
    <t>Korean</t>
  </si>
  <si>
    <t>meteorites; classification of meteorites; chondrites; eucrite; pallasite</t>
  </si>
  <si>
    <t>OXYGEN-ISOTOPE; CHONDRITES; ACAPULCOITES; LODRANITES; EUCRITES</t>
  </si>
  <si>
    <t>Using petrological characteristics and oxygen isotopic compositions, we classified 29 Antarctic meteorites found in blue ice fields near Thiel Mountains, West Antarctica by three Korea Expedition for Antarctic Meteorites (KOREAMET) programs. Among them 20 meteorites are ordinary chondrites, 11 H-group and 9 L-group without LL and all of them are equilibrated having petrological type &gt;= 4. Two CV3 and two CM2 chondrites were found: both CV and CM chondrites are possibly pairs since two meteorites in each group were not only found at very close locations but also have very similar petrological characteristics. Two CV3 chondrites, TIL 07003 and TIL 07007, have elongated chondrules, CAIs, and AOIs. The CM2 chondrites, TIL 07008 and TIL 08007, experienced heavy aqueous alteration that changed most of primary phases into low temperature secondary minerals. One enstatite chondrite, TIL 07009 is heavily altered by terrestrial weathering. No clear chondrule texture survived by thermal metamorphism; it contains ferroan alabandite, thus classified as EL6. TIL 07012 has petrological and oxygen isotopic characteristics of acapulcoite-lodranite clan. The meteorite is heterogenous in mineralogy but contains abundant plagioclase, thus assigned as acapulcoite. TIL 07014 is monomict breccia of basaltic and gabbroic eucrites. Two pallasites, TIL 07016 and TIL 08004 are similar with Thiel Mountains pallasite in texture and siderophile element compositions, thus likely they are pairs.</t>
  </si>
  <si>
    <t>[Choi, Byeon-Gak; Park, Chang Gun; Ahn, Insoo] Seoul Natl Univ, Dept Earth Sci Educ, Seoul, South Korea; [Ahn, Insoo; Lee, Jong Ik] Korea Polar Res Inst, Incheon 406840, South Korea</t>
  </si>
  <si>
    <t>Seoul National University (SNU); Korea Polar Research Institute (KOPRI)</t>
  </si>
  <si>
    <t>Choi, BG (corresponding author), Seoul Natl Univ, Dept Earth Sci Educ, Seoul, South Korea.</t>
  </si>
  <si>
    <t>bchoi@snu.ac.kr</t>
  </si>
  <si>
    <t>GEOLOGICAL SOC KOREA</t>
  </si>
  <si>
    <t>SEOUL</t>
  </si>
  <si>
    <t>KOREA SCIENCE &amp; TECHNOLOGY CTR, RM 813, 7 GIL 22, TEHERAN- RO, GANGNAM-GUNA, SEOUL, 06130, SOUTH KOREA</t>
  </si>
  <si>
    <t>0435-4036</t>
  </si>
  <si>
    <t>2288-7377</t>
  </si>
  <si>
    <t>J GEOL SOC KOREA</t>
  </si>
  <si>
    <t>J. Geol. Soc. Korea</t>
  </si>
  <si>
    <t>VH7ER</t>
  </si>
  <si>
    <t>WOS:000453992300002</t>
  </si>
  <si>
    <t>Lee, JI</t>
  </si>
  <si>
    <t>Lee, J. I.</t>
  </si>
  <si>
    <t>2006 - 2008 Korea Expedition for Antarctic Meteorites (KOREAMET)</t>
  </si>
  <si>
    <t>Antarctic meteorites; concentration mechanism; blue ice field; expedition for meteorites; Thiel Mountains</t>
  </si>
  <si>
    <t>About 40,000 meteorite specimens have been recovered from Antarctica since the mid 1970's by the government-supported expedition parties. USA, Japan, Italy and China are continuously operating expedition parties, and Korea has operated since 2006. During 2006-2008 austral summer seasons, three Korea Expedition for Antarctic Meteorites (KOREAMET) recovered 29 meteorites at blue ice fields of Thiel Mountains. The government-funded or-supported institutions are systematically controlling Antarctic meteorites for the research. They should classify the meteorites by recommended scheme, and distribute to researchers through proposal evaluation. Korea Polar Research Institute will distribute the meteorites from 2010. In this review, concentration mechanisms of Antarctic meteorites and expeditions for meteorites by the other nations are briefly reviewed. The results of the three KOREAMET and future plans are reported.</t>
  </si>
  <si>
    <t>[Lee, J. I.] KORDI, Korea Polar Res Inst, Div Polar Earth Syst Res, Incheon 406840, South Korea</t>
  </si>
  <si>
    <t>Korea Institute of Ocean Science &amp; Technology (KIOST); Korea Polar Research Institute (KOPRI)</t>
  </si>
  <si>
    <t>Lee, JI (corresponding author), KORDI, Korea Polar Res Inst, Div Polar Earth Syst Res, Incheon 406840, South Korea.</t>
  </si>
  <si>
    <t>jilee@kopri.re.kr</t>
  </si>
  <si>
    <t>WOS:000453992300005</t>
  </si>
  <si>
    <t>Barnes, DKA; Rawlinson, KA</t>
  </si>
  <si>
    <t>Barnes, David K. A.; Rawlinson, Kate A.</t>
  </si>
  <si>
    <t>Traditional coastal invertebrate fisheries in south-western Madagascar</t>
  </si>
  <si>
    <t>JOURNAL OF THE MARINE BIOLOGICAL ASSOCIATION OF THE UNITED KINGDOM</t>
  </si>
  <si>
    <t>Chicoreus ramosus; Fasciolaria trapezium; marine invertebrates; traditional fishery; Madagascar</t>
  </si>
  <si>
    <t>CORAL-REEFS</t>
  </si>
  <si>
    <t>The identification of key resource users and patterns of depletion alongside ecological data are presented for a small-scale traditional invertebrate fishery in south-western Madagascar. Men, women and children undertake the fishery in the Anakao region at different phases of the tide and for different purposes. invertebrate harvest data from June to September 200 estimated that more than 34 taxa were caught and were dominated by holothurians destined for export and molluscs for local consumption. Crustacea formed a small component of the fishery despite a high diversity and abundance of many potentially edible species. Although there was slight spatial variation in number of species caught and their relative importance to the fishery, Chicoreus ramosus, Fasciolaria trapezium and Octopus vulgaris were generally most heavily targeted and were amongst the most abundant in the catch. There were several indications Of over-exploitation of invertebrate stocks, including the absence of many large bodied species, low abundance of high yield species, greater catch effort needed for high yield taxa, and higher diversity of targeted species (including many taxa) at sites of higher human habitation.</t>
  </si>
  <si>
    <t>[Rawlinson, Kate A.] Smithsonian Marine Stn, Ft Pierce, FL 34949 USA; [Barnes, David K. A.] British Antarctic Survey, NERC, Cambridge CB3 0ET, England; [Barnes, David K. A.; Rawlinson, Kate A.] Frontier, London EC2A 3QP, England</t>
  </si>
  <si>
    <t>Smithsonian Institution; Smithsonian National Museum of Natural History; UK Research &amp; Innovation (UKRI); Natural Environment Research Council (NERC); NERC British Antarctic Survey</t>
  </si>
  <si>
    <t>Rawlinson, KA (corresponding author), Smithsonian Marine Stn, 701 Seaway Dr, Ft Pierce, FL 34949 USA.</t>
  </si>
  <si>
    <t>rawlinsonk@si.edu</t>
  </si>
  <si>
    <t>Rawlinson, Kate/0000-0001-8297-8405</t>
  </si>
  <si>
    <t>0025-3154</t>
  </si>
  <si>
    <t>1469-7769</t>
  </si>
  <si>
    <t>J MAR BIOL ASSOC UK</t>
  </si>
  <si>
    <t>J. Mar. Biol. Assoc. U.K.</t>
  </si>
  <si>
    <t>10.1017/S0025315409000113</t>
  </si>
  <si>
    <t>547QL</t>
  </si>
  <si>
    <t>WOS:000273904100008</t>
  </si>
  <si>
    <t>Bertolino, M; Calcinai, B; Pansini, M</t>
  </si>
  <si>
    <t>Bertolino, Marco; Calcinai, B.; Pansini, M.</t>
  </si>
  <si>
    <t>Two new species of Poecilosclerida (Porifera: Demospongiae) from Terra Nova Bay (Antarctic Sea)</t>
  </si>
  <si>
    <t>Porifera; Demospongiae; Crella; Mycale; Antarctica; Ross Sea; new species</t>
  </si>
  <si>
    <t>SPONGES</t>
  </si>
  <si>
    <t>Two new species of Poecilosclerida Crella (Crella) aurantiaca sp. nov. (Crellidae) and Mycale (Aegogropila) denticulata sp. nov. (Mycalidae) are described on the basis of material collected during the XX Italian Expedition (2004-2005) in Antarctica. Crella (Crella) aurantiaca sp. nov. is based on presence of acanthostyles of two size-categories. Mycale (Aegogropila) denticulata sp. nov. is characterized by the presence of palmate anisochelae and styles.</t>
  </si>
  <si>
    <t>[Bertolino, Marco; Calcinai, B.] Univ Politecn Marche, Dipartimento Sci Mare, I-60131 Ancona, Italy; [Pansini, M.] Univ Genoa, Dipartimento Studio Terr &amp; Sue Risorse, I-16132 Genoa, Italy</t>
  </si>
  <si>
    <t>Marche Polytechnic University; University of Genoa</t>
  </si>
  <si>
    <t>Calcinai, B (corresponding author), Univ Politecn Marche, Dipartimento Sci Mare, Via Brecce Bianche, I-60131 Ancona, Italy.</t>
  </si>
  <si>
    <t>b.calcinai@univpm.it</t>
  </si>
  <si>
    <t>BERTOLINO, Marco/0000-0003-3233-303X</t>
  </si>
  <si>
    <t>10.1017/S0025315409000915</t>
  </si>
  <si>
    <t>WOS:000273904100017</t>
  </si>
  <si>
    <t>Majewski, W; Anderson, JB</t>
  </si>
  <si>
    <t>Majewski, Wojciech; Anderson, John B.</t>
  </si>
  <si>
    <t>Holocene foraminiferal assemblages from Firth of Tay, Antarctic Peninsula: Paleoclimate implications</t>
  </si>
  <si>
    <t>MARINE MICROPALEONTOLOGY</t>
  </si>
  <si>
    <t>benthic foraminifera; climate change; West Antarctica</t>
  </si>
  <si>
    <t>KING-GEORGE-ISLAND; SOUTH SHETLAND ISLANDS; WEDDELL SEA; BENTHIC FORAMINIFERA; MCMURDO SOUND; ICE SHELF; CACO3 DISSOLUTION; PALMER-DEEP; ROSS-ISLAND; ECOLOGY</t>
  </si>
  <si>
    <t>The 77 m sediment core from Firth of Tay provides complete record of glacial retreat and Holocene climate change on the Weddell Sea side of the Antarctic Peninsula that began similar to 9400 yr BP. Benthic foraminiferal data indicate significant environmental changes as recorded at similar to 600 m water depth at the drill site. Three foraminiferal assemblages (FAs): Globocassidulina spp.-Fursenkoina fusiformis FA, Miliammina arenacea FA, and Paratrochammina bartrami-Portatrochammina antarctica FA reflect increasingly glacier-distal conditions. They started with most glacier-proximal conditions that lasted until similar to 8800 yr BP, which is indicated by Cribroelphidium cf. webbi, and continued with elevated input of coarse glacial sediment until similar to 7750 yr BP. The Mid-Holocene Climatic Optimum between 7750 and 6000 yr BP appears to be the time of highest primary production, which led to higher corrosiveness of bottom waters. and biased species composition of the M. arenacea FA. It was terminated by minor cooling. The Neoglacial, that took place after similar to 3500 yr BP, is marked by an increase in A bartrami and P. antarctica, the major constituents of the P. bartrami-P. antarctica FA. This FA became periodically dominant after similar to 900 yr BP indicating increasingly glacier-distal conditions due to cooling coinciding with increasing aridity, rising altitude of the glacial equilibrium line, and less glacial influence on marine biota. Episodic high-abundances of a fourth foraminiferal assemblage (Globocassidulina biora FA) that occurs practically throughout the core is difficult to interpret explicitly. Although there are some concerns if G. biora FA represents in situ fauna, it appears to be an opportunistic fauna that dominated during periods of more glacial sediment input and sediment remobilization leading to better carbonate preservation. (C) 2009 Elsevier B.V. All rights reserved.</t>
  </si>
  <si>
    <t>[Majewski, Wojciech] Polish Acad Sci, Inst Paleobiol, PL-00818 Warsaw, Poland; [Anderson, John B.] Rice Univ, Dept Earth Sci, Houston, TX 77251 USA</t>
  </si>
  <si>
    <t>Polish Academy of Sciences; Institute of Paleobiology of the Polish Academy of Sciences; Rice University</t>
  </si>
  <si>
    <t>Majewski, W (corresponding author), Polish Acad Sci, Inst Paleobiol, Twarda 51-55, PL-00818 Warsaw, Poland.</t>
  </si>
  <si>
    <t>wmaj@twarda.pan.pl; johna@rice.edu</t>
  </si>
  <si>
    <t>Anderson, John/B-1011-2012; Majewski, Wojciech/D-9255-2017</t>
  </si>
  <si>
    <t>Majewski, Wojciech/0000-0002-5407-1782</t>
  </si>
  <si>
    <t>National Science Foundation Office of Polar Programs [0338137]; Polish Ministry of Science and Higher Education [N N307 115135]; Office of Polar Programs (OPP); Directorate For Geosciences [0338137] Funding Source: National Science Foundation; Office of Polar Programs (OPP); Directorate For Geosciences [0739751] Funding Source: National Science Foundation</t>
  </si>
  <si>
    <t>National Science Foundation Office of Polar Programs(National Science Foundation (NSF)NSF - Directorate for Geosciences (GEO)); Polish Ministry of Science and Higher Education(Ministry of Science and Higher Education, Poland); Office of Polar Programs (OPP); Directorate For Geosciences(National Science Foundation (NSF)NSF - Directorate for Geosciences (GEO)); Office of Polar Programs (OPP); Directorate For Geosciences(National Science Foundation (NSF)NSF - Directorate for Geosciences (GEO))</t>
  </si>
  <si>
    <t>This study was supported by National Science Foundation Office of Polar Programs (grant number 0338137) and a grant of Polish Ministry of Science and Higher Education N N307 115135. Gratitude is extended to the crew and scientific party of the RV/IB Nathaniel B. Palmer from the NBP0602A SHALDRIL cruise and NBP0703 cruise. We would also like to thank the Florida State University Antarctic Research Facility curatorial staff for their assistance, as well as Scott Ishman and an anonymous reviewer for useful suggestions for improvement to this manuscript.</t>
  </si>
  <si>
    <t>0377-8398</t>
  </si>
  <si>
    <t>1872-6186</t>
  </si>
  <si>
    <t>MAR MICROPALEONTOL</t>
  </si>
  <si>
    <t>Mar. Micropaleontol.</t>
  </si>
  <si>
    <t>10.1016/j.marmicro.2009.08.003</t>
  </si>
  <si>
    <t>Paleontology</t>
  </si>
  <si>
    <t>530EW</t>
  </si>
  <si>
    <t>WOS:000272572800001</t>
  </si>
  <si>
    <t>Eldrett, JS; Harding, IC</t>
  </si>
  <si>
    <t>Eldrett, James S.; Harding, Ian C.</t>
  </si>
  <si>
    <t>Palynological analyses of Eocene to Oligocene sediments from DSDP Site 338, Outer Voring Plateau</t>
  </si>
  <si>
    <t>palynology; Eocene-Oligocene; Voring Plateau; Norwegian-Greenland Sea; palaeoenvironment</t>
  </si>
  <si>
    <t>DINOFLAGELLATE CYST STRATIGRAPHY; ANTARCTIC GLACIATION; ATMOSPHERIC CO2; NORWEGIAN SEA; ARCTIC-OCEAN; GREENLAND; PALEOGENE; NORTH; TRANSITION; BASIN</t>
  </si>
  <si>
    <t>Against the background of the profound global climatic shift from greenhouse to icehouse conditions during the Eocene-Oligocene transition, major geographic and oceanographic changes were taking place in the Norwegian-Greenland Sea region. The Voring Plateau was a prominent structural feature which influenced the evolution of water mass circulation in the Nordic seas, and we present detailed palaeoenvironmental reconstructions of this structure. New palynological results suggest that shallow water inner-neritic environments were developed across parts of the Voring Plateau during early Eocene times, with terrestrial and brackish water palynomorphs indicating that both basement highs to the north, and the crestal part of the Voring Escarpment, may have been emergent. A transition from marginal-marine to open marine conditions occurred around 44 Ma ago, with the complete subsidence of the Voting Plateau below sea level, facilitating inter-basinal surface water circulation and promoted a significant increase in photic zone fertility. Carbon sequestration associated with such enhanced productivity in the late Eocene Nordic seas may have contributed to declining Cenozoic atmospheric carbon dioxide levels, thence to declining global temperatures and the development of limited Northern Hemisphere continental ice on Greenland in the latest Eocene. (C) 2009 Elsevier B.V. All rights reserved.</t>
  </si>
  <si>
    <t>[Eldrett, James S.] Shell UK Ltd, Aberdeen AB12 3FY, Scotland; [Harding, Ian C.] Univ Southampton, Southampton Oceanog Ctr, Sch Ocean &amp; Earth Sci, Southampton SO14 3ZH, Hants, England</t>
  </si>
  <si>
    <t>Royal Dutch Shell; University of Southampton; NERC National Oceanography Centre</t>
  </si>
  <si>
    <t>Eldrett, JS (corresponding author), Shell UK Ltd, 1 Altens Farm Rd, Aberdeen AB12 3FY, Scotland.</t>
  </si>
  <si>
    <t>james.eldrett@shell.com; ich@noc.soton.ac.uk</t>
  </si>
  <si>
    <t>Harding, Ian C/K-3320-2012</t>
  </si>
  <si>
    <t>Eldrett, James/0000-0001-5196-3112; Harding, Ian/0000-0003-4281-0581</t>
  </si>
  <si>
    <t>U.S. National Science Foundation (NSF); American Association of Stratigraphic Palynologists (AASP); The Geological Society of London; The Micropalaeontological Society (TMS); Natural Environment Research Council (NERC)</t>
  </si>
  <si>
    <t>U.S. National Science Foundation (NSF)(National Science Foundation (NSF)); American Association of Stratigraphic Palynologists (AASP); The Geological Society of London; The Micropalaeontological Society (TMS); Natural Environment Research Council (NERC)(UK Research &amp; Innovation (UKRI)Natural Environment Research Council (NERC))</t>
  </si>
  <si>
    <t>This research used samples provided by the Ocean Drilling Program (ODP). ODP was sponsored by the U.S. National Science Foundation (NSF) and participating countries under management of joint Oceanographic Institutions (JOI), Inc.. We also thank S. Akbari for palynological processing and to the manuscript reviewers Prof Henk Brinkuis (Utrecht University) and Prof Claus Heilmann-Clausen for their helpful suggestions, which have greatly improved the final manuscript.; We also thank the American Association of Stratigraphic Palynologists (AASP), The Geological Society of London, The Micropalaeontological Society (TMS) and the Natural Environment Research Council (NERC) for funding this research.</t>
  </si>
  <si>
    <t>10.1016/j.marmicro.2009.10.004</t>
  </si>
  <si>
    <t>WOS:000272572800008</t>
  </si>
  <si>
    <t>Benoit, JB; Lopez-Martinez, G; Teets, NM; Phillips, SA; Denlinger, DL</t>
  </si>
  <si>
    <t>Benoit, J. B.; Lopez-Martinez, G.; Teets, N. M.; Phillips, S. A.; Denlinger, D. L.</t>
  </si>
  <si>
    <t>Responses of the bed bug, Cimex lectularius, to temperature extremes and dehydration: levels of tolerance, rapid cold hardening and expression of heat shock proteins</t>
  </si>
  <si>
    <t>MEDICAL AND VETERINARY ENTOMOLOGY</t>
  </si>
  <si>
    <t>Bed bug; cold; dehydration; heat; heat shock proteins</t>
  </si>
  <si>
    <t>FLESH FLY; SARCOPHAGA-CRASSIPALPIS; WATER CONSERVATION; DIAPAUSING ADULTS; ANTARCTIC MIDGE; PUPAL DIAPAUSE; DESICCATION; STRESS; RESISTANCE; HARDINESS</t>
  </si>
  <si>
    <t>This study of the bed bug, Cimex lectularius, examines tolerance of adult females to extremes in temperature and loss of body water. Although the supercooling point (SCP) of the bed bugs was approximately -20 degrees C, all were killed by a direct 1 h exposure to -16 degrees C. Thus, this species cannot tolerate freezing and is killed at temperatures well above its SCP. Neither cold acclimation at 4 degrees C for 2 weeks nor dehydration (15% loss of water content) enhanced cold tolerance. However, bed bugs have the capacity for rapid cold hardening, i.e. a 1-h exposure to 0 degrees C improved their subsequent tolerance of -14 and -16 degrees C. In response to heat stress, fewer than 20% of the bugs survived a 1-h exposure to 46 degrees C, and nearly all were killed at 48 degrees C. Dehydration, heat acclimation at 30 degrees C for 2 weeks and rapid heat hardening at 37 degrees C for 1 h all failed to improve heat tolerance. Expression of the mRNAs encoding two heat shock proteins (Hsps), Hsp70 and Hsp90, was elevated in response to heat stress, cold stress and during dehydration and rehydration. The response of Hsp90 was more pronounced than that of Hsp70 during dehydration and rehydration. Our results define the tolerance limits for bed bugs to these commonly encountered stresses of temperature and low humidity and indicate a role for Hsps in responding to these stresses.</t>
  </si>
  <si>
    <t>[Benoit, J. B.; Lopez-Martinez, G.; Teets, N. M.; Phillips, S. A.; Denlinger, D. L.] Ohio State Univ, Dept Entomol, Columbus, OH 43210 USA</t>
  </si>
  <si>
    <t>University System of Ohio; Ohio State University</t>
  </si>
  <si>
    <t>Benoit, JB (corresponding author), Ohio State Univ, Dept Entomol, 318 W 12th Ave, Columbus, OH 43210 USA.</t>
  </si>
  <si>
    <t>benoit.8@osu.edu</t>
  </si>
  <si>
    <t>Lopez-Martinez, Giancarlo/D-1718-2011; Teets, Nicholas/IQT-5328-2023; Lopez-Martinez, Giancarlo/AAE-8134-2020; Teets, Nicholas/H-7386-2013</t>
  </si>
  <si>
    <t>Lopez-Martinez, Giancarlo/0000-0002-7937-5002; Lopez-Martinez, Giancarlo/0000-0002-7937-5002; Teets, Nicholas/0000-0003-0963-7457</t>
  </si>
  <si>
    <t>National Science Foundation [IOB-0416720]</t>
  </si>
  <si>
    <t>We thank George Keeney for providing the bed bugs used to start our colony. Funding was provided in part by National Science Foundation Grant IOB-0416720.</t>
  </si>
  <si>
    <t>0269-283X</t>
  </si>
  <si>
    <t>1365-2915</t>
  </si>
  <si>
    <t>MED VET ENTOMOL</t>
  </si>
  <si>
    <t>Med. Vet. Entomol.</t>
  </si>
  <si>
    <t>10.1111/j.1365-2915.2009.00832.x</t>
  </si>
  <si>
    <t>Entomology; Veterinary Sciences</t>
  </si>
  <si>
    <t>522CG</t>
  </si>
  <si>
    <t>WOS:000271974700014</t>
  </si>
  <si>
    <t>Bulat, SA; Alekhina, IA; Lipenkov, VY; Lukin, VV; Marie, D; Petit, JR</t>
  </si>
  <si>
    <t>Bulat, S. A.; Alekhina, I. A.; Lipenkov, V. Ya.; Lukin, V. V.; Marie, D.; Petit, J. R.</t>
  </si>
  <si>
    <t>Cell concentrations of microorganisms in glacial and lake ice of the Vostok ice core, East Antarctica</t>
  </si>
  <si>
    <t>MICROBIOLOGY</t>
  </si>
  <si>
    <t>[Bulat, S. A.; Alekhina, I. A.] Russian Acad Sci, Konstantinov Petersburg Nucl Phys Inst, Gatchina 188300, Leningrad Oblas, Russia; [Marie, D.] CNRS, Biol Stn, F-29211 Roscoff, France; [Lipenkov, V. Ya.; Lukin, V. V.] Arctic &amp; Antarctic Res Inst, St Petersburg 199397, Russia; [Petit, J. R.] CNRS, Lab Glaciol &amp; Geophys Environm, Grenoble, France</t>
  </si>
  <si>
    <t>National Research Centre - Kurchatov Institute; Petersburg Nuclear Physics Institute; Russian Academy of Sciences; Centre National de la Recherche Scientifique (CNRS); Arctic &amp; Antarctic Research Institute; Communaute Universite Grenoble Alpes; Universite Grenoble Alpes (UGA); Centre National de la Recherche Scientifique (CNRS)</t>
  </si>
  <si>
    <t>Bulat, SA (corresponding author), Russian Acad Sci, Konstantinov Petersburg Nucl Phys Inst, Gatchina 188300, Leningrad Oblas, Russia.</t>
  </si>
  <si>
    <t>bulat@omrb.pnpi.spb.ru</t>
  </si>
  <si>
    <t>Alekhina, Irina/L-2163-2016; Lipenkov, Vladimir/Q-8262-2016; Lukin, Valeriy/N-1147-2015</t>
  </si>
  <si>
    <t>Alekhina, Irina/0000-0001-9820-8675; Lipenkov, Vladimir/0000-0003-4221-5440; Bulat, Sergey/0000-0002-2574-882X; Lukin, Valeriy/0000-0003-1726-7361</t>
  </si>
  <si>
    <t>Russian Foundation for Basic Research [05-05-66806-NCNIL_a, ANR-07-Blan-0223-Lac Vostok]</t>
  </si>
  <si>
    <t>Russian Foundation for Basic Research(Russian Foundation for Basic Research (RFBR)Spanish Government)</t>
  </si>
  <si>
    <t>The work was supported by the Russian Foundation for Basic Research, project no. 05-05-66806-NCNIL_a (S.A. Bulat), and grant ANR-07-Blan-0223-Lac Vostok (J.R. Petit).</t>
  </si>
  <si>
    <t>0026-2617</t>
  </si>
  <si>
    <t>1608-3237</t>
  </si>
  <si>
    <t>MICROBIOLOGY+</t>
  </si>
  <si>
    <t>10.1134/S0026261709060216</t>
  </si>
  <si>
    <t>528SB</t>
  </si>
  <si>
    <t>WOS:000272466000021</t>
  </si>
  <si>
    <t>Foote, AD; Newton, J; Piertney, SB; Willerslev, E; Gilbert, MTP</t>
  </si>
  <si>
    <t>Foote, Andrew D.; Newton, Jason; Piertney, Stuart B.; Willerslev, Eske; Gilbert, M. Thomas P.</t>
  </si>
  <si>
    <t>Ecological, morphological and genetic divergence of sympatric North Atlantic killer whale populations</t>
  </si>
  <si>
    <t>MOLECULAR ECOLOGY</t>
  </si>
  <si>
    <t>Atlantic; ecotype; killer whale; Orcinus orca; Phylogenetics</t>
  </si>
  <si>
    <t>PERSISTENT ORGANIC POLLUTANTS; ORCINUS-ORCA; REPRODUCTIVE ISOLATION; FEEDING ECOLOGY; STABLE-ISOTOPE; BONE; SEA; DIFFERENTIATION; SUBSTITUTIONS; SPECIATION</t>
  </si>
  <si>
    <t>Ecological divergence has a central role in speciation and is therefore an important source of biodiversity. Studying the micro-evolutionary processes of ecological diversification at its early stages provides an opportunity for investigating the causative mechanisms and ecological conditions promoting divergence. Here we use morphological traits, nitrogen stable isotope ratios and tooth wear to characterize two disparate types of North Atlantic killer whale. We find a highly specialist type, which reaches up to 8.5 m in length and a generalist type which reaches up to 6.6 m in length. There is a single fixed genetic difference in the mtDNA control region between these types, indicating integrity of groupings and a shallow divergence. Phylogenetic analysis indicates this divergence is independent of similar ecological divergences in the Pacific and Antarctic. Niche-width in the generalist type is more strongly influenced by between-individual variation rather than within-individual variation in the composition of the diet. This first step to divergent specialization on different ecological resources provides a rare example of the ecological conditions at the early stages of adaptive radiation.</t>
  </si>
  <si>
    <t>[Foote, Andrew D.] Univ Aberdeen, Inst Biol &amp; Environm Sci, Sch Biol Sci, Lighthouse Field Stn, Cromarty IV11 8YJ, Scotland; [Foote, Andrew D.; Willerslev, Eske; Gilbert, M. Thomas P.] Univ Copenhagen, Nat Hist Museum Denmark, DK-2100 Copenhagen, Denmark; [Newton, Jason] SUERC, NERC Life Sci Mass Spectrometry Facil, E Kilbride G75 0QF, Lanark, Scotland; [Piertney, Stuart B.] Univ Aberdeen, Inst Biol &amp; Environm Sci, Sch Biol Sci, Aberdeen AB24 2TZ, Scotland</t>
  </si>
  <si>
    <t>University of Aberdeen; University of Copenhagen; Scottish Universities Research &amp; Reactor Center; UK Research &amp; Innovation (UKRI); Natural Environment Research Council (NERC); University of Aberdeen</t>
  </si>
  <si>
    <t>Foote, AD (corresponding author), Univ Aberdeen, Inst Biol &amp; Environm Sci, Sch Biol Sci, Lighthouse Field Stn, George St, Cromarty IV11 8YJ, Scotland.</t>
  </si>
  <si>
    <t>a.d.foote@abdn.ac.uk</t>
  </si>
  <si>
    <t>Gilbert, Thomas/JSK-2650-2023; Willerslev, Eske/AAA-5686-2019; Willerslev, Eske/A-9619-2011; Piertney, Stuart B/I-3144-2012; Newton, Jason/A-9536-2009; Gilbert, Marcus/A-8936-2013</t>
  </si>
  <si>
    <t>Willerslev, Eske/0000-0002-7081-6748; Newton, Jason/0000-0001-7594-3693; Piertney, Stuart/0000-0001-6654-0569; Foote, Andrew/0000-0001-7384-1634; Gilbert, Marcus/0000-0002-5805-7195</t>
  </si>
  <si>
    <t>Carnegie Trust for the Universities of Scotland; Marie Curie Actions 'GENETIME' grant fund; Danish National Science Foundation 'Skou' award program; Marine Directorate of the Scottish Government; National Environment Research Council; Scottish Natural Heritage; Aberdeen University 6th Century Scholarship; Natural Environment Research Council [lsmsf010002] Funding Source: researchfish; NERC [lsmsf010002] Funding Source: UKRI</t>
  </si>
  <si>
    <t>Carnegie Trust for the Universities of Scotland; Marie Curie Actions 'GENETIME' grant fund(European Union (EU)); Danish National Science Foundation 'Skou' award program; Marine Directorate of the Scottish Government; National Environment Research Council(UK Research &amp; Innovation (UKRI)Natural Environment Research Council (NERC)); Scottish Natural Heritage; Aberdeen University 6th Century Scholarship; Natural Environment Research Council(UK Research &amp; Innovation (UKRI)Natural Environment Research Council (NERC)); NERC(UK Research &amp; Innovation (UKRI)Natural Environment Research Council (NERC))</t>
  </si>
  <si>
    <t>We would like to thank the curators of the collaborating institutions for facilitating the use of specimens from their collections (see Supporting Information for full details). Neil Anderson, Stuart Angus, Rob Deaville, Mary Harman, Simon Ingram, Don O'Driscoll, Robert Murray and Emer Rogan generously provided photographs. We would like to thank John Durban, Bob Pitman, Rick LeDuc, Carlos De Luna Lopez and Kelly Robertson for useful discussions and for advice on sampling, and members of the Piertney lab group, University of Aberdeen and the Ancient DNA and Evolution group, University of Copenhagen for assistance in the lab. This manuscript benefited from comments from the editor and two anonymous referees. Funding was provided by Carnegie Trust for the Universities of Scotland, the Marie Curie Actions 'GENETIME' grant fund, the Danish National Science Foundation 'Skou' award program, the Marine Directorate of the Scottish Government, the National Environment Research Council, Scottish Natural Heritage and an Aberdeen University 6th Century Scholarship to Andrew Foote.</t>
  </si>
  <si>
    <t>0962-1083</t>
  </si>
  <si>
    <t>1365-294X</t>
  </si>
  <si>
    <t>MOL ECOL</t>
  </si>
  <si>
    <t>Mol. Ecol.</t>
  </si>
  <si>
    <t>10.1111/j.1365-294X.2009.04407.x</t>
  </si>
  <si>
    <t>Biochemistry &amp; Molecular Biology; Ecology; Evolutionary Biology</t>
  </si>
  <si>
    <t>Biochemistry &amp; Molecular Biology; Environmental Sciences &amp; Ecology; Evolutionary Biology</t>
  </si>
  <si>
    <t>528NN</t>
  </si>
  <si>
    <t>WOS:000272452700019</t>
  </si>
  <si>
    <t>Manzo, E; Ciavatta, ML; Nuzzo, G; Gavagnin, M</t>
  </si>
  <si>
    <t>Manzo, Emiliano; Ciavatta, Maria Letizia; Nuzzo, Genoveffa; Gavagnin, Margherita</t>
  </si>
  <si>
    <t>Terpenoid Content of the Antarctic Soft Coral Alcyonium antarcticum</t>
  </si>
  <si>
    <t>NATURAL PRODUCT COMMUNICATIONS</t>
  </si>
  <si>
    <t>Marine invertebrate; soft coral; Antarctic benthos; sesquiterpenes; bulgarane; Alcyonium antarcticum</t>
  </si>
  <si>
    <t>XENIA-PUERTO-GALERAE; CHEMICAL DEFENSES; SESQUITERPENOIDS; COELENTERATA; SERIES; H-1</t>
  </si>
  <si>
    <t>Chemical investigation of the soft coral Alcyonium antarcticum, collected off Terra Nova Bay, resulted in the isolation of two closely related sesquiterpenes, alcyoniccne (1) and deacetoxy-alcyonicene (2), along with known terpenoid compounds. The structure elucidation of the new molecules, possessing a rare bulgarane skeleton, has been made mainly by NMR techniques.</t>
  </si>
  <si>
    <t>[Manzo, Emiliano; Ciavatta, Maria Letizia; Nuzzo, Genoveffa; Gavagnin, Margherita] CNR, Ist Chim Biomol, I-80078 Pozzuoli, Na, Italy</t>
  </si>
  <si>
    <t>Consiglio Nazionale delle Ricerche (CNR); Istituto di Chimica Biomolecolare (ICB-CNR)</t>
  </si>
  <si>
    <t>Ciavatta, ML (corresponding author), CNR, Ist Chim Biomol, Via Campi Flegrei 34, I-80078 Pozzuoli, Na, Italy.</t>
  </si>
  <si>
    <t>lciavatta@icb.cnr.it</t>
  </si>
  <si>
    <t>Gavagnin, Margherita/B-4584-2012; CIAVATTA, MARIA LETIZIA/F-6722-2013</t>
  </si>
  <si>
    <t>CIAVATTA, MARIA LETIZIA/0000-0002-7308-1011; manzo, emiliano/0000-0002-7394-020X</t>
  </si>
  <si>
    <t>NATURAL PRODUCTS INC</t>
  </si>
  <si>
    <t>WESTERVILLE</t>
  </si>
  <si>
    <t>7963 ANDERSON PARK LN, WESTERVILLE, OH 43081 USA</t>
  </si>
  <si>
    <t>1934-578X</t>
  </si>
  <si>
    <t>1555-9475</t>
  </si>
  <si>
    <t>NAT PROD COMMUN</t>
  </si>
  <si>
    <t>Nat. Prod. Commun.</t>
  </si>
  <si>
    <t>Chemistry, Medicinal; Food Science &amp; Technology</t>
  </si>
  <si>
    <t>Pharmacology &amp; Pharmacy; Food Science &amp; Technology</t>
  </si>
  <si>
    <t>532MX</t>
  </si>
  <si>
    <t>WOS:000272754100004</t>
  </si>
  <si>
    <t>Le Quéré, C; Raupach, MR; Canadell, JG; Marland, G; Bopp, L; Ciais, P; Conway, TJ; Doney, SC; Feely, RA; Foster, P; Friedlingstein, P; Gurney, K; Houghton, RA; House, JI; Huntingford, C; Levy, PE; Lomas, MR; Majkut, J; Metzl, N; Ometto, JP; Peters, GP; Prentice, IC; Randerson, JT; Running, SW; Sarmiento, JL; Schuster, U; Sitch, S; Takahashi, T; Viovy, N; van der Werf, GR; Woodward, FI</t>
  </si>
  <si>
    <t>Le Quere, Corinne; Raupach, Michael R.; Canadell, Josep G.; Marland, Gregg; Bopp, Laurent; Ciais, Philippe; Conway, Thomas J.; Doney, Scott C.; Feely, Richard A.; Foster, Pru; Friedlingstein, Pierre; Gurney, Kevin; Houghton, Richard A.; House, Joanna I.; Huntingford, Chris; Levy, Peter E.; Lomas, Mark R.; Majkut, Joseph; Metzl, Nicolas; Ometto, Jean P.; Peters, Glen P.; Prentice, I. Colin; Randerson, James T.; Running, Steven W.; Sarmiento, Jorge L.; Schuster, Ute; Sitch, Stephen; Takahashi, Taro; Viovy, Nicolas; van der Werf, Guido R.; Woodward, F. Ian</t>
  </si>
  <si>
    <t>Trends in the sources and sinks of carbon dioxide</t>
  </si>
  <si>
    <t>NATURE GEOSCIENCE</t>
  </si>
  <si>
    <t>ATMOSPHERIC CO2 GROWTH; INTERANNUAL VARIABILITY; INTERNATIONAL-TRADE; FIRE EMISSIONS; CLIMATE; DEFORESTATION; CYCLE; HISTORY; FLUX</t>
  </si>
  <si>
    <t>Efforts to control climate change require the stabilization of atmospheric CO2 concentrations. This can only be achieved through a drastic reduction of global CO2 emissions. Yet fossil fuel emissions increased by 29% between 2000 and 2008, in conjunction with increased contributions from emerging economies, from the production and international trade of goods and services, and from the use of coal as a fuel source. In contrast, emissions from land-use changes were nearly constant. Between 1959 and 2008, 43% of each year's CO2 emissions remained in the atmosphere on average; the rest was absorbed by carbon sinks on land and in the oceans. In the past 50 years, the fraction of CO2 emissions that remains in the atmosphere each year has likely increased, from about 40% to 45%, and models suggest that this trend was caused by a decrease in the uptake of CO2 by the carbon sinks in response to climate change and variability. Changes in the CO2 sinks are highly uncertain, but they could have a significant influence on future atmospheric CO2 levels. It is therefore crucial to reduce the uncertainties.</t>
  </si>
  <si>
    <t>[Le Quere, Corinne; Schuster, Ute] Univ E Anglia, Sch Environm Sci, Norwich NR4 7TJ, Norfolk, England; [Le Quere, Corinne] British Antarctic Survey, Cambridge BC3 0ET, England; [Raupach, Michael R.; Canadell, Josep G.] CSIRO Marine &amp; Atmospher Res, Global Carbon Project, Canberra, ACT 2601, Australia; [Marland, Gregg] Oak Ridge Natl Lab, Carbon Dioxide Informat Anal Ctr, Oak Ridge, TN 37831 USA; [Bopp, Laurent; Ciais, Philippe; Friedlingstein, Pierre; Viovy, Nicolas] UVSQ, CNRS, CEA, Lab Sci Climat &amp; Environm,UMR 1572, F-91191 Gif Sur Yvette, France; [Conway, Thomas J.] NOAA, Earth Syst Res Lab, Boulder, CO 80305 USA; [Doney, Scott C.] Woods Hole Oceanog Inst, Woods Hole, MA 02543 USA; [Feely, Richard A.] NOAA, Pacific Marine Environm Lab, Seattle, WA 98115 USA; [Foster, Pru; Friedlingstein, Pierre; House, Joanna I.; Prentice, I. Colin] Univ Bristol, Dept Earth Sci, QUEST, Bristol BS8 1RJ, Avon, England; [Gurney, Kevin] Purdue Univ, Dept Agron, W Lafayette, IN 47907 USA; [Gurney, Kevin] Purdue Univ, Dept Earth &amp; Atmospher Sci, W Lafayette, IN 47907 USA; [Houghton, Richard A.] Woods Hole Res Ctr, Falmouth, MA 02540 USA; [Huntingford, Chris] Ctr Ecol &amp; Hydrol, Wallingford OX10 8BB, Oxon, England; [Levy, Peter E.] Ctr Ecol &amp; Hydrol, Penicuik EH26 0QB, Midlothian, Scotland; [Lomas, Mark R.; Woodward, F. Ian] Univ Sheffield, Dept Anim &amp; Plant Sci, Sheffield S10 2TH, S Yorkshire, England; [Majkut, Joseph; Sarmiento, Jorge L.] Princeton Univ, AOS Program, Princeton, NJ 08544 USA; [Metzl, Nicolas] Univ Paris 06, Inst Pierre Simon Laplace, CNRS, LOCEAN IPSL, F-75252 Paris 5, France; [Ometto, Jean P.] Inst Nacl Pesquisas Espaciais, BR-12227010 Sao Jose Dos Campos, SP, Brazil; [Peters, Glen P.] Ctr Int Climate &amp; Environm Res Oslo, N-0318 Oslo, Norway; [Randerson, James T.] Univ Calif Irvine, Dept Earth Syst Sci, Irvine, CA 92697 USA; [Running, Steven W.] Univ Montana, Sch Forestry, Numer Terradynam Simulat Grp, Missoula, MT 59812 USA; [Sitch, Stephen] Univ Leeds, Sch Geog, Leeds LS2 9JT, W Yorkshire, England; [Takahashi, Taro] Columbia Univ, Lamont Doherty Earth Observ, New York, NY 10964 USA; [van der Werf, Guido R.] Vrije Univ Amsterdam, Fac Earth &amp; Life Sci, NL-1081 HV Amsterdam, Netherlands</t>
  </si>
  <si>
    <t>University of East Anglia; UK Research &amp; Innovation (UKRI); Natural Environment Research Council (NERC); NERC British Antarctic Survey; Commonwealth Scientific &amp; Industrial Research Organisation (CSIRO); United States Department of Energy (DOE); Oak Ridge National Laboratory; Universite Paris Cite; Universite Paris Saclay; CEA; Centre National de la Recherche Scientifique (CNRS); National Oceanic Atmospheric Admin (NOAA) - USA; Woods Hole Oceanographic Institution; National Oceanic Atmospheric Admin (NOAA) - USA; University of Bristol; Purdue University System; Purdue University; Purdue University System; Purdue University; Woodwell Climate Research Center; UK Centre for Ecology &amp; Hydrology (UKCEH); UK Centre for Ecology &amp; Hydrology (UKCEH); University of Sheffield; Princeton University; Sorbonne Universite; Universite Paris Saclay; Universite Paris Cite; Centre National de la Recherche Scientifique (CNRS); CNRS - National Institute for Earth Sciences &amp; Astronomy (INSU); Museum National d'Histoire Naturelle (MNHN); Instituto Nacional de Pesquisas Espaciais (INPE); University of California System; University of California Irvine; University of Montana System; University of Montana; University of Leeds; Columbia University; Vrije Universiteit Amsterdam</t>
  </si>
  <si>
    <t>Le Quéré, C (corresponding author), Univ E Anglia, Sch Environm Sci, Norwich NR4 7TJ, Norfolk, England.</t>
  </si>
  <si>
    <t>c.lequere@uea.ac.uk</t>
  </si>
  <si>
    <t>Feely, Richard A./ABI-5740-2020; Randerson, James/Y-2550-2019; Doney, Scott/F-9247-2010; bopp, laurent/ABF-5302-2020; Friedlingstein, Pierre/H-2700-2014; Ciais, Philippe/A-6840-2011; Woodward, Ian F/B-7762-2008; Levy, Peter E/K-6523-2012; van der Werf, Guido/M-8260-2016; Le Quéré, Corinne/C-2631-2017; Ometto, Jean Pierre/B-3351-2013; van der Werf, Guido/JXY-9197-2024; Woodward, Frank Ian/P-4530-2019; Canadell, Pep/E-9419-2010; Huntingford, Christopher/A-4307-2008; Lukeš, Petr/B-1771-2010; Viovy, Nicolas/S-2631-2018; Foster, Pru/K-5476-2012; House, Joanna/B-6477-2016; Peters, Glen P/B-1012-2008; Sitch, Stephen/F-8034-2015</t>
  </si>
  <si>
    <t>Randerson, James/0000-0001-6559-7387; Doney, Scott/0000-0002-3683-2437; bopp, laurent/0000-0003-4732-4953; Friedlingstein, Pierre/0000-0003-3309-4739; Ciais, Philippe/0000-0001-8560-4943; Le Quéré, Corinne/0000-0003-2319-0452; Ometto, Jean Pierre/0000-0002-4221-1039; Canadell, Pep/0000-0002-8788-3218; Huntingford, Christopher/0000-0002-5941-7770; Viovy, Nicolas/0000-0002-9197-6417; Foster, Pru/0000-0003-4735-1521; House, Joanna/0000-0003-4576-3960; Peters, Glen P/0000-0001-7889-8568; metzl, nicolas/0000-0002-1165-1074; Sitch, Stephen/0000-0003-1821-8561; Levy, Peter/0000-0002-8505-1901</t>
  </si>
  <si>
    <t>NERC [bas010013, quest010001, earth010003] Funding Source: UKRI; Natural Environment Research Council [quest010001, NE/C516136/1, ceh010023, bas010013, NE/C516079/1, earth010003] Funding Source: researchfish</t>
  </si>
  <si>
    <t>1752-0894</t>
  </si>
  <si>
    <t>1752-0908</t>
  </si>
  <si>
    <t>NAT GEOSCI</t>
  </si>
  <si>
    <t>Nat. Geosci.</t>
  </si>
  <si>
    <t>10.1038/ngeo689</t>
  </si>
  <si>
    <t>525TO</t>
  </si>
  <si>
    <t>WOS:000272239400014</t>
  </si>
  <si>
    <t>Chen, JL; Wilson, CR; Blankenship, D; Tapley, BD</t>
  </si>
  <si>
    <t>Chen, J. L.; Wilson, C. R.; Blankenship, D.; Tapley, B. D.</t>
  </si>
  <si>
    <t>Accelerated Antarctic ice loss from satellite gravity measurements</t>
  </si>
  <si>
    <t>SEA-LEVEL RISE; GLACIAL ISOSTATIC-ADJUSTMENT; MASS-BALANCE; GRACE; GREENLAND; SHEETS; SIGNAL; ERA</t>
  </si>
  <si>
    <t>Accurate quantification of Antarctic ice-sheet mass balance and its contribution to global sea-level rise remains challenging, because in situ measurements over both space and time are sparse. Satellite remote-sensing data of ice elevations and ice motion show significant ice loss in the range of -31 to -196 Gt yr(-1) in West Antarctica in recent years(1-4), whereas East Antarctica seems to remain in balance or slightly gain mass(1,2,4), with estimated rates of mass change in the range of -4 to 22 Gt yr(-1). The Gravity Recovery and Climate Experiment(5) ( GRACE) offers the opportunity of quantifying polar ice-sheet mass balance from a different perspective(6,7). Here we use an extended record of GRACE data spanning the period April 2002 to January 2009 to quantify the rates of Antarctic ice loss. In agreement with an independent earlier assessment(4), we estimate a total loss of 190 +/- 77 Gt yr(-1), with 132 +/- 26 Gt yr(-1) coming from West Antarctica. However, in contrast with previous GRACE estimates, our data suggest that East Antarctica is losing mass, mostly in coastal regions, at a rate of 57 +/- 52 Gt yr(-1), apparently caused by increased ice loss since the year 2006.</t>
  </si>
  <si>
    <t>[Chen, J. L.; Wilson, C. R.; Tapley, B. D.] Univ Texas Austin, Ctr Space Res, Austin, TX 78759 USA; [Wilson, C. R.] Univ Texas Austin, Dept Geol Sci, Jackson Sch Geosci, Austin, TX 78712 USA; [Blankenship, D.] Univ Texas Austin, Inst Geophys, Jackson Sch Geosci, Austin, TX 78712 USA</t>
  </si>
  <si>
    <t>University of Texas System; University of Texas Austin; University of Texas System; University of Texas Austin; University of Texas System; University of Texas Austin</t>
  </si>
  <si>
    <t>Chen, JL (corresponding author), Univ Texas Austin, Ctr Space Res, Austin, TX 78759 USA.</t>
  </si>
  <si>
    <t>chen@csr.utexas.edu</t>
  </si>
  <si>
    <t>Tapley, Byron/0000-0003-3689-5750; Chen, Jianli/0000-0001-5405-8441</t>
  </si>
  <si>
    <t>NASA [NNX08AJ84G, NNG04G060G]; NSF [ANT-0632195]; NASA [99681, NNX08AJ84G] Funding Source: Federal RePORTER</t>
  </si>
  <si>
    <t>NASA(National Aeronautics &amp; Space Administration (NASA)); NSF(National Science Foundation (NSF)); NASA(National Aeronautics &amp; Space Administration (NASA))</t>
  </si>
  <si>
    <t>This research was supported by NASA GRACE Science Program (NNX08AJ84G), NASA PECASE award (NNG04G060G) and NSF International Polar Year Program (ANT-0632195).</t>
  </si>
  <si>
    <t>NATURE PUBLISHING GROUP</t>
  </si>
  <si>
    <t>75 VARICK ST, 9TH FLR, NEW YORK, NY 10013-1917 USA</t>
  </si>
  <si>
    <t>10.1038/ngeo694</t>
  </si>
  <si>
    <t>WOS:000272239400019</t>
  </si>
  <si>
    <t>Field, BD; Crundwell, MP; Lyon, GL; Mildenhall, DC; Morgans, HEG; Ohneiser, C; Wilson, GS; Kennett, JP; Chanier, F</t>
  </si>
  <si>
    <t>Field, B. D.; Crundwell, M. P.; Lyon, G. L.; Mildenhall, D. C.; Morgans, H. E. G.; Ohneiser, C.; Wilson, G. S.; Kennett, J. P.; Chanier, F.</t>
  </si>
  <si>
    <t>Middle Miocene paleoclimate change at Bryce Burn, southern New Zealand</t>
  </si>
  <si>
    <t>NEW ZEALAND JOURNAL OF GEOLOGY AND GEOPHYSICS</t>
  </si>
  <si>
    <t>oxygen; carbon; isotopes; paleoceanography; magnetostratigraphy; cyclostratigraphy; foraminifera; spores; pollen; clays; grain size; gamma ray; Clifden; Bryce Burn; Antarctic cooling</t>
  </si>
  <si>
    <t>SOUTHWEST PACIFIC; MANUHERIKIA GROUP; ISOTOPE STRATIGRAPHY; HIGH-RESOLUTION; CENTRAL-OTAGO; CLIMATE; OCEAN; EVOLUTION; PALEOECOLOGY; CIRCULATION</t>
  </si>
  <si>
    <t>New Zealand's isolated position in the Southwest Pacific and the quality of its marine and terrestrial sedimentary record make it a valuable source of information for studies of global climate change. A section at Bryce Burn in Southland, South Island, provides a record of middle Miocene global cooling associated with buildup of an extensive semi-permanent ice sheet on Antarctica. The section yielded delta O-18, delta C-13, lithological, clay mineral, foraminiferal, and pollen data that have been linked to a high-resolution age model based on magnetostratigraphy and foraminiferal dating. The sequence exhibits evidence for a delta O-18 c. 0.6 parts per thousand positive baseline shift consistent with the age and magnitude of the E3/Mi3 isotope excursion around 13.9 Ma, carbon maxima 4-6 delta C-13 excursions, probable orbitally controlled changes in clay mineralogy, and short-term changes in terrestrial vegetation. This is the first time these stable isotopic events have been recognised in outcrop sequences in New Zealand. There appears to be no clear, long-term shift in the data associated with middle Miocene oceanic cooling, apart from the stable isotope evidence, though Milankovitch-scale, short-term fluctuations are present.</t>
  </si>
  <si>
    <t>[Field, B. D.; Crundwell, M. P.; Lyon, G. L.; Mildenhall, D. C.; Morgans, H. E. G.] GNS Sci, Lower Hutt 5040, New Zealand; [Ohneiser, C.; Wilson, G. S.] Univ Otago, Dept Geol, Dunedin 9054, New Zealand; [Kennett, J. P.] Univ Calif Santa Barbara, Dept Earth Sci, Santa Barbara, CA 93106 USA; [Kennett, J. P.] Univ Calif Santa Barbara, Inst Marine Sci, Santa Barbara, CA 93106 USA; [Chanier, F.] Univ Sci &amp; Technol, Lille, France</t>
  </si>
  <si>
    <t>GNS Science - New Zealand; University of Otago; University of California System; University of California Santa Barbara; University of California System; University of California Santa Barbara; Universite de Lille</t>
  </si>
  <si>
    <t>Field, BD (corresponding author), GNS Sci, POB 30368, Lower Hutt 5040, New Zealand.</t>
  </si>
  <si>
    <t>brad.field@gns.cri.nz</t>
  </si>
  <si>
    <t>Ohneiser, Christian/B-5797-2018; Wilson, Gary S/B-3803-2010; Field, Brad D/F-1062-2011</t>
  </si>
  <si>
    <t>Chanier, Frank/0000-0001-6030-6982; Ohneiser, Christian/0000-0002-2781-2522; Field, Bradley/0000-0001-5254-6636; Wilson, Gary/0000-0003-0025-3641</t>
  </si>
  <si>
    <t>New Zealand Foundation for Research, Science and Technology</t>
  </si>
  <si>
    <t>New Zealand Foundation for Research, Science and Technology(New Zealand Foundation for Research, Science and Technology)</t>
  </si>
  <si>
    <t>We thank Craig Jones and Kate Bartram for their company and assistance in the field, John Simes and Neville Orr for sample processing, and Roger Tremain for palynological sample preparation (all GNS Science). Grain-size analyses were performed by Peter Crosdale and Sonya Bryce at James Cook University, Townsville, Australia. Stable isotope samples at UCSB were run by Karen Thompson. We thank Viviane Bout (UMR 8110, Lille) for her help in interpreting the semi-quantitative distribution of clay minerals from diffractograms. Colin and Faye King kindly provided access to the Bryce Bum section. Gavin Dunbar provided helpful comments as journal referee. The study was funded by the New Zealand Foundation for Research, Science and Technology.</t>
  </si>
  <si>
    <t>2-4 PARK SQUARE, MILTON PARK, ABINGDON OR14 4RN, OXON, ENGLAND</t>
  </si>
  <si>
    <t>0028-8306</t>
  </si>
  <si>
    <t>1175-8791</t>
  </si>
  <si>
    <t>NEW ZEAL J GEOL GEOP</t>
  </si>
  <si>
    <t>N. Z. J. Geol. Geophys.</t>
  </si>
  <si>
    <t>10.1080/00288306.2009.9518461</t>
  </si>
  <si>
    <t>Geology; Geosciences, Multidisciplinary</t>
  </si>
  <si>
    <t>545UU</t>
  </si>
  <si>
    <t>WOS:000273763300002</t>
  </si>
  <si>
    <t>Stanev, T</t>
  </si>
  <si>
    <t>Stanev, Todor</t>
  </si>
  <si>
    <t>IceCube Collaboration</t>
  </si>
  <si>
    <t>Status, performance, and first results of the IceTop array</t>
  </si>
  <si>
    <t>NUCLEAR PHYSICS B-PROCEEDINGS SUPPLEMENTS</t>
  </si>
  <si>
    <t>15th International Symposium on Very High Energy Interactions</t>
  </si>
  <si>
    <t>SEP 01-06, 2008</t>
  </si>
  <si>
    <t>Univ Paris-Diderot, Paris, FRANCE</t>
  </si>
  <si>
    <t>Univ Paris-Diderot</t>
  </si>
  <si>
    <t>We describe the design and performance of IceTop, the air shower array on top of the IceCube neutrino detector. After the 2008/09 antarctic summer season both detectors are deployed at almost 3/4 of their design size. With the current IceTop 59 stations we can start the study of showers of energy well above 10(17) eV. The paper also describes the first results from IceTop and our plans to study the cosmic ray composition using several different types of analysis.</t>
  </si>
  <si>
    <t>[Stanev, Todor; IceCube Collaboration] Univ Delaware, Dept Phys &amp; Astron, Bartol Res Inst, Newark, DE 19716 USA</t>
  </si>
  <si>
    <t>University of Delaware</t>
  </si>
  <si>
    <t>Stanev, T (corresponding author), Univ Delaware, Dept Phys &amp; Astron, Bartol Res Inst, Newark, DE 19716 USA.</t>
  </si>
  <si>
    <t>Sánchez, Juan Antonio Aguilar/H-4467-2015</t>
  </si>
  <si>
    <t>0920-5632</t>
  </si>
  <si>
    <t>NUCL PHYS B-PROC SUP</t>
  </si>
  <si>
    <t>Nucl. Phys. B-Proc. Suppl.</t>
  </si>
  <si>
    <t>10.1016/j.nuclphysbps.2009.09.028</t>
  </si>
  <si>
    <t>Physics, Particles &amp; Fields</t>
  </si>
  <si>
    <t>537EO</t>
  </si>
  <si>
    <t>WOS:000273096000029</t>
  </si>
  <si>
    <t>Maestro, P; Ahn, HS; Allison, P; Bagliesi, MG; Barbier, L; Beatty, JJ; Bigongiari, G; Brandt, TJ; Childers, JT; Conklin, NB; Coutu, S; DuVernois, MA; Ganel, O; Han, JH; Jeon, JA; Kim, KC; Lee, MH; Malinine, A; Marrocchesi, PS; Minnick, S; Mognet, SI; Nam, SW; Nutter, S; Park, IH; Park, NH; Seo, ES; Sina, R; Walpole, P; Wu, J; Yang, J; Yoon, YS; Zei, R; Zinn, SY</t>
  </si>
  <si>
    <t>Maestro, P.; Ahn, H. S.; Allison, P.; Bagliesi, M. G.; Barbier, L.; Beatty, J. J.; Bigongiari, G.; Brandt, T. J.; Childers, J. T.; Conklin, N. B.; Coutu, S.; DuVernois, M. A.; Ganel, O.; Han, J. H.; Jeon, J. A.; Kim, K. C.; Lee, M. H.; Malinine, A.; Marrocchesi, P. S.; Minnick, S.; Mognet, S. I.; Nam, S. W.; Nutter, S.; Park, I. H.; Park, N. H.; Seo, E. S.; Sina, R.; Walpole, P.; Wu, J.; Yang, J.; Yoon, Y. S.; Zei, R.; Zinn, S. Y.</t>
  </si>
  <si>
    <t>Measurements of cosmic-ray energy spectra with the 2nd CREAM flight</t>
  </si>
  <si>
    <t>NUCLEI</t>
  </si>
  <si>
    <t>During its second Antarctic flight, the CREAM (Cosmic Ray Energetics And Mass) balloon experiment collected data for 28 days, measuring the charge and the energy of cosmic rays (CR) with a redundant system of particle identification and an imaging thin ionization calorimeter. Preliminary direct measurements of the absolute intensities of individual CR nuclei are reported in the elemental range from carbon to iron at very high energy.</t>
  </si>
  <si>
    <t>[Maestro, P.; Bagliesi, M. G.; Bigongiari, G.; Marrocchesi, P. S.; Zei, R.] Univ Siena, Dept Phys, I-53100 Siena, Italy; [Maestro, P.; Bagliesi, M. G.; Bigongiari, G.; Marrocchesi, P. S.; Zei, R.] Ist Nazl Fis Nucl, I-53100 Siena, Italy; [Ahn, H. S.; Ganel, O.; Han, J. H.; Kim, K. C.; Lee, M. H.; Malinine, A.; Seo, E. S.; Sina, R.; Walpole, P.; Wu, J.; Yoon, Y. S.; Zinn, S. Y.] Univ Maryland, Inst Phys Sci &amp; Technol, College Pk, MD 20742 USA; [Allison, P.; Beatty, J. J.; Brandt, T. J.] Ohio State Univ, Dept Phys, Columbus, OH 43210 USA; [Barbier, L.] NASA, Goddard Space Flight Ctr, Astroparticle Phys Lab, Greenbelt, MD 20771 USA; [Childers, J. T.; DuVernois, M. A.] Univ Minnesota, Sch Phys &amp; Astron, Minneapolis, MN 55455 USA; [Conklin, N. B.; Coutu, S.; Mognet, S. I.] Penn State Univ, Dept Phys, University Pk, PA 16802 USA; [Jeon, J. A.; Nam, S. W.; Park, I. H.; Park, N. H.; Yang, J.] Ewha Womans Univ, Dept Phys, Seoul 120750, South Korea; [Minnick, S.] Kent State Univ, Dept Phys, New Philadelphia, OH 44663 USA; [Nutter, S.] No Kentucky Univ, Dept Phys &amp; Geol, Highland Hts, KY 41099 USA; [Seo, E. S.; Yoon, Y. S.] Univ Maryland, Dept Phys, College Pk, MD 20742 USA</t>
  </si>
  <si>
    <t>University of Siena; Istituto Nazionale di Fisica Nucleare (INFN); University System of Maryland; University of Maryland College Park; University System of Ohio; Ohio State University; National Aeronautics &amp; Space Administration (NASA); NASA Goddard Space Flight Center; University of Minnesota System; University of Minnesota Twin Cities; Pennsylvania Commonwealth System of Higher Education (PCSHE); Pennsylvania State University; Pennsylvania State University - University Park; Ewha Womans University; University System of Ohio; Kent State University; Kent State University Tuscarawas; Northern Kentucky University; University System of Maryland; University of Maryland College Park</t>
  </si>
  <si>
    <t>Maestro, P (corresponding author), Univ Siena, Dept Phys, Via Roma 56, I-53100 Siena, Italy.</t>
  </si>
  <si>
    <t>paolo.maestro@pi.infn.it</t>
  </si>
  <si>
    <t>Yoon, Young Soo/O-8580-2014; , ES/AAN-2324-2020; Beatty, James/D-9310-2011; Lee, Moo Hyun/AAK-4266-2020; maestro, paolo/E-3280-2010; /N-9068-2015</t>
  </si>
  <si>
    <t>Yoon, Young Soo/0000-0001-7023-699X; Beatty, James/0000-0003-0481-4952; Lee, Moo Hyun/0000-0002-4082-1677; maestro, paolo/0000-0002-4193-1288; Bigongiari, Gabriele/0000-0003-3691-0826; /0000-0003-1966-140X; Seo, Eun-Suk/0000-0001-8682-805X; Coutu, Stephane/0000-0003-2923-2246</t>
  </si>
  <si>
    <t>1873-3832</t>
  </si>
  <si>
    <t>10.1016/j.nuclphysbps.2009.09.045</t>
  </si>
  <si>
    <t>WOS:000273096000046</t>
  </si>
  <si>
    <t>Kump, LR; Bralower, TJ; Ridgwell, A</t>
  </si>
  <si>
    <t>Kump, Lee R.; Bralower, Timothy J.; Ridgwell, Andy</t>
  </si>
  <si>
    <t>OCEAN ACIDIFICATION IN DEEP TIME</t>
  </si>
  <si>
    <t>OCEANOGRAPHY</t>
  </si>
  <si>
    <t>EOCENE THERMAL MAXIMUM; CALCAREOUS NANNOFOSSIL ASSEMBLAGES; SHALLOW-MARINE CARBONATES; TRIASSIC BOUNDARY EVENTS; PERMIAN MASS EXTINCTION; EROSIONAL TRUNCATION; ATMOSPHERIC CO2; SNOWBALL EARTH; LATE PALEOCENE; PLANKTONIC-FORAMINIFERA</t>
  </si>
  <si>
    <t>Is there precedence in Earth history for the rapid release of carbon dioxide (CO2) by fossil fuel burning and its environmental consequences? Proxy evidence indicates that atmospheric CO2 concentrations were higher during long warm intervals in the geologic past, and that these conditions did not prevent the precipitation and accumulation of calcium carbonate (CaCO3) as limestone; accumulation of alkalinity brought to the ocean by rivers kept surface waters supersaturated. But these were steady states, not perturbations. More rapid additions of carbon dioxide during extreme events in Earth history, including the end-permian mass extinction (251 million years ago) and the paleocene-Eocene Thermal Maximum (PETM, 56 million years ago) may have driven surface waters to undersaturation, although the evidence supporting this assertion is weak. Neverthless, observations and modeling clearly show that during the PETM the deep ocean, at least, became highly corrosive to CaCO3. These same models applied to modern fossil fuel release project a substantial decline in surface water saturation state in the next century. So, there may be no precedent in Earth history for the type of disruption we might expect from the phenomenally rapid rate of carbon addition associated with fossils fuel burning. As Roger Revelle and Hans Seuss pointed out over 50 years ago, humanity is performing the great geophysical experiment by pumping vast quantities of carbon dioxide into the atmosphere (Revelle and Seuss, 1957). One result of this experiment is an atmosphere that already contains more carbon dioxide than at any time in last 800,000 years of Earth history (as indicated from the anlysis of bubbles trapped in Antarctic ice; Luthi et al., 2008) and probably more than has occurred in several tens of millions of years (from various marine and terrestrial proxies; Royer, 2006). As summarized in detail by Feely et al.</t>
  </si>
  <si>
    <t>[Kump, Lee R.; Bralower, Timothy J.] Penn State Univ, University Pk, PA 16802 USA</t>
  </si>
  <si>
    <t>Pennsylvania Commonwealth System of Higher Education (PCSHE); Pennsylvania State University; Pennsylvania State University - University Park</t>
  </si>
  <si>
    <t>Kump, LR (corresponding author), Penn State Univ, University Pk, PA 16802 USA.</t>
  </si>
  <si>
    <t>lkump@psu.edu</t>
  </si>
  <si>
    <t>Kump, Lee R/H-8287-2012; Ridgwell, Andy/AAD-9487-2021</t>
  </si>
  <si>
    <t>Ridgwell, Andy/0000-0003-2333-0128</t>
  </si>
  <si>
    <t>National Science Foundation's Carbon and Water Cycle program</t>
  </si>
  <si>
    <t>L.R.K. and T.J.B. acknowledge support from the National Science Foundation's Carbon and Water Cycle program.</t>
  </si>
  <si>
    <t>OCEANOGRAPHY SOC</t>
  </si>
  <si>
    <t>ROCKVILLE</t>
  </si>
  <si>
    <t>P.O. BOX 1931, ROCKVILLE, MD USA</t>
  </si>
  <si>
    <t>1042-8275</t>
  </si>
  <si>
    <t>10.5670/oceanog.2009.100</t>
  </si>
  <si>
    <t>542BF</t>
  </si>
  <si>
    <t>gold</t>
  </si>
  <si>
    <t>WOS:000273465500016</t>
  </si>
  <si>
    <t>Fabry, VJ; McClintock, JB; Mathis, JT; Grebmeier, JM</t>
  </si>
  <si>
    <t>Fabry, Victoria J.; McClintock, James B.; Mathis, Jeremy T.; Grebmeier, Jacqueline M.</t>
  </si>
  <si>
    <t>Ocean Acidification at High Latitudes: The Bellweather</t>
  </si>
  <si>
    <t>NORTHERN BERING-SEA; CLIMATE-CHANGE; ANTHROPOGENIC CO2; CALCIFICATION; ECOSYSTEM; COMMUNITY; IMPACTS; HISTORY</t>
  </si>
  <si>
    <t>Owing to anthropogenic-induced acidification, surface waters of the high latitudes are projected to become persistently undersaturated with respect to aragonite as early as mid-century. Seasonal aragonite undersaturation in surface and shallow subsurface waters of some northern polar seas has already been observed. Calcified marine organisms, including thecosomatous pteropods, foraminifers, cold-water corals, sea urchins, molluscs, and coralline algae, make up significant components of the rich communities in high latitudes, and they are thought to be at risk with increasing ocean acidification. Over the next decades, trends of rising temperatures and species invasions coupled with progressive ocean acidification are expected to increasingly influence both planktonic and benthic marine communities of Antarctica and the Arctic. The rate and magnitude of these changes underscore the urgent need for increased efforts in ocean acidity research and monitoring in polar and subpolar seas.</t>
  </si>
  <si>
    <t>[Fabry, Victoria J.] Calif State Univ, Dept Biol Sci, San Marcos, CA USA; [McClintock, James B.] Univ Alabama Birmingham, Dept Biol, Birmingham, AL 35294 USA; [Mathis, Jeremy T.] Univ Alaska Fairbanks, Inst Marine Sci, Fairbanks, AK USA; [Grebmeier, Jacqueline M.] Univ Maryland, Ctr Environm Sci, Chesapeake Biol Lab, Solomons, MD USA</t>
  </si>
  <si>
    <t>California State University System; California State University San Marcos; University of Alabama System; University of Alabama Birmingham; University of Alaska System; University of Alaska Fairbanks; University System of Maryland; University of Maryland Center for Environmental Science</t>
  </si>
  <si>
    <t>Fabry, VJ (corresponding author), Calif State Univ, Dept Biol Sci, San Marcos, CA USA.</t>
  </si>
  <si>
    <t>fabry@csusm.edu</t>
  </si>
  <si>
    <t>Grebmeier, Jacqueline/L-9805-2013; Ebersole, Joseph L/A-8371-2009</t>
  </si>
  <si>
    <t>Grebmeier, Jacqueline/0000-0001-7624-3568; Ebersole, Joseph L/0000-0003-1050-1995</t>
  </si>
  <si>
    <t>Antarctic Organisms and Ecology Program; Chemical Oceanography Program; Biological Oceanography Program; National Science Foundation (NSF); US Minerals Management Service; Endowed Professorship at the University of Alabama at Birmingham; Directorate For Geosciences; Office of Polar Programs (OPP) [0802290] Funding Source: National Science Foundation</t>
  </si>
  <si>
    <t>Antarctic Organisms and Ecology Program; Chemical Oceanography Program(National Science Foundation (NSF)NSF - Directorate for Geosciences (GEO)); Biological Oceanography Program; National Science Foundation (NSF)(National Science Foundation (NSF)); US Minerals Management Service; Endowed Professorship at the University of Alabama at Birmingham; Directorate For Geosciences; Office of Polar Programs (OPP)(National Science Foundation (NSF)NSF - Directorate for Geosciences (GEO))</t>
  </si>
  <si>
    <t>We thank the Antarctic Organisms and Ecology Program, Chemical Oceanography Program, Biological Oceanography Program, and Division of Arctic Sciences of the National Science Foundation (NSF), as well as the US Minerals Management Service for research support on ocean acidification. JBM also acknowledges support provided by an Endowed Professorship at the University of Alabama at Birmingham.</t>
  </si>
  <si>
    <t>10.5670/oceanog.2009.105</t>
  </si>
  <si>
    <t>Green Submitted, gold</t>
  </si>
  <si>
    <t>WOS:000273465500021</t>
  </si>
  <si>
    <t>Pakhnevich, AV</t>
  </si>
  <si>
    <t>Pakhnevich, A. V.</t>
  </si>
  <si>
    <t>Reasons of micromorphism in modern or fossil brachiopods</t>
  </si>
  <si>
    <t>PALEONTOLOGICAL JOURNAL</t>
  </si>
  <si>
    <t>International Conference on Development of Early Paleozoic Biodiversity</t>
  </si>
  <si>
    <t>JUN 26-28, 2008</t>
  </si>
  <si>
    <t>Moscow, RUSSIA</t>
  </si>
  <si>
    <t>SIZE-FREQUENCY DISTRIBUTIONS; POPULATION-DYNAMICS; ANTARCTIC SHELF; TEREBRATULINA; GROWTH; SEA</t>
  </si>
  <si>
    <t>Mass samples of the micromorphic recent (Hemithyris psittacea, Eucalathis murrayi, Macandrevia cranium, Megathyris detruncate, Argyrotheca cuneata, Argyrotheca cordata) and fossil Silurian (Microsphaeridiorhynchus sp.) brachiopods were studied. New location of Eucalathis murrayi on the Kitovyi Ridge in the Atlantic Ocean is described. Rates of growth of shells were revealed by the study of the sizes and age of brachiopods. Reasons of dwarfism in brachiopods are discussed. Three strategies of growth of the micromorphic brachiopods are distinguished. Appearance of micromorphic brachiopods is connected with the changes in the rates of shell growth and life expectancy.</t>
  </si>
  <si>
    <t>Russian Acad Sci, Borissiak Paleontol Inst, Moscow 117997, Russia</t>
  </si>
  <si>
    <t>Russian Academy of Sciences; Paleontological Institute of the Russian Academy of Sciences</t>
  </si>
  <si>
    <t>Pakhnevich, AV (corresponding author), Russian Acad Sci, Borissiak Paleontol Inst, Profsoyuznaya Ul 123, Moscow 117997, Russia.</t>
  </si>
  <si>
    <t>alval@paleo.ru</t>
  </si>
  <si>
    <t>Pakhnevich, Alexey/GVT-6660-2022</t>
  </si>
  <si>
    <t>PLEIADES PUBLISHING INC</t>
  </si>
  <si>
    <t>MOSCOW</t>
  </si>
  <si>
    <t>PLEIADES PUBLISHING INC, MOSCOW, 00000, RUSSIA</t>
  </si>
  <si>
    <t>0031-0301</t>
  </si>
  <si>
    <t>1555-6174</t>
  </si>
  <si>
    <t>PALEONTOL J+</t>
  </si>
  <si>
    <t>Paleontol. J.</t>
  </si>
  <si>
    <t>10.1134/S0031030109110100</t>
  </si>
  <si>
    <t>539NV</t>
  </si>
  <si>
    <t>WOS:000273262600010</t>
  </si>
  <si>
    <t>Leinaas, HP; Slabber, S; Chown, SL</t>
  </si>
  <si>
    <t>Leinaas, Hans Petter; Slabber, Sarette; Chown, Steven L.</t>
  </si>
  <si>
    <t>Effects of thermal acclimation on water loss rate and tolerance in the collembolan Pogonognathellus flavescens</t>
  </si>
  <si>
    <t>PHYSIOLOGICAL ENTOMOLOGY</t>
  </si>
  <si>
    <t>body water content; desiccation; survival; thermal adaptation</t>
  </si>
  <si>
    <t>SUB-ANTARCTIC WEEVILS; DESICCATION RESISTANCE; DROSOPHILA-MELANOGASTER; CRYPTOPYGUS-ANTARCTICUS; CUTICULAR PERMEABILITY; PHENOTYPIC PLASTICITY; DROUGHT ACCLIMATION; STRESS RESISTANCE; LIPID-COMPOSITION; METABOLIC-RATE</t>
  </si>
  <si>
    <t>A few days of thermal acclimation (to 5 degrees C versus 15 degrees C) may strongly affect tolerance to drought stress in Collembola. To better understand this phenomenon, the effect of acclimation on water loss rate and its consequence for survival in the species Pogonognathellus flavescens Tullberg (Tomoceridae) is investigated. Acclimation does not affect the water content of hydrated animals but animals exposed to 15 degrees C and 76% relative humidity lose water much faster after having been acclimated to 5 degrees C rather than 15 degrees C. Tolerance to water loss is not affected; in both treatment groups, animals survive up to 40% loss of the water content recorded when fully hydrated. The percentage water content of hydrated animals decreases with size, which may explain why the proportion of initial water lost appears to be a better predictor for survival than the amount of remaining water. The proportion of initial water lost per unit time is little influenced by size in animals acclimated to 15 degrees C but increases with decreasing size in the group at 5 degrees C, indicating that acclimation affects a physiological protection against water loss.</t>
  </si>
  <si>
    <t>[Leinaas, Hans Petter] Univ Oslo, Dept Biol, Integrat Biol Grp, N-0316 Oslo, Norway; [Slabber, Sarette; Chown, Steven L.] Univ Stellenbosch, Dept Bot &amp; Zool, Ctr Invas Biol, Matieland, South Africa</t>
  </si>
  <si>
    <t>University of Oslo; Stellenbosch University</t>
  </si>
  <si>
    <t>Leinaas, HP (corresponding author), Univ Oslo, Dept Biol, Integrat Biol Grp, POB 1066, N-0316 Oslo, Norway.</t>
  </si>
  <si>
    <t>h.p.leinaas@bio.uio.no</t>
  </si>
  <si>
    <t>Chown, Steven/ABD-7646-2021; Chown, Steven/H-3347-2011</t>
  </si>
  <si>
    <t>Chown, Steven/0000-0001-6069-5105</t>
  </si>
  <si>
    <t>South African National Research Foundation/Norwegian Research Council Science Liaison Grant</t>
  </si>
  <si>
    <t>South African National Research Foundation/Norwegian Research Council Science Liaison Grant(National Research Foundation - South Africa)</t>
  </si>
  <si>
    <t>We are grateful to Erika Nortje for assistance in field sampling and to Karl Erik Zachariassen and two anonymous referees for their helpful comments on the manuscript. This work was supported by a South African National Research Foundation/Norwegian Research Council Science Liaison Grant.</t>
  </si>
  <si>
    <t>WILEY-BLACKWELL</t>
  </si>
  <si>
    <t>0307-6962</t>
  </si>
  <si>
    <t>PHYSIOL ENTOMOL</t>
  </si>
  <si>
    <t>Physiol. Entomol.</t>
  </si>
  <si>
    <t>10.1111/j.1365-3032.2009.00693.x</t>
  </si>
  <si>
    <t>Entomology</t>
  </si>
  <si>
    <t>522CP</t>
  </si>
  <si>
    <t>WOS:000271975600004</t>
  </si>
  <si>
    <t>Clode, PL; Kilburn, MR; Jones, DL; Stockdale, EA; Cliff, JB; Herrmann, AM; Murphy, DV</t>
  </si>
  <si>
    <t>Clode, Peta L.; Kilburn, Matt R.; Jones, David L.; Stockdale, Elizabeth A.; Cliff, John B., III; Herrmann, Anke M.; Murphy, Daniel V.</t>
  </si>
  <si>
    <t>In Situ Mapping of Nutrient Uptake in the Rhizosphere Using Nanoscale Secondary Ion Mass Spectrometry</t>
  </si>
  <si>
    <t>PLANT PHYSIOLOGY</t>
  </si>
  <si>
    <t>SOIL; PLANT; CELL; ASSIMILATION; PROGRESS; CARBON</t>
  </si>
  <si>
    <t>Plant roots and microorganisms interact and compete for nutrients within the rhizosphere, which is considered one of the most biologically complex systems on Earth. Unraveling the nitrogen (N) cycle is key to understanding and managing nutrient flows in terrestrial ecosystems, yet to date it has proved impossible to analyze and image N transfer in situ within such a complex system at a scale relevant to soil-microbe-plant interactions. Linking the physical heterogeneity of soil to biological processes marks a current frontier in plant and soil sciences. Here we present a new and widely applicable approach that allows imaging of the spatial and temporal dynamics of the stable isotope N-15 assimilated within the rhizosphere. This approach allows visualization and measurement of nutrient resource capture between competing plant cells and microorganisms. For confirmation we show the correlative use of nanoscale secondary ion mass spectrometry, and transmission electron microscopy, to image differential partitioning of (NH4+)-N-15 between plant roots and native soil microbial communities at the submicron scale. It is shown that N-15 compounds can be detected and imaged in situ in individual microorganisms in the soil matrix and intracellularly within the root. Nanoscale secondary ion mass spectrometry has potential to allow the study of assimilatory processes at the submicron level in a wide range of applications involving plants, microorganisms, and animals.</t>
  </si>
  <si>
    <t>[Clode, Peta L.; Kilburn, Matt R.; Cliff, John B., III] Univ Western Australia, Ctr Microscopy Characterisat &amp; Anal, Crawley, WA 6009, Australia; [Herrmann, Anke M.; Murphy, Daniel V.] Univ Western Australia, Soil Biol Grp, Sch Earth &amp; Environm, Crawley, WA 6009, Australia; [Jones, David L.] Univ Wales, Sch Environm &amp; Nat Resources, Bangor LL57 2UW, Gwynedd, Wales; [Stockdale, Elizabeth A.; Herrmann, Anke M.] Newcastle Univ, Inst Res Environm &amp; Sustainabil, Newcastle Upon Tyne NE1 7RU, Tyne &amp; Wear, England</t>
  </si>
  <si>
    <t>University of Western Australia; University of Western Australia; Bangor University; Newcastle University - UK</t>
  </si>
  <si>
    <t>Murphy, DV (corresponding author), Univ Western Australia, Ctr Microscopy Characterisat &amp; Anal, Crawley, WA 6009, Australia.</t>
  </si>
  <si>
    <t>daniel.murphy@uwa.edu.au</t>
  </si>
  <si>
    <t>Herrmann, Anke Marianne/ABH-1728-2020; Stockdale, Elizabeth A/A-8141-2013; jones, davey/C-7411-2011; Cliff, John B/C-7696-2011; Jones, Davey/AAD-6037-2020; Clode, Peta L/C-4482-2011; Kilburn, Matthew/C-4515-2011</t>
  </si>
  <si>
    <t>jones, davey/0000-0002-1482-4209; Kilburn, Matthew/0000-0002-1858-8485; Murphy, Daniel/0000-0002-4686-9276; Clode, Peta/0000-0002-5188-4737; Stockdale, Elizabeth/0000-0003-4834-8594; Herrmann, Anke Marianne/0000-0002-6273-1234</t>
  </si>
  <si>
    <t>Australian Research Council; United Kingdom Natural Environmental Research Council; European Commission; Natural Environment Research Council [NER/G/S/2003/00008] Funding Source: researchfish</t>
  </si>
  <si>
    <t>Australian Research Council(Australian Research Council); United Kingdom Natural Environmental Research Council(UK Research &amp; Innovation (UKRI)Natural Environment Research Council (NERC)); European Commission(European Union (EU)European Commission Joint Research Centre); Natural Environment Research Council(UK Research &amp; Innovation (UKRI)Natural Environment Research Council (NERC))</t>
  </si>
  <si>
    <t>This work was supported by an Australian Research Council Discovery Project and a United Kingdom Natural Environmental Research Council Antarctic Funding Initiative grant. A. M. H. was funded through the European Commission (Marie Curie Outgoing International Fellowship Scheme FP6).</t>
  </si>
  <si>
    <t>AMER SOC PLANT BIOLOGISTS</t>
  </si>
  <si>
    <t>15501 MONONA DRIVE, ROCKVILLE, MD 20855 USA</t>
  </si>
  <si>
    <t>0032-0889</t>
  </si>
  <si>
    <t>1532-2548</t>
  </si>
  <si>
    <t>PLANT PHYSIOL</t>
  </si>
  <si>
    <t>Plant Physiol.</t>
  </si>
  <si>
    <t>10.1104/pp.109.141499</t>
  </si>
  <si>
    <t>528KK</t>
  </si>
  <si>
    <t>hybrid, Green Published</t>
  </si>
  <si>
    <t>WOS:000272443500005</t>
  </si>
  <si>
    <t>Chapman, SC; Watkins, NW</t>
  </si>
  <si>
    <t>Chapman, S. C.; Watkins, N. W.</t>
  </si>
  <si>
    <t>Avalanching systems under intermediate driving rate</t>
  </si>
  <si>
    <t>PLASMA PHYSICS AND CONTROLLED FUSION</t>
  </si>
  <si>
    <t>36th European-Physical-Society Conference on Plasma Physics</t>
  </si>
  <si>
    <t>JUN 29-JUL 03, 2009</t>
  </si>
  <si>
    <t>Natl Palace Culture, Sofia, BULGARIA</t>
  </si>
  <si>
    <t>Natl Palace Culture</t>
  </si>
  <si>
    <t>SELF-ORGANIZED CRITICALITY; TIME CORRELATIONS; ENERGY-RELEASE; MODEL; TRANSPORT; PARADIGM; ROBUSTNESS; DYNAMICS; BEHAVIOR; PLASMAS</t>
  </si>
  <si>
    <t>The paradigm of self-organized criticality (SOC) has found application in understanding scaling and bursty transport in driven, dissipative plasmas. SOC is, however, a limiting process that occurs as the ratio of driving rate to dissipation rate is taken to zero. We consider the more realistic scenario of finite driving rate. Similarity analysis reveals that there is a control parameter R-A which is analogous to the Reynolds number R-E of turbulence in that it relates to the number of excited degrees of freedom, that is, the range of spatio-temporal scales over which one finds scaling behaviour. However for avalanching systems the number of excited degrees of freedom is maximal at the zero driving rate, SOC limit, in the opposite sense to fluid turbulence. Practically, at finite R-E or R-A one observes scaling over a finite range which for turbulence, increases with R-E and for SOC, decreases with increasing R-A, suggesting an observable trend to distinguish them. We use the BTW sandpile model to explore this idea and find that whilst avalanche distributions can, depending on the details of the driving, reflect this behaviour, power spectra do not and thus are not clear discriminators of an SOC state.</t>
  </si>
  <si>
    <t>[Chapman, S. C.] Univ Warwick, Dept Phys, Ctr Fus Space &amp; Astrophys, Coventry CV4 7AL, W Midlands, England; [Watkins, N. W.] British Antarctic Survey NERC, Environm Change &amp; Evolut Programme, Cambridge CB3 OE7, England</t>
  </si>
  <si>
    <t>University of Warwick; UK Research &amp; Innovation (UKRI); Natural Environment Research Council (NERC); NERC British Antarctic Survey</t>
  </si>
  <si>
    <t>Chapman, SC (corresponding author), Univ Warwick, Dept Phys, Ctr Fus Space &amp; Astrophys, Coventry CV4 7AL, W Midlands, England.</t>
  </si>
  <si>
    <t>S.C.Chapman@warwick.ac.uk</t>
  </si>
  <si>
    <t>Watkins, Nicholas Wynn/C-5140-2008; Chapman, Sandra/C-2216-2008; Watkins, Nick/GPX-7439-2022</t>
  </si>
  <si>
    <t>Watkins, Nicholas Wynn/0000-0003-4484-6588; Chapman, Sandra/0000-0003-0053-1584; Watkins, Nick/0000-0003-4484-6588</t>
  </si>
  <si>
    <t>EPSRC [EP/H02395X/1, EP/D062837/1] Funding Source: UKRI; NERC [bas010021] Funding Source: UKRI; STFC [ST/F00205X/1] Funding Source: UKRI; Engineering and Physical Sciences Research Council [EP/D062837/1, EP/H02395X/1] Funding Source: researchfish; Natural Environment Research Council [bas010021] Funding Source: researchfish; Science and Technology Facilities Council [ST/F00205X/1] Funding Source: researchfish</t>
  </si>
  <si>
    <t>EPSRC(UK Research &amp; Innovation (UKRI)Engineering &amp; Physical Sciences Research Council (EPSRC)); NERC(UK Research &amp; Innovation (UKRI)Natural Environment Research Council (NERC)); STFC(UK Research &amp; Innovation (UKRI)Science &amp; Technology Facilities Council (STFC));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t>
  </si>
  <si>
    <t>IOP PUBLISHING LTD</t>
  </si>
  <si>
    <t>BRISTOL</t>
  </si>
  <si>
    <t>TEMPLE CIRCUS, TEMPLE WAY, BRISTOL BS1 6BE, ENGLAND</t>
  </si>
  <si>
    <t>0741-3335</t>
  </si>
  <si>
    <t>1361-6587</t>
  </si>
  <si>
    <t>PLASMA PHYS CONTR F</t>
  </si>
  <si>
    <t>Plasma Phys. Control. Fusion</t>
  </si>
  <si>
    <t>10.1088/0741-3335/51/12/124006</t>
  </si>
  <si>
    <t>Physics, Fluids &amp; Plasmas</t>
  </si>
  <si>
    <t>521RJ</t>
  </si>
  <si>
    <t>WOS:000271940800017</t>
  </si>
  <si>
    <t>Fernandez-Leborans, G; Cárdenas, CA</t>
  </si>
  <si>
    <t>Fernandez-Leborans, Gregorio; Cardenas, Cesar A.</t>
  </si>
  <si>
    <t>Epibiotic protozoan communities on juvenile southern king crabs (Lithodes santolla) from subantarctic areas</t>
  </si>
  <si>
    <t>POLAR BIOLOGY</t>
  </si>
  <si>
    <t>Epibiosis; King crab; Lithodes santolla; Protozoan ciliates; Surface distribution; Colonization patterns; Subantarctic areas; Magellan Strait</t>
  </si>
  <si>
    <t>AMPHIPOD GAMMARUS-WILKITZKII; BEAGLE CHANNEL; CRUSTACEANS; BOPYRIDAE; LINNAEUS; MAGELLAN; PARASITE; ISOPODA; ANOMURA; RECORD</t>
  </si>
  <si>
    <t>In this study, we describe for the first time the composition of epibiotic protozoan communities on juvenile southern king crabs Lithodes santolla. Basibionts were collected in subantarctic bays near Santa Ana Point (Magellan Strait, Chile). Seven epibiotic protozoan ciliates were found: Ephelota gemmipara, Ephelota gigantea, Podophrya fixa, Acineta tuberosa, Zoothamnium duplicatum, Chilodochona quennerstedti and Gymnodinioides sp. The mean number of epibionts per crab was 99 (maximum 897). Both Ephelota species were the most abundant and most widely distributed epibionts on the crab examined. The lengths of basibionts were correlated with the number of epibionts, indicating a relationship between the age of the crab and the state of epibiosis. Epibionts differed in their distribution patterns along the anteroposterior axis of the crab. Less abundant species tended to occupy sites that are not colonized by the predominant Ephelota species. Maxillipeds and pereiopods were most densely colonized by epibionts. The behaviours of epibionts and basibionts related to epibiosis are discussed. The recent studies about invasive lithodids in Antarctic areas enhance the interest for the epibiotic communities colonizing these crustaceans, which can illustrate changes in biodiversity and state of these environments.</t>
  </si>
  <si>
    <t>[Fernandez-Leborans, Gregorio] Univ Complutense, Fac Biol, Dept Zool, E-28040 Madrid, Spain; [Cardenas, Cesar A.] Univ Magallanes, Fac Ciencias, Programa Magister Ciencias Menc Manejo &amp; Conserva, Punta Arenas, Chile</t>
  </si>
  <si>
    <t>Complutense University of Madrid; Universidad de Magallanes</t>
  </si>
  <si>
    <t>Fernandez-Leborans, G (corresponding author), Univ Complutense, Fac Biol, Dept Zool, Pnta 9, E-28040 Madrid, Spain.</t>
  </si>
  <si>
    <t>greg@bio.ucm.es; ccardenas.cesar.cardenas@umag.cl</t>
  </si>
  <si>
    <t>Cardenas, Cesar/ABF-1664-2020</t>
  </si>
  <si>
    <t>Cardenas, Cesar/0000-0001-6662-6899</t>
  </si>
  <si>
    <t>ONE NEW YORK PLAZA, SUITE 4600, NEW YORK, NY, UNITED STATES</t>
  </si>
  <si>
    <t>0722-4060</t>
  </si>
  <si>
    <t>1432-2056</t>
  </si>
  <si>
    <t>POLAR BIOL</t>
  </si>
  <si>
    <t>Polar Biol.</t>
  </si>
  <si>
    <t>10.1007/s00300-009-0669-3</t>
  </si>
  <si>
    <t>Biodiversity Conservation; Ecology</t>
  </si>
  <si>
    <t>Biodiversity &amp; Conservation; Environmental Sciences &amp; Ecology</t>
  </si>
  <si>
    <t>519AF</t>
  </si>
  <si>
    <t>WOS:000271736700001</t>
  </si>
  <si>
    <t>Van de Putte, AP; Van Houdt, JKJ; Maes, GE; Janko, K; Koubbi, P; Rock, J; Volckaert, FAM</t>
  </si>
  <si>
    <t>Van de Putte, Anton Pieter; Van Houdt, J. K. J.; Maes, G. E.; Janko, K.; Koubbi, P.; Rock, J.; Volckaert, F. A. M.</t>
  </si>
  <si>
    <t>Species identification in the trematomid family using nuclear genetic markers</t>
  </si>
  <si>
    <t>Southern Ocean; Identification; Microsatellites; Notothenioidei; Trematomidae; Cryptic speciation</t>
  </si>
  <si>
    <t>INTEGRATED SOFTWARE; MICROSATELLITE LOCI; MOLECULAR EVIDENCE; GENUS SEBASTES; FISH; EVOLUTION; ASSIGNMENT; MITOCHONDRIAL; SEA; DNA</t>
  </si>
  <si>
    <t>The Trematominae, a subfamily of the Nototheniidae, are typical of the high-Antarctic shelf waters. Within the Trematominae examples of phenotypic plasticity and possible cryptic speciation have been observed. Morphological identification of adult stages can be problematic in cases of high phenotypic plasticity or cryptic speciation. Additionally, postlarval and juvenile stages often have traits still under development and which lack distinction. A microsatellite DNA multiplex of six markers has been developed for Trematomus newnesi (Van Houdt et al. 2006). This multiplex was tested on five additional trematomid taxa: Pagothenia borchgrevinki, Trematomus bernacchii, Trematomus eulepidotus, Trematomus hansoni and Trematomus scotti. We used these six microsatellite loci to assess the genetic differentiation among species and the resolution power of these loci for individual-based assignment methods. The six species could be well discriminated by conventional methods such as principal component analysis and distance-based methods, and individual Bayesian assignment methods. This marker set can be used for a number of purposes, including the identification of eggs and larval and adult stages. It is also useful for the investigation of recent phylogenetic patterns, as well as the detection of cryptic speciation, which has been suggested for T. bernacchii and T. newnesi but never confirmed with high polymorphic genetic markers.</t>
  </si>
  <si>
    <t>[Van de Putte, Anton Pieter; Van Houdt, J. K. J.; Maes, G. E.; Volckaert, F. A. M.] Katholieke Univ Leuven, Lab Anim Divers &amp; Systemat, B-3000 Louvain, Belgium; [Van Houdt, J. K. J.] Royal Museum Cent Africa, B-3080 Tervuren, Belgium; [Janko, K.] Acad Sci Czech Republ, Inst Anim Physiol &amp; Genet, Lab Fish Genet, Libechov, Czech Republic; [Koubbi, P.] Univ Paris 06, CNRS, Lab Oceanog Villefranche, F-06230 Villefranche Sur Mer, France; [Rock, J.] Bangor Univ, Sch Biol Sci, Mol Ecol &amp; Fisheries Genet Lab, Bangor LL57 2UW, Gwynedd, Wales</t>
  </si>
  <si>
    <t>KU Leuven; Royal Museum for Central Africa; Czech Academy of Sciences; Institute of Animal Physiology &amp; Genetics of the Czech Academy of Sciences; Sorbonne Universite; Centre National de la Recherche Scientifique (CNRS); Bangor University</t>
  </si>
  <si>
    <t>Van de Putte, AP (corresponding author), Katholieke Univ Leuven, Lab Anim Divers &amp; Systemat, Ch Deberiotstr 32, B-3000 Louvain, Belgium.</t>
  </si>
  <si>
    <t>Anton.vandeputte@bio.kuleuven.be</t>
  </si>
  <si>
    <t>Volckaert, Filip/AAC-7691-2019; Maes, Gregory/N-4983-2019; Koubbi, Philippe/D-5873-2015; Van de Putte, Anton/S-3729-2019; Maes, Gregory/C-5450-2008; Janko, Karel/G-7183-2014; Van de Putte, Anton P/F-6877-2012</t>
  </si>
  <si>
    <t>Maes, Gregory/0000-0002-1531-7321; Van de Putte, Anton/0000-0003-1336-5554; Maes, Gregory/0000-0002-1531-7321; Rock, Jenny/0000-0001-7250-6463</t>
  </si>
  <si>
    <t>Antarctica New Zealand; Latitudinal Gradients Project; Alfred Wegener Institute, Bremerhaven, Germany; Belgian Science Policy (BELSPO) [EV/01/30B, SD/BA/851]; Czech Academy of Sciences [B60045602, KJB600450903]; IRP lIAPG [AV0Z50450515]; Synthesys project [FR-TAF-325]; Natural Environment Research Council [NE/C506464/1] Funding Source: researchfish</t>
  </si>
  <si>
    <t>Antarctica New Zealand; Latitudinal Gradients Project; Alfred Wegener Institute, Bremerhaven, Germany; Belgian Science Policy (BELSPO)(Belgian Federal Science Policy Office); Czech Academy of Sciences(Czech Academy of Sciences); IRP lIAPG; Synthesys project; Natural Environment Research Council(UK Research &amp; Innovation (UKRI)Natural Environment Research Council (NERC))</t>
  </si>
  <si>
    <t>We are grateful to Craig Marshall, Karl Hermann Kock, Catherine Ozouf-Costaz and Guillaume Lecointre for providing us with material and for many inspirative discussions. We thank Antarctica New Zealand and the Latitudinal Gradients Project for supporting the work of K066 and to Alfred Wegener Institute, Bremerhaven, Germany, for supporting the Polarstern Cruise ANT XXIII-8 and Alastair Newton and the BIOPEARL team for help with collections onboard the RRS James Clark Ross. We also thank three anonymous referees for useful comments. This study was supported by the Belgian Science Policy (BELSPO projects no. EV/01/30B, PELAGANT and SD/BA/851, PADI), the Grant Agency of the Czech Academy of Sciences (GA AS CR) (No. B60045602 and No. KJB600450903), by the IRP lIAPG (No. AV0Z50450515), by the Synthesys project FR-TAF-325 conducted at the Museum National d'Histoire Naturelle (Paris, France).</t>
  </si>
  <si>
    <t>10.1007/s00300-009-0672-8</t>
  </si>
  <si>
    <t>WOS:000271736700004</t>
  </si>
  <si>
    <t>Cantero, ALP</t>
  </si>
  <si>
    <t>Pena Cantero, Alvaro L.</t>
  </si>
  <si>
    <t>Benthic hydroids (Cnidaria, Hydrozoa) from the Balleny Islands (Antarctica)</t>
  </si>
  <si>
    <t>Hydrozoans; Southern Ocean; Benthos; Autecology; Biogeography; New records</t>
  </si>
  <si>
    <t>EXPEDITIONS; ALLMAN</t>
  </si>
  <si>
    <t>Twenty-two species of benthic hydroids, belonging to ten families and 14 genera, were found in a hydroid collection obtained in the Balleny Islands during the BioRoss expedition with the NIWA research vessel Tangaroa in 2004. Twenty of those species constitute new records for the Balleny Islands, raising the total number of known species in the area to 25. Most are members of the subclass Leptothecata, although the subclass Anthoathecata is also relatively well represented. Kirchenpaueriidae and Sertulariidae constitute families with the greatest numbers of species in the collection, with five species (20%) each. Oswaldella with five species (20%) and Staurotheca with four (16%), were the most diverse genera. Twelve species (63%) are endemic to Antarctic waters, most of them with a circum-Antarctic distribution, and 17 (89%) are restricted to Antarctic or Antarctic/sub-Antarctic waters. Although the Balleny Islands hydroid fauna seems to be a typical Antarctic assemblage, it has some striking peculiarities, namely the absence or low representation of some typical and widespread Antarctic genera (Antarctoscyphus and Schizotricha/Symplectoscyphus, respectively).</t>
  </si>
  <si>
    <t>Univ Valencia, Fdn Gen Univ Valencia, Inst Cavanilles Biodiversidad &amp; Biol Evolut, Valencia 46071, Spain</t>
  </si>
  <si>
    <t>University of Valencia</t>
  </si>
  <si>
    <t>Cantero, ALP (corresponding author), Univ Valencia, Fdn Gen Univ Valencia, Inst Cavanilles Biodiversidad &amp; Biol Evolut, Apdo Correos 22085, Valencia 46071, Spain.</t>
  </si>
  <si>
    <t>alvaro.l.pena@uv.es</t>
  </si>
  <si>
    <t>Cantero, Álvaro Luis Peña/F-7888-2016</t>
  </si>
  <si>
    <t>Pena Cantero, Alvaro/0000-0003-3056-6673</t>
  </si>
  <si>
    <t>10.1007/s00300-009-0673-7</t>
  </si>
  <si>
    <t>WOS:000271736700005</t>
  </si>
  <si>
    <t>Krishnan, KP; Sinha, RK; Krishna, K; Nair, S; Singh, SM</t>
  </si>
  <si>
    <t>Krishnan, K. P.; Sinha, Rupesh Kumar; Krishna, Kiran; Nair, Shanta; Singh, S. M.</t>
  </si>
  <si>
    <t>Microbially mediated redox transformations of manganese (II) along with some other trace elements: a study from Antarctic lakes</t>
  </si>
  <si>
    <t>Antarctica; Lakes; Manganese; Oxidation; Bacteria</t>
  </si>
  <si>
    <t>FRESH-WATER LAKES; LARSEMANN HILLS; RESIDENCE TIMES; EAST ANTARCTICA; OXIDATION; BACTERIA; MN; METALS</t>
  </si>
  <si>
    <t>The significance of freshwater systems in global manganese cycles is well appreciated. Yet, the polar systems, which encompass the largest freshwater repository in the world, have been least studied for their role in manganese cycling. Here, we present results from a study that was conducted in the brackish water lakes in the Larsemann Hills region (east Antarctica). The rate of in situ manganese oxidation ranged from 0.04 to 3.96 ppb day(-1). These lakes harbor numerous manganese-oxidizing bacteria (10(5) to 10(6) CFU l(-1)), predominantly belonging to genera Shewanella, Pseudomonas and an unclassified genus in the family Oxalobacteriaceae. Experiments were conducted with representatives of predominant genera to understand their contribution to Mn cycling and also to assess their metabolic capabilities in the presence of this metal. In general, the total and respiring cell counts were stimulated to a maximum when the growth medium was amended with 10 mM manganese. The addition of manganese promoted the use of d-mannitol, maltose, etc., but inhibited the use of maltotriose, l-serine and glycyl l-glutamic acid. The bacterial isolates were able to catalyze both the redox reactions in manganese cycling. In vitro manganese oxidation rates ranged from 3 to 147 ppb day(-1), while manganese reduction rates ranged from 35 to 213 ppb day(-1). It was also observed that the maximum stimulation of manganese oxidation occurred in the presence of cobalt (81 +/- A 57 ppb day(-1)), rather than iron (37 +/- A 16 ppb day(-1)) and nickel (40 +/- A 47 ppb day(-1)). Our studies suggest that cobalt could have a more profound role in manganese oxidation, while nickel promoted manganese reduction in polar aquatic systems.</t>
  </si>
  <si>
    <t>[Krishnan, K. P.; Sinha, Rupesh Kumar; Singh, S. M.] Natl Ctr Antarctic &amp; Ocean Res, Vasco Da Gama 403804, Goa, India; [Krishna, Kiran; Nair, Shanta] Natl Inst Oceanog, Panaji, Goa, India</t>
  </si>
  <si>
    <t>Ministry of Earth Sciences (MoES) - India; National Centre for Polar and Ocean Research (NCPOR); Council of Scientific &amp; Industrial Research (CSIR) - India; CSIR - National Institute of Oceanography (NIO)</t>
  </si>
  <si>
    <t>Krishnan, KP (corresponding author), Natl Ctr Antarctic &amp; Ocean Res, Vasco Da Gama 403804, Goa, India.</t>
  </si>
  <si>
    <t>kpkrishnan@gmail.com</t>
  </si>
  <si>
    <t>P, Krishnan K/ABF-8783-2020; Sinha, Rupesh/ABB-8319-2020; krishna, Kiran/JPK-9560-2023</t>
  </si>
  <si>
    <t>krishna, Kiran/0000-0002-4286-8348; Sinha, Rupesh Kumar/0000-0002-2080-0975; , K. P. Krishnan/0000-0003-1101-657X</t>
  </si>
  <si>
    <t>Ministry of Earth Sciences, Government of India</t>
  </si>
  <si>
    <t>Ministry of Earth Sciences, Government of India(Ministry of Earth Science (MoES), Government of India)</t>
  </si>
  <si>
    <t>This work was supported by grants from the Ministry of Earth Sciences, Government of India. We are thankful to Shri Rasik Ravindra, Director, NCAOR for his interest in this study. Our sincere thanks are due to Dr Thamban Meloth and Mr Prashant Redkar (Ice Core Laboratory) for carrying out the ICP analysis, which was extremely crucial for this work and to Dr Rahul Mohan for helping with the SEM-EDS analysis. We record our gratefulness to Prof. Henry L. Ehrlich, Prof. Manfred Bolter and the two anonymous reviewers who critically reviewed the manuscript and helped us to improve the contents. This is NCAOR contribution no. R-49.</t>
  </si>
  <si>
    <t>10.1007/s00300-009-0676-4</t>
  </si>
  <si>
    <t>WOS:000271736700007</t>
  </si>
  <si>
    <t>Strauss, SL; Ruhland, CT; Day, TA</t>
  </si>
  <si>
    <t>Strauss, Sarah L.; Ruhland, Christopher T.; Day, Thomas A.</t>
  </si>
  <si>
    <t>Trends in soil characteristics along a recently deglaciated foreland on Anvers Island, Antarctic Peninsula</t>
  </si>
  <si>
    <t>Climate change; Chronosequence; Glacier foreland; Soil development; Succession; Regional warming</t>
  </si>
  <si>
    <t>SUCCESSION FOLLOWING DEGLACIATION; GLACIER BAY; VASCULAR PLANTS; CLIMATE-CHANGE; RESPIRATION; VEGETATION; NITROGEN; CHRONOSEQUENCES; POPULATION; ECOSYSTEMS</t>
  </si>
  <si>
    <t>We assessed patterns in soil development at a recently deglaciated foreland on Anvers Island on the Antarctic Peninsula. Soil samples were collected along transects extending 35 m over bare ground from the edge of a receding glacier; the far end of these transects has been ice free for approximately 20 years. We also compared soils at the far end of these transects under bare ground to those under canopies of isolated individuals of Deschampsia antarctica, a caespitose grass, that had recently colonized the site (established for &lt; 6 years). In addition, we compared soils at this young foreland to those in a well-developed tundra island that has been ice free for at least several hundred years. At the foreland site, soil moisture was greatest near the glacier, consistent with proximity to meltwater, and declined with distance from the glacier. This decline in soil moisture may explain the decrease in litter decomposition rates and the greater soil nitrate (NO3 (-)) concentrations that we observed with distance from the glacier. The greater soil moisture near the glacier likely promoted leaching and transport of NO3 (-) to drier soils away from the glacier. The presence of D. antarctica at the glacier foreland had little effect on soil properties, which is not surprising considering it had only colonized sampling areas during the previous 5 years. Compared to the foreland, which contained only mineral soil, soil at the older tundra site had a 2.5- to 5-cm-thick organic horizon that had much higher concentrations of total carbon, nitrogen, and NO3 (-).</t>
  </si>
  <si>
    <t>[Strauss, Sarah L.; Day, Thomas A.] Arizona State Univ, Sch Life Sci, Tempe, AZ 85287 USA; [Ruhland, Christopher T.] Minnesota State Univ, Dept Biol Sci, TS Trafton Sci Ctr 242, Mankato, MN 56001 USA</t>
  </si>
  <si>
    <t>Arizona State University; Arizona State University-Tempe; Minnesota State Colleges &amp; Universities; Minnesota State University Mankato</t>
  </si>
  <si>
    <t>Strauss, SL (corresponding author), Arizona State Univ, Sch Life Sci, Tempe, AZ 85287 USA.</t>
  </si>
  <si>
    <t>sarah.strauss@asu.edu</t>
  </si>
  <si>
    <t>Strauss, Sarah L/I-5141-2016; Day, Thomas/B-1462-2008</t>
  </si>
  <si>
    <t>Day, Thomas/0000-0002-1582-4585</t>
  </si>
  <si>
    <t>National Science Foundation [OPP-0230579]</t>
  </si>
  <si>
    <t>We thank field team member Caroline DeVan and personnel at Palmer Station and Raytheon Polar Services Company for their assistance in field collection, administrative and logistical support. This work was supported by National Science Foundation grant OPP-0230579.</t>
  </si>
  <si>
    <t>10.1007/s00300-009-0677-3</t>
  </si>
  <si>
    <t>WOS:000271736700008</t>
  </si>
  <si>
    <t>Lisovski, S; Pavel, V; Weidinger, K; Peter, HU</t>
  </si>
  <si>
    <t>Lisovski, Simeon; Pavel, Vaclav; Weidinger, Karel; Peter, Hans-Ulrich</t>
  </si>
  <si>
    <t>First breeding record of the light-mantled sooty albatross (Phoebetria palpebrata) for the maritime Antarctic</t>
  </si>
  <si>
    <t>Diomedeidae; Phoebetria palpebrata; Fildes Peninsula; Antarctica</t>
  </si>
  <si>
    <t>FISHERIES; ISLAND</t>
  </si>
  <si>
    <t>The light-mantled sooty albatross is a medium-sized albatross with a circumpolar distribution in the Southern Ocean. The known breeding sites are restricted to Islands in sub-Antarctic latitudes close to the Antarctic convergence between 46A degrees and 53A degrees S. In the austral summer season 2008/2009 we discovered a new breeding colony with at least two confirmed and three probable nests at Fildes Peninsula, King George Island, South Shetland Islands, Antarctica (62A degrees 12'S, 59A degrees 01'W). The new breeding colony of light-mantled sooty albatross described here represents the southernmost breeding place of any albatross species ever recorded.</t>
  </si>
  <si>
    <t>[Lisovski, Simeon; Peter, Hans-Ulrich] Univ Jena, Inst Ecol, Polar &amp; Bird Ecol Grp, D-07743 Jena, Germany; [Pavel, Vaclav; Weidinger, Karel] Palacky Univ, Fac Sci, Dept Zool, Olomouc 77146, Czech Republic; [Pavel, Vaclav; Weidinger, Karel] Palacky Univ, Fac Sci, Ornithol Lab, Olomouc 77146, Czech Republic</t>
  </si>
  <si>
    <t>Friedrich Schiller University of Jena; Palacky University Olomouc; Palacky University Olomouc</t>
  </si>
  <si>
    <t>Lisovski, S (corresponding author), Univ Jena, Inst Ecol, Polar &amp; Bird Ecol Grp, Dornburger Str 159, D-07743 Jena, Germany.</t>
  </si>
  <si>
    <t>Simeon.Lisovski@uni-jena.de</t>
  </si>
  <si>
    <t>Lisovski, Simeon/I-2412-2012; Weidinger, Karel/J-6758-2012; Lisovski, Simeon/AAD-4201-2019</t>
  </si>
  <si>
    <t>Lisovski, Simeon/0000-0002-6399-0035</t>
  </si>
  <si>
    <t>Deutsche Forschungsgemeinschaft [pe 454/1V]; Ministry of Education [MSM 6198959212]; Ministry of Environment of the Czech Republic [VaV SP II 1a9/23/07]</t>
  </si>
  <si>
    <t>Deutsche Forschungsgemeinschaft(German Research Foundation (DFG)); Ministry of Education; Ministry of Environment of the Czech Republic</t>
  </si>
  <si>
    <t>We are very grateful to M. Finkelstein and an anonymous referee for providing helpful comments on an earlier draft of the manuscript. S. Lisovski and H.-U. Peter were partially supported by the Deutsche Forschungsgemeinschaft (pe 454/1V); V. Pavel and K. Weidinger were supported by grants from the Ministry of Education (MSM 6198959212) and Ministry of Environment (VaV SP II 1a9/23/07) of the Czech Republic.</t>
  </si>
  <si>
    <t>10.1007/s00300-009-0705-3</t>
  </si>
  <si>
    <t>WOS:000271736700011</t>
  </si>
  <si>
    <t>Hansen, G; Aspmo, K; Berg, T; Edvardsen, K; Fiebig, M; Kallenborn, R; Krognes, T; Lunder, C; Stebel, K; Schmidbauer, N; Solberg, S; Yttri, KE</t>
  </si>
  <si>
    <t>Hansen, Georg; Aspmo, Katrine; Berg, Torunn; Edvardsen, Kare; Fiebig, Mmarkus; Kallenborn, Roland; Krognes, Terje; Lunder, Chris; Stebel, Kersten; Schmidbauer, Norbert; Solberg, Sverre; Yttri, Karl Espen</t>
  </si>
  <si>
    <t>Atmospheric monitoring at the Norwegian Antarctic station Troll: measurement programme and first results</t>
  </si>
  <si>
    <t>POLAR RESEARCH</t>
  </si>
  <si>
    <t>Antarctica; atmosphere; pollution</t>
  </si>
  <si>
    <t>SPRINGTIME DEPLETION; MERCURY; AEROSOL; OZONE</t>
  </si>
  <si>
    <t>The Troll Atmospheric Station in Antarctica (72 degrees 01'S, 2 degrees 32'E, 1309 m a.s.l.) was established and put into operation in early 2007. The main foci of the measurement programme are pollution and aerosols in the transition zone between the coastal zone and the inland ice plateau, complementing existing observation programmes along the Antarctic coast and on the Antarctic Plateau. After one year of operation, the monitoring programme is fully operative, and a comprehensive set of data is being analysed. As far as comparable data are available, there is satisfactory agreement between previous and new data. Both aerosol data and measurements of pollution indicate the episodic influence of coastal air masses throughout the year. Background values of medium long-lived pollutants such as CO, O-3 and Hg are up to 50% lower than at corresponding Arctic sites (depending on the season), but are still significant. Total ozone and UV doses manifest the recurring Antarctic stratospheric ozone hole, which was moderately severe, but very persistent in 2007. Specific episodes of elevated aerosol concentration and mercury activation are currently under detailed investigation, and will be published separately.</t>
  </si>
  <si>
    <t>[Hansen, Georg; Edvardsen, Kare] Norwegian Inst Air Res, Polar Environm Ctr, NO-9296 Tromso, Norway; [Aspmo, Katrine; Fiebig, Mmarkus; Kallenborn, Roland; Krognes, Terje; Lunder, Chris; Stebel, Kersten; Schmidbauer, Norbert; Solberg, Sverre; Yttri, Karl Espen] Norwegian Inst Air Res, NO-2027 Kjeller, Norway; [Berg, Torunn] Norwegian Univ Sci &amp; Technol, Dept Chem, NO-7491 Trondheim, Norway</t>
  </si>
  <si>
    <t>NILU; NILU; Norwegian University of Science &amp; Technology (NTNU)</t>
  </si>
  <si>
    <t>Hansen, G (corresponding author), Norwegian Inst Air Res, Polar Environm Ctr, NO-9296 Tromso, Norway.</t>
  </si>
  <si>
    <t>ghh@nilu.no</t>
  </si>
  <si>
    <t>Solberg, Sverre/AAC-1439-2021; Yttri, Karl Espen/E-6671-2012; Kallenborn, Roland/F-8368-2011; Pfaffhuber, Katrine Aspmo/G-9334-2017; Berg, Torunn/S-5887-2017; Berg, Torunn/I-3521-2013; Stebel, Kerstin/F-6465-2013; Fiebig, Markus/I-4872-2012</t>
  </si>
  <si>
    <t>Solberg, Sverre/0000-0001-7869-9286; Kallenborn, Roland/0000-0003-1703-2538; Berg, Torunn/0000-0002-2264-6676; Stebel, Kerstin/0000-0002-6935-7564; Fiebig, Markus/0000-0002-3380-3470</t>
  </si>
  <si>
    <t>Norwegian Antarctic Research Expeditions programme</t>
  </si>
  <si>
    <t>The atmospheric monitoring and research programme at Troll Station is mostly funded by the Norwegian Antarctic Research Expeditions programme, administered by the Norwegian Polar Institute (NPI). We are also very grateful to the excellent technical support by the NPI staff during the establishment phase of the station, and to their continuous support in the operational phase of the programme. Access to ozonesonde data from Neumayer Station via the NADIR database, and to OMI total ozone data at ftp://toms.gsfc.nasa.gov/pub/omi/data/ozone, is gratefully acknowledged.</t>
  </si>
  <si>
    <t>0800-0395</t>
  </si>
  <si>
    <t>1751-8369</t>
  </si>
  <si>
    <t>POLAR RES</t>
  </si>
  <si>
    <t>Polar Res.</t>
  </si>
  <si>
    <t>10.1111/j.1751-8369.2009.00134.x</t>
  </si>
  <si>
    <t>Ecology; Geosciences, Multidisciplinary; Oceanography</t>
  </si>
  <si>
    <t>Environmental Sciences &amp; Ecology; Geology; Oceanography</t>
  </si>
  <si>
    <t>524ST</t>
  </si>
  <si>
    <t>WOS:000272163900004</t>
  </si>
  <si>
    <t>Hernández, EA; Ferreyra, GA; Ruberto, LAM; Mac Cormack, WP</t>
  </si>
  <si>
    <t>Hernandez, Edgardo A.; Ferreyra, Gustavo A.; Ruberto, Lucas A. M.; Mac Cormack, Walter P.</t>
  </si>
  <si>
    <t>The water column as an attenuating factor of the UVR effects on bacteria from a coastal Antarctic marine environment</t>
  </si>
  <si>
    <t>Antarctica; marine bacteria; psychrotolerants; UV radiation; water column</t>
  </si>
  <si>
    <t>KING GEORGE ISLAND; SOLAR ULTRAVIOLET-RADIATION; POTTER COVE; SOUTH SHETLAND; B RADIATION; BACTERIOPLANKTON; DNA; ACCUMULATION; PENETRATION</t>
  </si>
  <si>
    <t>The effect of UVR on the viability of the culturable bacterial community fraction (CBC), and two of their isolated components (Arthrobacter-UVvi and Bizionia-UVps), was studied in the top few metres of the water column at Potter Cove, King George Island, Antarctica. Quartz flasks containing CBC from surface waters were exposed to solar radiation at depths of 0, 1 and 3 m. Similar experiments using UVps and UVvi isolates were performed. In some experiments interferential filters were used to discriminate photosynthetic active radiation (PAR), UV-A and UV-B. CBC from depths of 0, 10 and 30 m were also exposed to surface solar radiation. The deleterious effect of UVR was observed at the surface and at a depth of 1 m, but not at a depth of 3 m. Studies with interferential filters showed low bacterial viability values at depths of 0 and 1 m under both UVR treatments. However, under low radiation doses the effect attributed to UV-B was higher than that caused by UV-A. The surface CBC was more resistant to UVR compared with CBC from a depth of 30 m. The results showed that CBC inhabiting waters above the pycnocline (located at a depth of 5-10 m) are more efficiently adapted to UVR than are those from below the pycnocline. The impact of UVR on the marine bacterioplankton studied was only detected in the first metre of the stratified water column of Potter Cove, which has high levels of suspended particulate matter. These results support the evidence for a significant UVR-attenuating effect in the water column of this coastal Antarctic water.</t>
  </si>
  <si>
    <t>[Ferreyra, Gustavo A.; Mac Cormack, Walter P.] Inst Antartico Argentino, Buenos Aires, DF, Argentina; [Hernandez, Edgardo A.; Ruberto, Lucas A. M.] Univ Buenos Aires, Fac Farm &amp; Bioquim, Catedra Biotecnol, RA-1113 Buenos Aires, DF, Argentina; [Ruberto, Lucas A. M.] Consejo Nacl Invest Cient &amp; Tecn, Buenos Aires, DF, Argentina</t>
  </si>
  <si>
    <t>Instituto Antartico Argentino; University of Buenos Aires; Consejo Nacional de Investigaciones Cientificas y Tecnicas (CONICET)</t>
  </si>
  <si>
    <t>Mac Cormack, WP (corresponding author), Inst Antartico Argentino, Cerrito 1248,Codigo Postal C1010AAZ, Buenos Aires, DF, Argentina.</t>
  </si>
  <si>
    <t>wmac@ffyb.uba.ar</t>
  </si>
  <si>
    <t>Mac Cormack, Walter/0000-0002-5280-5463; Ferreyra, Gustavo Adolfo/0000-0003-1953-5067; Ruberto, Lucas Adolfo Mauro/0000-0001-5604-772X</t>
  </si>
  <si>
    <t>Instituto Antartico Argentino [PICTA 10]</t>
  </si>
  <si>
    <t>Instituto Antartico Argentino</t>
  </si>
  <si>
    <t>We thank Oscar Gonzalez and Leonardo Cantoni for technical assistance, and the Alfred Wegener Institute for providing the UV-B data and laboratory facilities. This research was supported in part by the Instituto Antartico Argentino PICTA 10 grant.</t>
  </si>
  <si>
    <t>10.1111/j.1751-8369.2009.00111.x</t>
  </si>
  <si>
    <t>WOS:000272163900007</t>
  </si>
  <si>
    <t>Primo, C; Vázquez, E</t>
  </si>
  <si>
    <t>Primo, Carmen; Vazquez, Elsa</t>
  </si>
  <si>
    <t>Antarctic ascidians: an isolated and homogeneous fauna</t>
  </si>
  <si>
    <t>Ascidiacea; Antarctica; biogeographical categories; cluster analysis; Southern Ocean; zoogeography</t>
  </si>
  <si>
    <t>BELLINGSHAUSEN SEA; SOUTHERN-OCEAN; BENTHIC FAUNA; SCOTIA ARC; BIOGEOGRAPHY; BIODIVERSITY; CRUSTACEA; TUNICATA; ISLANDS; MALACOSTRACA</t>
  </si>
  <si>
    <t>Several biogeographical studies have already been performed on the ascidians of the Antarctic region. However, new data obtained in the last few years have led us to a revision of the biogeography of this fauna. To examine the biogeographical structure of the Antarctic region, we divided it into 10 sectors, depending on the principal geographical features, and then applied cluster analysis and a multi-dimensional scaling ordination to a presence/absence matrix of species for each biogeographical area. Our study shows that Antarctic ascidians are a very homogeneous fauna, with a high level of endemism in the whole region (25-51% of Antarctic endemic species per sector), but with a low percentage of sector endemism (only up to 10%). This probably results from isolation arising from the Antarctic Convergence, and the vast geographical distances from adjacent regions, as well as from the relative constancy of the hydrographical conditions and the dispersal of organisms through circumpolar currents. In fact, cosmopolitan species represented only 0-7% of the total ascidian fauna in all sectors. Only the Bellingshausen Sea (low sample size), Bouvet circle divide ya (young and isolated, with an impoverished ascidian fauna) and the South Sandwich Islands (also young and isolated) are relatively separated. The insular sectors were more closely related to the South America and sub-Antarctic regions than the continental ones, showing a latitudinal gradient.</t>
  </si>
  <si>
    <t>[Primo, Carmen; Vazquez, Elsa] Univ Vigo, Dept Ecoloxia &amp; Bioloxia Anim, Fac Ciencias Mar, ES-36310 Vigo, Spain</t>
  </si>
  <si>
    <t>Universidade de Vigo</t>
  </si>
  <si>
    <t>Primo, C (corresponding author), Univ Vigo, Dept Ecoloxia &amp; Bioloxia Anim, Fac Ciencias Mar, ES-36310 Vigo, Spain.</t>
  </si>
  <si>
    <t>carprimo@uvigo.es</t>
  </si>
  <si>
    <t>Vázquez, Elsa/D-7082-2013; Primo, Carmen/F-5431-2015</t>
  </si>
  <si>
    <t>Vazquez, Elsa/0000-0003-0782-4734; Primo, Carmen/0000-0001-8619-1036</t>
  </si>
  <si>
    <t>Xunta de Galicia</t>
  </si>
  <si>
    <t>Xunta de Galicia(Xunta de Galicia)</t>
  </si>
  <si>
    <t>We thank Dr Jeff Wright for his helpful suggestions and revision of the English, and the valuable comments of two anonymous reviewers. This study was financed by a pre-doctoral fellowship to C. Primo from Xunta de Galicia.</t>
  </si>
  <si>
    <t>OPEN ACADEMIA AB</t>
  </si>
  <si>
    <t>SPANGA</t>
  </si>
  <si>
    <t>STORMBYVAGEN 6, SPANGA, SE-163 55, SWEDEN</t>
  </si>
  <si>
    <t>POLAR RES-SWEDEN</t>
  </si>
  <si>
    <t>10.1111/j.1751-8369.2009.00110.x</t>
  </si>
  <si>
    <t>Green Published, Bronze, Green Accepted</t>
  </si>
  <si>
    <t>WOS:000272163900009</t>
  </si>
  <si>
    <t>Yebra, L; Hernández-León, S; Almeida, C; Bécognée, P</t>
  </si>
  <si>
    <t>Yebra, Lidia; Hernandez-Leon, Santiago; Almeida, Carlos; Becognee, Pierrick</t>
  </si>
  <si>
    <t>Metabolism and biomass vertical distribution of zooplankton in the Bransfield Strait during the austral summer of 2000</t>
  </si>
  <si>
    <t>AARS; Antarctic Peninsula; biomass; ETS; metabolism; zooplankton</t>
  </si>
  <si>
    <t>LIFE-CYCLE STRATEGIES; SIZE-FRACTIONATED PHYTOPLANKTON; KRILL-COPEPOD INTERACTIONS; ELECTRON-TRANSPORT SYSTEM; SUB-ANTARCTIC COPEPODS; EASTERN WEDDELL-SEA; SOUTHERN-OCEAN; BELLINGSHAUSEN SEA; EUPHAUSIA-SUPERBA; ATLANTIC SECTOR</t>
  </si>
  <si>
    <t>The vertical distribution (0-550 m) of zooplankton biomass, and indices of respiration (electron transfer system [ETS]) and structural growth (aminoacyl-tRNA synthetases activity [AARS]), were studied in waters off the Antarctic Peninsula during the austral summer of 2000. The dominant species were the copepod Metridia gerlachei and the euphausiid Euphausia superba. We observed a vertical krill/copepod substitution in the water column. The zooplankton biomass in the layer at a depth of 200-500 m was of the same magnitude as the biomass in the layer at a depth of 0-200 m, indicating that biomass in the mesopelagic zone is an important fraction of the total zooplankton in Antarctic waters. The metabolic rates of the zooplankton community were sustained by less than 0.5% of the primary production in the area, suggesting that microplankton or small copepods are the main food source. Neither food availability nor predation seemed to control mesozooplankton biomass. The wide time lag between the abundance peak of the dominant copepod (M. gerlachei) and the phytoplankton bloom is suggested to be the main explanation for the low summer zooplankton biomass observed in these waters.</t>
  </si>
  <si>
    <t>[Yebra, Lidia] CSIC, Inst Ciencias Mar, ES-08003 Barcelona, Spain; [Yebra, Lidia; Hernandez-Leon, Santiago; Almeida, Carlos; Becognee, Pierrick] Univ Las Palmas Gran Canaria, Fac Ciencias Mar, Biol Oceanog Lab, ES-35017 Las Palmas Gran Canaria, Canary Islands, Spain</t>
  </si>
  <si>
    <t>Consejo Superior de Investigaciones Cientificas (CSIC); CSIC - Centro Mediterraneo de Investigaciones Marinas y Ambientales (CMIMA); CSIC - Instituto de Ciencias del Mar (ICM); Universidad de Las Palmas de Gran Canaria</t>
  </si>
  <si>
    <t>Yebra, L (corresponding author), CSIC, Inst Ciencias Mar, Passeig Maritim Barceloneta 37-49, ES-08003 Barcelona, Spain.</t>
  </si>
  <si>
    <t>lyebra@icm.csic.es</t>
  </si>
  <si>
    <t>Hernández-León, Santiago/M-2563-2014; DE ALMEIDA, CARLOS CAETANO/K-4265-2016; Yebra, Lidia/C-1667-2016; Almeida, Carlos/AAN-3854-2021; Yebra, Lidia/AAV-4112-2020</t>
  </si>
  <si>
    <t>Yebra, Lidia/0000-0001-6399-299X; Almeida, Carlos/0000-0001-9283-4851; Yebra, Lidia/0000-0001-6399-299X; Hernandez-Leon, Santiago/0000-0002-3085-4969</t>
  </si>
  <si>
    <t>Spanish Science and Education Ministry [MAR97-1036]; University of Las Palmas de Gran Canaria; European Social Fund</t>
  </si>
  <si>
    <t>Spanish Science and Education Ministry(Spanish Government); University of Las Palmas de Gran Canaria; European Social Fund(European Social Fund (ESF))</t>
  </si>
  <si>
    <t>We thank the crew of the RV BIO Hesperides, the technicians of the Unidad de Tecnologia Marina (CSIC) and the participants of the ESEPAC 2000 cruise for their support at sea, especially S. Agusti for inviting us to participate in the ESEPAC project (ANT97-0273). We are indebted to N. Agawin for kindly supplying primary production values obtained during the cruise, and X. Moran and I.A. Catalan for providing additional data. This work was undertaken while L. Yebra was at the Biological Oceanography Laboratory of the Universidad de Las Palmas de Gran Canaria, supported by grants from the Spanish Science and Education Ministry (MAR97-1036) and the University of Las Palmas de Gran Canaria. Completion of this work was funded by the European Social Fund (I3P programme, CSIC).</t>
  </si>
  <si>
    <t>CO-ACTION PUBLISHING</t>
  </si>
  <si>
    <t>JARFALLA</t>
  </si>
  <si>
    <t>RIPVAGEN 7, JARFALLA, SE-175 64, SWEDEN</t>
  </si>
  <si>
    <t>10.1111/j.1751-8369.2009.00116.x</t>
  </si>
  <si>
    <t>WOS:000272163900010</t>
  </si>
  <si>
    <t>van den Hoff, J; Ferris, JM</t>
  </si>
  <si>
    <t>van den Hoff, John; Ferris, John M.</t>
  </si>
  <si>
    <t>Pleomorphism in the Antarctic flagellate Pyramimonas gelidicola (Prasinophyceae, Chlorophyta)</t>
  </si>
  <si>
    <t>Antarctica; life history; pleomorphism; Prasinophyceae; Pyramimonas</t>
  </si>
  <si>
    <t>SP-NOV PRASINOPHYCEAE; STAGE; LIGHT; ICE</t>
  </si>
  <si>
    <t>Species of the genus Pyramimonas (Prasinophyceae) are a common, widespread, but minor component of the Antarctic marine phytoplankton. They are often associated with the seasonal sea-ice environment. Pyramimonas gelidicola (McFadden, Moestrup &amp; Wetherbee, 1982) was isolated from the water column of a saline Antarctic lake, and observations on the organism's life history as it grew in unialgal cultures were made. The alga proved to be pleomorphic: capable of producing several morphologically distinct life stages. We recorded motile single-celled quadriflagellates that formed two statistically distinct size classes, a rare uniflagellate cell-type, and aggregations of quadriflagellate cells, multilobed forms and an encystment stage. Multilobed forms and cell aggregations, never before observed in an Antarctic Pyramimonas species, are presumed to be growth medium-induced morphotypes. Multilobed forms contained an equal number of nuclei and lobes, suggesting that they are the product of asexual reproduction. Some of the morphotypes we report here may never be observed under natural field conditions, but the potential for this alga to alternate between morphotypes is clearly demonstrated.</t>
  </si>
  <si>
    <t>[van den Hoff, John; Ferris, John M.] Australian Antarctic Div, Kingston, Tas 7050, Australia</t>
  </si>
  <si>
    <t>van den Hoff, J (corresponding author), Australian Antarctic Div, 203 Channel Highway, Kingston, Tas 7050, Australia.</t>
  </si>
  <si>
    <t>john_van@aad.gov.au</t>
  </si>
  <si>
    <t>10.1111/j.1751-8369.2009.00123.x</t>
  </si>
  <si>
    <t>WOS:000272163900011</t>
  </si>
  <si>
    <t>Debret, M; Sebag, D; Crosta, X; Massei, N; Petit, JR; Chapron, E; Bout-Roumazeilles, V</t>
  </si>
  <si>
    <t>Debret, M.; Sebag, D.; Crosta, X.; Massei, N.; Petit, J. -R.; Chapron, E.; Bout-Roumazeilles, V.</t>
  </si>
  <si>
    <t>Evidence from wavelet analysis for a mid-Holocene transition in global climate forcing</t>
  </si>
  <si>
    <t>QUATERNARY SCIENCE REVIEWS</t>
  </si>
  <si>
    <t>SOUTHERN-OCEAN SEDIMENTS; HOLOCENE NORTH-ATLANTIC; MAJOR DIATOM TAXA; ICE-CORE; LATE PLEISTOCENE; SEA-ICE; GLACIER FLUCTUATIONS; LATITUDE CLIMATE; CAL YR; VARIABILITY</t>
  </si>
  <si>
    <t>A strong mid-Holocene transition has been identified by wavelet analyses in several sea ice cover records from the circum-Antarctic area, ice core records (Taylor dome, Byrd) and tropical marine records. The results are compared with those previously published in a synthesis of North Atlantic records and with 4 new records from the Norwegian and Icelandic seas and from a coastal site in Ireland. These new records confirm the previous pattern for the North Atlantic area, extend this pattern nearly to the Arctic Circle, and include a continental record. We further tested the possibility of extending this scheme using continental records from South America. The Holocene pattern proposed here confirms the importance of external forcing during the Early Holocene (solar activity: 1000 years cyclicity and 2500 years during the entire Holocene), even if the signal is disturbed by meltwater fluxes. The second part of the Holocene is then marked by the gradual appearance of internal forcing (thermohaline circulation around 1500 years), associated with a stabilisation of the signal. Coupling between ocean and atmosphere seems to play a fundamental role in the observed frequencies which vary accordingly in the Atlantic, circum-Antarctic and Pacific areas. The North Atlantic area seems to be the instigator of thermohaline circulation as shown by its sensitivity to meltwater discharges during the Early Holocene, even though each sector is independent with regards to its frequency content (around 1600 years for Atlantic Area; around 1250 years for Antarctica). The Holocene methane pattern, still under debate [Ruddiman, W.F., 2003a. Orbital insolation, ice volume and greenhouse gases. Quaternary Science Review 22,1597-1629; Ruddiman, W.F., 2003b. The anthropogenic greenhouse era began thousands of years ago. Climatic Change 61, 261-293]. could be explained by a more efficient thermohaline circulation around the mid-Holocene with an anthropogenic effect initiated at similar to 2500 BP as shown by the inter-hemispheric gradient. (C) 2009 Elsevier Ltd. All rights reserved.</t>
  </si>
  <si>
    <t>[Debret, M.; Chapron, E.] Univ Orleans, CNRS, INSU, Univ Tours,ISTO,UMR 6113, F-45071 Orleans 2, France; [Debret, M.; Petit, J. -R.] Univ Grenoble 1, CNRS, UMR 5183, Lab Glaciol &amp; Geophys Environm, F-38402 St Martin Dheres, France; [Sebag, D.; Massei, N.] Univ Rouen, CNRS, UMR 6143, INSU,Lab Morphodynam Continentale &amp; Cotiere, F-76821 Mont St Aignan, France; [Crosta, X.] Univ Bordeaux 1, CNRS, UMR 5805, EPOC, F-33405 Talence, France; [Bout-Roumazeilles, V.] Univ Lille 1, PBDS Lab, UMR 8110, CNRS, F-59655 Villeneuve Dascq, France</t>
  </si>
  <si>
    <t>Centre National de la Recherche Scientifique (CNRS); CNRS - National Institute for Earth Sciences &amp; Astronomy (INSU); Universite de Tours; Bureau de Recherches Geologiques et Minieres (BRGM); Universite de Orleans; Communaute Universite Grenoble Alpes; Universite Grenoble Alpes (UGA); Centre National de la Recherche Scientifique (CNRS); Universite de Rouen Normandie; Centre National de la Recherche Scientifique (CNRS); CNRS - National Institute for Earth Sciences &amp; Astronomy (INSU); Universite de Bordeaux; Centre National de la Recherche Scientifique (CNRS); CNRS - National Institute for Earth Sciences &amp; Astronomy (INSU); Universite de Lille; Centre National de la Recherche Scientifique (CNRS)</t>
  </si>
  <si>
    <t>Debret, M (corresponding author), Univ Orleans, CNRS, INSU, Univ Tours,ISTO,UMR 6113, 1A Rue Ferollerie, F-45071 Orleans 2, France.</t>
  </si>
  <si>
    <t>maxime.debret@cnrs-orleans.fr</t>
  </si>
  <si>
    <t>SEBAG, David/A-4139-2008; Roumazeilles, Viviane Bout/A-8278-2008; BOUT-ROUMAZEILLES, Viviane/AAD-5259-2019; Massei, Nicolas/HLX-1911-2023; Debret, Maxime/L-4236-2017</t>
  </si>
  <si>
    <t>SEBAG, David/0000-0002-6446-6921; BOUT-ROUMAZEILLES, Viviane/0000-0001-6917-818X; Massei, Nicolas/0000-0001-9951-4041; Debret, Maxime/0000-0002-8852-0152</t>
  </si>
  <si>
    <t>ANR; PICC [ANR-05-BLAN-0312-02]</t>
  </si>
  <si>
    <t>ANR(Agence Nationale de la Recherche (ANR)); PICC</t>
  </si>
  <si>
    <t>We acknowledge Basile Deflorian, John Andrews, Matthias Moros, Bjorg Risebrobakken, Martine DeAngelis, Jerome Chappellaz, Laetitia Loulergue, jean-Marc Barnola, Dominique Raynaud, Emmanuel LeMeur, Valerie Masson-Delmotte for their valuable insight, availability and/or for having shared their data. This work is supported by the ANR project: Integration des contraintes Paleo-climatiques pour reduire les Incertitudes sur l'evolution du Climat pendant les periodes Chaudes - PICC (ANR-05-BLAN-0312-02). We thank Chris Turney and Simon Nielsen for their fruitful review.</t>
  </si>
  <si>
    <t>0277-3791</t>
  </si>
  <si>
    <t>QUATERNARY SCI REV</t>
  </si>
  <si>
    <t>Quat. Sci. Rev.</t>
  </si>
  <si>
    <t>25-26</t>
  </si>
  <si>
    <t>10.1016/j.quascirev.2009.06.005</t>
  </si>
  <si>
    <t>520TS</t>
  </si>
  <si>
    <t>WOS:000271872200010</t>
  </si>
  <si>
    <t>Hodgson, DA; Verleyen, E; Vyverman, W; Sabbe, K; Leng, MJ; Pickering, MD; Keely, BJ</t>
  </si>
  <si>
    <t>Hodgson, Dominic A.; Verleyen, Elie; Vyverman, Wim; Sabbe, Koen; Leng, Melanie J.; Pickering, Matthew D.; Keely, Brendan J.</t>
  </si>
  <si>
    <t>A geological constraint on relative sea level in Marine Isotope Stage 3 in the Larsemann Hills, Lambert Glacier region, East Antarctica (31 366-33 228 cal yr BP)</t>
  </si>
  <si>
    <t>ICE-SHEET; VESTFOLD HILLS; C/N RATIOS; PALEOSALINITY INDICATORS; ENVIRONMENTAL-CHANGE; SORSDAL FORMATION; BRACKISH COASTAL; BAY-REGION; PRYDZ BAY; HOLOCENE</t>
  </si>
  <si>
    <t>In this paper we present geological evidence from the Larsemann Hills (Lambert Glacier - Amery Ice Shelf region, East Antarctica) of marine sediments at an altitude of c. 8 m a.s.l., as revealed by diatom, pigment and geochemical proxies in a lake sediment core. The sediments yielded radiocarbon dates between c. 26 650 and 28 750 (14)Cyr BP (31 366-33 228 cal yr BP). This information can be used to constrain relative sea level adjacent to the Lambert Glacier at the end of Marine isotope Stage 3. These data are compared with the age and altitude of Marine isotope Stage 3 marine deposits elsewhere in East Antarctica and discussed with reference to late Quaternary ice sheet history and eustatic sea-level change. (C) 2009 Elsevier Ltd. All rights reserved.</t>
  </si>
  <si>
    <t>[Hodgson, Dominic A.] British Antarctic Survey, Nat Environm Res Council, Cambridge CB3 0ET, England; [Verleyen, Elie; Vyverman, Wim; Sabbe, Koen] Univ Ghent, Dept Biol, Sect Protistol &amp; Aquat Ecol, B-9000 Ghent, Belgium; [Leng, Melanie J.] British Geol Survey, NERC Isotope Geosci Lab, Nottingham NG12 5GG, England; [Pickering, Matthew D.; Keely, Brendan J.] Univ York, Dept Chem, York YO10 5DD, N Yorkshire, England</t>
  </si>
  <si>
    <t>UK Research &amp; Innovation (UKRI); Natural Environment Research Council (NERC); NERC British Antarctic Survey; Ghent University; UK Research &amp; Innovation (UKRI); Natural Environment Research Council (NERC); NERC British Geological Survey; University of York - UK</t>
  </si>
  <si>
    <t>Hodgson, DA (corresponding author), British Antarctic Survey, Nat Environm Res Council, High Cross,Madingley Rd, Cambridge CB3 0ET, England.</t>
  </si>
  <si>
    <t>daho@bas.ac.uk</t>
  </si>
  <si>
    <t>Dasseville, Renaat/B-3561-2010</t>
  </si>
  <si>
    <t>Leng, Melanie/0000-0003-1115-5166; Pickering, Matthew D/0000-0002-6234-2108; Keely, Brendan John/0000-0002-8560-1862</t>
  </si>
  <si>
    <t>CACHE-PEP; HOLANT; Fund for Scientific Research, Flanders; Natural Environment Research Council; British Antarctic Survey; Belgian Federal office for Scientific, Technical and Cultural Affairs; European Commission; Australian Antarctic Science Advisory Committee; NERC [bgs04003, nigl010001, bas0100024] Funding Source: UKRI; Natural Environment Research Council [bas0100024, nigl010001, bgs04003] Funding Source: researchfish</t>
  </si>
  <si>
    <t>CACHE-PEP; HOLANT; Fund for Scientific Research, Flanders(FWO); Natural Environment Research Council(UK Research &amp; Innovation (UKRI)Natural Environment Research Council (NERC)); British Antarctic Survey; Belgian Federal office for Scientific, Technical and Cultural Affairs; European Commission(European Union (EU)European Commission Joint Research Centre); Australian Antarctic Science Advisory Committee; NERC(UK Research &amp; Innovation (UKRI)Natural Environment Research Council (NERC)); Natural Environment Research Council(UK Research &amp; Innovation (UKRI)Natural Environment Research Council (NERC))</t>
  </si>
  <si>
    <t>This paper contributes to the CACHE-PEP and HOLANT projects led by DH and WV respectively. EV is a post-doctoral research fellow with the Fund for Scientific Research, Flanders. We thank the UK Natural Environment Research Council, British Antarctic Survey, the Belgian Federal office for Scientific, Technical and Cultural Affairs and the European Commission for research funding and the Australian Antarctic Science Advisory Committee for logistic support. Glenn Milne, University of Ottawa, is acknowledged for constructive discussions on relative sea level change that have contributed to the development of this paper.</t>
  </si>
  <si>
    <t>10.1016/j.quascirev.2009.06.006</t>
  </si>
  <si>
    <t>WOS:000271872200011</t>
  </si>
  <si>
    <t>Sáez, A; Valero-Garcés, BL; Giralt, S; Moreno, A; Bao, R; Pueyo, JJ; Hernández, A; Casas, D</t>
  </si>
  <si>
    <t>Saez, Alberto; Valero-Garces, Blas L.; Giralt, Santiago; Moreno, Ana; Bao, Roberto; Pueyo, Juan J.; Hernandez, Armand; Casas, David</t>
  </si>
  <si>
    <t>Glacial to Holocene climate changes in the SE Pacific. The Raraku Lake sedimentary record (Easter Island, 27°S)</t>
  </si>
  <si>
    <t>CAL YR BP; LATE PLEISTOCENE; POLLEN RECORD; CENTRAL CHILE; RAINFALL VARIABILITY; SOUTHERN PATAGONIA; ABRUPT VEGETATION; LACUSTRINE RECORD; FIRE HISTORY; TAGUA-TAGUA</t>
  </si>
  <si>
    <t>Easter Island (SE Pacific, 27 degrees S) provides a unique opportunity to reconstruct past climate changes in the South Pacific region based on terrestrial archives. Although the general climate evolution of the south Pacific since the Last Glacial Maximum (LGM) is coherent with terrestrial records in southern South America and Polynesia, the details of the dynamics of the shifting Westerlies, the South Pacific Convergence Zone and the South Pacific Anticyclone during the glacial-interglacial transition and the Holocene, and the large scale controls on precipitation in tropical and extratropical regions remain elusive. Here we present a high-resolution reconstruction of lake dynamics, watershed processes and paleohydrology for the last 34 000 cal yrs BP based on a sedimentological and geochemical multiproxy study of 8 cores from the Raraku Lake sediments constrained by 22 AMS radiocarbon dates. This multicore strategy has reconstructed the sedimentary architecture of the lake infilling and provided a stratigraphic framework to integrate and correlate previous core and vegetation studies conducted in the lake. High lake levels and clastic input dominated sedimentation in Raraku Lake between 34 and 28 cal kyr BP. Sedimentological and geochemical evidences support previously reported pollen data showing a relatively open forest and a cold and relatively humid climate during the Glacial period. Between 28 and 17.3 cal kyr BP, including the LGM period, colder conditions contributed to a reduction of the tree coverage in the island. The coherent climate patterns in subtropical and mid latitudes of Chile and Eastern Island for the LGM (more humid conditions) suggest stronger influence of the Antarctic circumpolar current and an enhancement of the Westerlies. The end of Glacial Period occurred at 17.3 cal kyr BP and was characterized by a sharp decrease in lake level conducive to the development of major flood events and erosion of littoral sediments. Deglaciation (Termination 1) between 17.3 and 12.5 cal kyr BP was characterized by an increase in lake productivity, a decrease in the terrigenous input and a rapid lake level recovery, inaugurating a period of intermediate lake levels, dominance of organic deposition and algal lamination. The timing and duration of deglaciation events in Easter Island broadly agree with other mid- and low-latitude circum South Pacific terrestrial records. The transition to the Holocene was characterized by lower lake levels. The lake level dropped during the early Holocene (ca 9.5 cal kyr BP) and swamp and shallow lake conditions dominated till mid Holocene, partially favored by the infilling of the lacustrine basin. During the mid- to late-Holocene drought phases led to periods of persistent low water table, subaerial exposure and erosion, generating a sedimentary hiatus in the Raraku sequence, from 4.2 to 0.8 cal kyr BP. The presence of this dry mid Holocene phase, also identified in low Andean latitudes and in Patagonian mid latitudes, suggests that the shift of storm tracks caused by changes in the austral summer insolation or forced by El Nino-like dominant conditions have occurred at a regional scale. The palm deforestation of the Easter Island, attributed to the human impact could have started earlier, during the 4.2-0.8 cal kyr BP sedimentary gap. Our paleoclimatic data provides insights about the climate scenarios that could favor the arrival of the Polynesian people to the island. If itoccurred at ca AD 800 it coincided with the warmer conditions of the Medieval Climate Anomaly, whereas if it took placeat ca AD 1300 it was favored by enhanced westerlies at the onset of the Little Ice Age. Changes in land uses (farming, intensive cattle) during the last century had a large impact in the hydrology and limnology (eutrophication) of the lake. (C) 2009 Elsevier Ltd. All rights reserved.</t>
  </si>
  <si>
    <t>[Saez, Alberto; Pueyo, Juan J.] Univ Barcelona, Fac Geol, E-08028 Barcelona, Spain; [Valero-Garces, Blas L.; Moreno, Ana] CSIC, Inst Pirenaico Ecol, E-50080 Zaragoza, Spain; [Giralt, Santiago; Hernandez, Armand] CSIC, Inst Ciencias Tierra Jaume Almera, E-08028 Barcelona, Spain; [Bao, Roberto] Univ A Coruna, Fac Ciencias, E-15071 La Coruna, Spain; [Casas, David] CSIC, Inst Ciencias Mar, E-08003 Barcelona, Spain</t>
  </si>
  <si>
    <t>University of Barcelona; Consejo Superior de Investigaciones Cientificas (CSIC); CSIC - Instituto Pirenaico de Ecologia (IPE); Consejo Superior de Investigaciones Cientificas (CSIC); CSIC - Geociencias Barcelona (GEO3BCN); Universidade da Coruna; Consejo Superior de Investigaciones Cientificas (CSIC); CSIC - Centro Mediterraneo de Investigaciones Marinas y Ambientales (CMIMA); CSIC - Instituto de Ciencias del Mar (ICM)</t>
  </si>
  <si>
    <t>Sáez, A (corresponding author), Univ Barcelona, Fac Geol, C Marti Franques S-N, E-08028 Barcelona, Spain.</t>
  </si>
  <si>
    <t>a.saez@ub.edu</t>
  </si>
  <si>
    <t>Giralt, Santiago/AAA-8585-2020; Giralt, Santiago/G-4823-2011; Moreno, Ana/AAB-5761-2019; Saez, Alberto/K-4269-2012; Garcés, Blas L Valero/L-4246-2014; Casas, David/B-9576-2009; Bao, Roberto/D-4092-2009; Hernandez, Armand/K-6606-2012; Moreno, Ana/D-5781-2011</t>
  </si>
  <si>
    <t>Giralt, Santiago/0000-0001-8570-7838; Giralt, Santiago/0000-0001-8570-7838; Moreno, Ana/0000-0001-7357-584X; Casas, David/0000-0001-5258-7067; Bao, Roberto/0000-0002-2928-2836; Hernandez, Armand/0000-0001-7245-9863; Saez, Alberto/0000-0003-4215-5038; Valero Garces, Blas/0000-0003-2214-7057</t>
  </si>
  <si>
    <t>Spanish Ministry of Science and Education [CGL2004-00683/BTE]; GEOBILA [CGL2007-60932/BTE]; CONSOLIDER GRACCIE [CSD2007-00067]; European Commission's Sixth Framework Program [021673]</t>
  </si>
  <si>
    <t>Spanish Ministry of Science and Education(Spanish Government); GEOBILA; CONSOLIDER GRACCIE; European Commission's Sixth Framework Program(European Union (EU))</t>
  </si>
  <si>
    <t>The Spanish Ministry of Science and Education funded the research at Raraku Lake through the projects LAVOLTER (CGL2004-00683/BTE) and GEOBILA (CGL2007-60932/BTE) and CONSOLIDER GRACCIE (CSD2007-00067). The Limnological Research Center and the Large Lake Observatory (University of Minnesota, USA) are acknowledged for technical assistance with the XRF-Core Scanner analyses. We acknowledge fellowship to A. Moreno from the European Commission's Sixth Framework Program (Marie Curie Fellowship 021673 IBERABRUPT). We are grateful to CONAF (Chile) and Riroroko family for the facilities provided in Easter Island. We are also very thankful to Eduardo Morales, for his assistance in the diatom identification of the small Pseudostaurosira species found in the samples and to Almudena Lorenzo for the assistance in the organic analysis.</t>
  </si>
  <si>
    <t>1873-457X</t>
  </si>
  <si>
    <t>10.1016/j.quascirev.2009.06.018</t>
  </si>
  <si>
    <t>WOS:000271872200015</t>
  </si>
  <si>
    <t>Graham, AGC; Larter, RD; Gohl, K; Hillenbrand, CD; Smith, JA; Kuhn, G</t>
  </si>
  <si>
    <t>Graham, Alastair G. C.; Larter, Robert D.; Gohl, Karsten; Hillenbrand, Claus-Dieter; Smith, James A.; Kuhn, Gerhard</t>
  </si>
  <si>
    <t>Bedform signature of a West Antarctic palaeo-ice stream reveals a multi-temporal record of flow and substrate control</t>
  </si>
  <si>
    <t>PINE ISLAND BAY; GLACIAL GEOMORPHIC FEATURES; BASAL CONDITIONS BENEATH; CENTRAL NORTH-SEA; ROSS SEA; CONTINENTAL-SHELF; LAST GLACIATION; CANADIAN SHIELD; SHEET DYNAMICS; SEDIMENTARY</t>
  </si>
  <si>
    <t>The presence of a complex bedform arrangement on the sea floor of the continental shelf in the western Amundsen Sea Embayment, West Antarctica, indicates a multi-temporal record of flow related to the activity of one or more ice streams in the past. Mapping and division of the bedforms into distinct landform assemblages reveals their time-transgressive history, which implies that bedforms can neither be considered part of a single downflow continuum nor a direct proxy for palaeo-ice velocity, as suggested previously. A main control on the bedform imprint is the geology of the shelf, which is divided broadly between rough bedrock on the inner shelf, and smooth, dipping sedimentary strata on the middle to outer shelf. Inner shelf bedform variability is well preserved, revealing information about local, complex basal ice conditions, meltwater flow, and ice dynamics over time. These details, which are not apparent at the scale of regional morphological studies, indicate that past ice streams flowed across the entire shelf at times, and often had onset zones that lay within the interior of the Antarctic Ice Sheet today. In contrast, highly elongated subglacial bedforms on sedimentary strata of the middle to outer shelf represent a timeslice snapshot of the last activity of ice stream flow, and may be a truer representation of fast palaeo-ice flow in these locations. A revised model for ice streams on the shelf captures complicated multi-temporal bedform patterns associated with an Antarctic palaeo-ice stream for the first time, and confirms a strong substrate control on a major ice stream system that drained the West Antarctic Ice Sheet during the Late Quaternary. (C) 2009 Elsevier Ltd. All rights reserved.</t>
  </si>
  <si>
    <t>[Graham, Alastair G. C.; Larter, Robert D.; Hillenbrand, Claus-Dieter; Smith, James A.] British Antarctic Survey, Geol Sci Div, Cambridge CB3 0ET, England; [Gohl, Karsten; Kuhn, Gerhard]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</si>
  <si>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</si>
  <si>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Graham, AGC (corresponding author), British Antarctic Survey, Geol Sci Div, High Cross,Madingley Rd, Cambridge CB3 0ET, England.</t>
  </si>
  <si>
    <t>alah@bas.ac.uk</t>
  </si>
  <si>
    <t>Smith, James A/N-1836-2013</t>
  </si>
  <si>
    <t>Graham, Alastair/0000-0002-2880-2908; Gohl, Karsten/0000-0002-9558-2116; Kuhn, Gerhard/0000-0001-6069-7485; Larter, Robert/0000-0002-8414-7389</t>
  </si>
  <si>
    <t>BAS GRADES; AWI MARCOPOLI; Natural Environment Research Council [bas010018] Funding Source: researchfish; NERC [bas010018] Funding Source: UKRI</t>
  </si>
  <si>
    <t>BAS GRADES; AWI MARCOPOLI; Natural Environment Research Council(UK Research &amp; Innovation (UKRI)Natural Environment Research Council (NERC)); NERC(UK Research &amp; Innovation (UKRI)Natural Environment Research Council (NERC))</t>
  </si>
  <si>
    <t>This work was supported by the BAS GRADES and AWI MARCOPOLI programs MAR2 and POL6. We thank the captains, officers, crew, technical support staff and shipboard scientists who participated in the two research cruises, particularly Steffen Gauger, Roy Livermore and Tara Deen who processed the multibeam datasets. Staff of the British Geological Survey are acknowledged for operating the seismic and vibrocoring equipment onboard JR141. The manuscript benefited from fruitful discussion with Ed King. We thank Neil Glasser and three reviewers who helped improve the clarity and overall message of the final paper.</t>
  </si>
  <si>
    <t>10.1016/j.quascirev.2009.07.003</t>
  </si>
  <si>
    <t>WOS:000271872200017</t>
  </si>
  <si>
    <t>Abram, NJ; McGregor, HV; Gagan, MK; Hantoro, WS; Suwargadi, BW</t>
  </si>
  <si>
    <t>Abram, Nerilie J.; McGregor, Helen V.; Gagan, Michael K.; Hantoro, Wahyoe S.; Suwargadi, Bambang W.</t>
  </si>
  <si>
    <t>Oscillations in the southern extent of the Indo-Pacific Warm Pool during the mid-Holocene</t>
  </si>
  <si>
    <t>SEA-SURFACE TEMPERATURE; INDIAN-OCEAN DIPOLE; EL-NINO/SOUTHERN-OSCILLATION; HOLOCENE ASIAN MONSOON; TROPICAL CLIMATE; NINO; VARIABILITY; ENSO; EVOLUTION; SALINITY</t>
  </si>
  <si>
    <t>The Indo-Pacific Warm Pool (IPWP) is thought to play a key role in the propagation and amplification of climate changes through its influence on the global distribution of heat and water vapour. However, little is known about past changes in the size and position of the IPWP. In this study, we use a total of 48 modern and fossil coral records from the Mentawai Islands (Sumatra, Indonesia) and Muschu/Koil Islands (Papua New Guinea) to reconstruct oscillations in the extent of the IPWP since the mid-Holocene. We show that reliable estimates of mean sea surface temperature (SST) can be obtained from fossil corals by using low-resolution Sr/Ca analysis of a suite of corals to overcome the large uncertainties associated with mean Sr/Ca-SST estimates from individual coral colonies. The coral records indicate that the southeastern and southwestern margins of the IPWP were cooler than at present between similar to 5500 and 4300 years BP (similar to 1.2 degrees C +/- 0.3 degrees C) and were similarly cool before similar to 6800 years BP. This mid-Holocene cooling was punctuated by an abrupt, short-lived shift to mean SSTs that were warmer than at present between similar to 6600 and 6300 years BP (similar to 1.3 degrees C +/- 0.3 degrees C), while similarly warm conditions may have also existed after similar to 4300 years BP. We suggest that mid-Holocene cooling at our study sites was related to contractions of the southeastern and southwestern margins of the IPWP, associated with the more northerly position of the Inter-tropical Convergence Zone (ITCZ) that accompanied mid-Holocene strengthening of the Asian summer monsoon. Conversely, intervals of abrupt warming appear to correspond with widespread episodes of monsoon weakening and accompanying southward migrations of the ITCZ that caused the IPWP to expand beyond our coral sites. Intervals of a strengthened Asian monsoon and cooling in the southwestern IPWP during the mid-Holocene appear to correspond with a more positive Indian Ocean Dipole (IOD)-like mean configuration across the tropical Indian Ocean, suggesting that the Asian monsoon-IOD interaction that exists at interannual time scales also persists over centennial to millennial scales. Associated mean changes in the Pacific ENSO modes may have also occurred during the mid-Holocene. The dynamic and inter-connected behaviour of the IPWP with tropical climate systems during the mid-Holocene highlights the fundamental importance of the warm pool region for understanding climate change throughout the tropics and beyond. (C) 2009 Elsevier Ltd. All rights reserved.</t>
  </si>
  <si>
    <t>[Abram, Nerilie J.] British Antarctic Survey, Nat Environm Res Council, Cambridge CB3 0ET, England; [Abram, Nerilie J.; McGregor, Helen V.; Gagan, Michael K.] Australian Natl Univ, Res Sch Earth Sci, Canberra, ACT 0200, Australia; [McGregor, Helen V.] Univ Wollongong, Sch Earth &amp; Environm Sci, Wollongong, NSW 2522, Australia; [Hantoro, Wahyoe S.; Suwargadi, Bambang W.] Indonesian Inst Sci LIPI, Res &amp; Dev Ctr Geotechnol, Bandung 40135, Indonesia</t>
  </si>
  <si>
    <t>UK Research &amp; Innovation (UKRI); Natural Environment Research Council (NERC); NERC British Antarctic Survey; Australian National University; University of Wollongong; National Research &amp; Innovation Agency of Indonesia (BRIN); Indonesian Institute of Sciences (LIPI)</t>
  </si>
  <si>
    <t>Abram, NJ (corresponding author), British Antarctic Survey, Nat Environm Res Council, High Cross, Cambridge CB3 0ET, England.</t>
  </si>
  <si>
    <t>nabr@bas.ac.uk</t>
  </si>
  <si>
    <t>Gagan, Michael K/L-5014-2018; Abram, Nerilie/AAT-5171-2021; McGregor, Helen/I-1479-2013</t>
  </si>
  <si>
    <t>Abram, Nerilie/0000-0003-1246-2344; McGregor, Helen/0000-0002-4031-2282</t>
  </si>
  <si>
    <t>Indonesian Institute of Sciences (LIPI); Australian Postgraduate Award; RSES Jaeger Scholarship; Australian Research Council Discovery [DP0663227]; Natural Environment Research Council [bas0100024] Funding Source: researchfish; NERC [bas0100024] Funding Source: UKRI; Australian Research Council [DP0663227] Funding Source: Australian Research Council</t>
  </si>
  <si>
    <t>Indonesian Institute of Sciences (LIPI)(Ministry of Research and Technology of the Republic of Indonesia (RISTEK)); Australian Postgraduate Award(Australian Government); RSES Jaeger Scholarship; Australian Research Council Discovery(Australian Research Council); Natural Environment Research Council(UK Research &amp; Innovation (UKRI)Natural Environment Research Council (NERC)); NERC(UK Research &amp; Innovation (UKRI)Natural Environment Research Council (NERC)); Australian Research Council(Australian Research Council)</t>
  </si>
  <si>
    <t>We thank D. Prayudi, I. Suprianto, K. Glenn, T. Watanabe H. Scott-Gagan K. Sieh and the Indonesian Institute of Sciences (LIPI) for support with fieldwork in the Mentawai Islands, which was carried out under LIPI Research Permit numbers 3551/I/KS/1999 and 2889/II/KS/2001. We also thank G. Brunskill, I. Zagorskis, J. True and the crew of the rv Lady Basten for facilitating our fieldwork in PNG as part of Project TROPICS. We thank M. McCulloch, J. Chappell, H. Scott-Gagan, G. Mortimer, A. Alimanovic, D. Kelleher and E.-K. Potter for laboratory support. This study was supported by an Australian Postgraduate Award and RSES Jaeger Scholarship to N.J.A., an Australian Postgraduate Award to HN.M., and Australian Research Council Discovery grant DP0663227 to MXG and W.S.H.</t>
  </si>
  <si>
    <t>10.1016/j.quascirev.2009.07.006</t>
  </si>
  <si>
    <t>WOS:000271872200018</t>
  </si>
  <si>
    <t>Convey, P; Stevens, MI; Hodgson, DA; Smellie, JL; Hillenbrand, CD; Barnes, DKA; Clarke, A; Pugh, PJA; Linse, K; Cary, SC</t>
  </si>
  <si>
    <t>Convey, Peter; Stevens, Mark I.; Hodgson, Dominic A.; Smellie, John L.; Hillenbrand, Claus-Dieter; Barnes, David K. A.; Clarke, Andrew; Pugh, Philip J. A.; Linse, Katrin; Cary, S. Craig</t>
  </si>
  <si>
    <t>Exploring biological constraints on the glacial history of Antarctica</t>
  </si>
  <si>
    <t>PENINSULA ICE-SHEET; NORTHERN VICTORIA LAND; AMUNDSEN SEA EMBAYMENT; EAST ANTARCTICA; SOUTHERN-OCEAN; BACTERIAL DIVERSITY; LATE PLEISTOCENE; EXPOSURE AGES; FRESH-WATER; TRANSANTARCTIC MOUNTAINS</t>
  </si>
  <si>
    <t>The evolutionary and biogeographic history of the contemporary Antarctic terrestrial and marine biotas reveals many components of ancient origin. For large elements of the terrestrial biota, long-term isolation over timescales from hundreds of thousands to tens of millions of years, and thus persistence through multiple glacial cycles, now appears to be the norm rather than the exception. For the marine biota there are some parallels with benthic communities also including ancient components, together with an incidence of species-level endemism indicating long-term isolation on the Antarctic continental shelf Although it has long been known that a few ice-free terrestrial locations have existed in Antarctica for up to 10-12 million years, particularly in the Dry Valleys of Victoria Land along with certain nunataks and higher regions of large mountain ranges, these do not provide potential refugia for the majority of terrestrial biota, which occur mainly in coastal and/or low-lying locations and exhibit considerable biogeographic regionalisation within the continent. Current glacial models and reconstructions do not have the spatial resolution to detect unequivocally either the number or geographical distribution of these glacial refugia, or areas of the continental shelf that have remained periodically free from ice scouring, but do provide limits for their maximum spatial extent. Recent work on the evolution of the terrestrial biota indicates that refugia were much more widespread than has been recognised and it is now clear that terrestrial biology provides novel constraints for reconstructing the past glacial history of Antarctica, and new marine biological investigations of the Antarctic shelf are starting to do likewise. (C) 2009 Elsevier Ltd. All rights reserved.</t>
  </si>
  <si>
    <t>[Convey, Peter; Hodgson, Dominic A.; Smellie, John L.; Hillenbrand, Claus-Dieter; Barnes, David K. A.; Clarke, Andrew; Linse, Katrin] British Antarctic Survey, NERC, Cambridge CB3 0ET, England; [Stevens, Mark I.] S Australian Museum, Adelaide, SA 5000, Australia; [Stevens, Mark I.] Flinders Univ S Australia, Sch Biol Sci, Adelaide, SA 5001, Australia; [Pugh, Philip J. A.] Anglia Ruskin Univ, Dept Life Sci, Cambridge CB1 1PT, England; [Cary, S. Craig] Univ Waikato, Dept Biol Sci, Hamilton, New Zealand; [Cary, S. Craig] Univ Delaware, Coll Marine &amp; Earth Studies, Lewes, DE 19958 USA</t>
  </si>
  <si>
    <t>UK Research &amp; Innovation (UKRI); Natural Environment Research Council (NERC); NERC British Antarctic Survey; Flinders University South Australia; Anglia Ruskin University; University of Waikato; University of Delaware</t>
  </si>
  <si>
    <t>Convey, P (corresponding author), British Antarctic Survey, NERC, Madingley Rd, Cambridge CB3 0ET, England.</t>
  </si>
  <si>
    <t>Convey, Peter/AAV-5728-2020</t>
  </si>
  <si>
    <t>Convey, Peter/0000-0001-8497-9903; Linse, Katrin/0000-0003-3477-3047; Cary, Stephen/0000-0002-2876-2387</t>
  </si>
  <si>
    <t>NERC [bas010015] Funding Source: UKRI; Natural Environment Research Council [bas010015] Funding Source: researchfish</t>
  </si>
  <si>
    <t>27-28</t>
  </si>
  <si>
    <t>10.1016/j.quascirev.2009.08.015</t>
  </si>
  <si>
    <t>538PF</t>
  </si>
  <si>
    <t>WOS:000273195700003</t>
  </si>
  <si>
    <t>Michalchuk, BR; Anderson, JB; Wellner, JS; Manley, PL; Majewski, W; Bohaty, S</t>
  </si>
  <si>
    <t>Michalchuk, Bradley R.; Anderson, John B.; Wellner, Julia S.; Manley, Patricia L.; Majewski, Wojciech; Bohaty, Steve</t>
  </si>
  <si>
    <t>Holocene climate and glacial history of the northeastern Antarctic Peninsula: the marine sedimentary record from a long SHALDRIL core</t>
  </si>
  <si>
    <t>LARSEN ICE SHELF; PALMER-DEEP; PALEOENVIRONMENTAL CHANGE; BRANSFIELD BASIN; SEA-ICE; RETREAT; MAXIMUM; DIATOM; REGION; SHEET</t>
  </si>
  <si>
    <t>A high-resolution record of Holocene deglacial and climate history was obtained from a 77 m sediment core from the Firth of Tay, Antarctic Peninsula, as part of the SHALDRIL initiative. This study provides a detailed sedimentological record of Holocene paleoclimate and glacial advance and retreat from the eastern side of the peninsula. A robust chronostratigraphy was derived from thirty-three radiocarbon dates on carbonate material. This chronostratigraphic framework was used to establish the timing of glacial and climate events derived from multiple proxies including: magnetic susceptibility, electric resistivity, porosity, ice-rafted debris content, organic carbon content, nitrogen content, biogenic silica content, and diatom and foraminiferal assemblages. The core bottomed-out in a stiff diamicton interpreted as till. Gravelly and sandy mud above the till is interpreted as proximal glaciomarine sediment that represents decoupling of the glacier from the seafloor circa 9400 cal. yr BP and its subsequent landward retreat. This was approximately 5000 yr later than in the Bransfield Basin and South Shetland Islands, on the western side of the peninsula. The Firth of Tay core site remained in a proximal glaciomarine setting until 8300 cal. yr BP, at which time significant glacial retreat took place. Deposition of diatomaceous glaciomarine sediments after 8300 cal. yr BP indicates that an ice shelf has not existed in the area since this time. The onset of seasonally open marine conditions between 7800 and 6000 cal. yr BP followed the deglacial period and is interpreted as the mid-Holocene Climatic Optimum. Open marine conditions lasted until present, with a minor cooling having occurred between 6000 and 4500 cal. yr BP and a period of minor glacial retreat and/or decreased sea ice coverage between 4500 and 3500 cal. yr BP. Finally, climatic cooling and variable sea ice cover occurred from 3500 cal. yr BP to near present and it is interpreted as being part of the Neoglacial. The onset of the Neoglacial appears to have occurred earlier in the Firth of Tay than on the western side of the Antarctic Peninsula. The Medieval Warm Period and Little Ice Age were not pronounced in the Firth of Tay. The breadth and synchroneity of the rapid regional warming and glacial retreat observed in the Antarctic Peninsula during the last century appear to be unprecedented during the Holocene epoch. (C) 2009 Elsevier Ltd. All rights reserved.</t>
  </si>
  <si>
    <t>[Michalchuk, Bradley R.; Anderson, John B.] Rice Univ, Dept Earth Sci, Houston, TX 77251 USA; [Wellner, Julia S.] Univ Houston, Houston, TX 77204 USA; [Manley, Patricia L.] Middlebury Coll, Dept Geol, Middlebury, VT 05753 USA; [Majewski, Wojciech] Polish Acad Sci, Inst Paleobiol, Warsaw, Poland; [Bohaty, Steve] Univ Southampton, Natl Oceanog Ctr, Southampton SO14 3ZH, Hants, England</t>
  </si>
  <si>
    <t>Rice University; University of Houston System; University of Houston; Polish Academy of Sciences; Institute of Paleobiology of the Polish Academy of Sciences; University of Southampton; NERC National Oceanography Centre</t>
  </si>
  <si>
    <t>Michalchuk, BR (corresponding author), Rice Univ, Dept Earth Sci, MS 126,POB 1892, Houston, TX 77251 USA.</t>
  </si>
  <si>
    <t>Bradley.R.Michalchuk@conocophillips.com</t>
  </si>
  <si>
    <t>National Science Foundation's Office of Polar Programs [0338137]; Directorate For Geosciences; Office of Polar Programs (OPP) [0338137] Funding Source: National Science Foundation; Division Of Polar Programs; Directorate For Geosciences [0739596] Funding Source: National Science Foundation; Office of Polar Programs (OPP); Directorate For Geosciences [0739751] Funding Source: National Science Foundation</t>
  </si>
  <si>
    <t>National Science Foundation's Office of Polar Programs(National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</si>
  <si>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research was supported by a grant from the National Science Foundation's Office of Polar Programs grant number 0338137. Gratitude is extended to the crew and scientific party of the RV/IB Nathaniel B. Palmer from the NBP0602A SHALDRIL cruise and NBP0703 cruise. We would also like to thank the Florida State University Antarctic Research Facility curatorial staff for their assistance. Further thanks is extended to Rodrigo Fernandez for providing digital elevation models for Joinville and Dundee islands and Dr. Caroline Masiello and her lab group for their assistance and use of their element analyzer.</t>
  </si>
  <si>
    <t>10.1016/j.quascirev.2009.08.012</t>
  </si>
  <si>
    <t>WOS:000273195700004</t>
  </si>
  <si>
    <t>Scourse, JD; Haapaniemi, AI; Colmenero-Hidalgo, E; Peck, VL; Hall, IR; Austin, WEN; Knutz, PC; Zahn, R</t>
  </si>
  <si>
    <t>Scourse, James D.; Haapaniemi, Anna I.; Colmenero-Hidalgo, Elena; Peck, Victoria L.; Hall, Ian R.; Austin, William E. N.; Knutz, Paul C.; Zahn, Rainer</t>
  </si>
  <si>
    <t>Growth, dynamics and deglaciation of the last British-Irish ice sheet: the deep-sea ice-rafted detritus record</t>
  </si>
  <si>
    <t>NORTH-ATLANTIC OCEAN; BOTTOM-CURRENT PATHWAYS; NORTHEASTERN ATLANTIC; HEINRICH EVENTS; BARRA-FAN; RADIOCARBON CONSTRAINTS; QUATERNARY GLACIATIONS; GLACIGENIC DEPOSITS; CIRCULATION CHANGES; MAXIMUM EXTENT</t>
  </si>
  <si>
    <t>The evolution and dynamics of the last British-Irish Ice Sheet (BIIS) have hitherto largely been reconstructed from onshore and shallow marine glacial geological and geomorphological data. This reconstruction has been problematic because these sequences and data are spatially and temporally incomplete and fragmentary. In order to enhance BIIS reconstruction, we present a compilation of new and previously published ice-rafted detritus (IRD) flux and concentration data from high-resolution sediment cores recovered from the NE Atlantic deep-sea continental slope adjacent to the last BIIS. These cores are situated adjacent to the full latitudinal extent of the last BIIS and cover Marine Isotope Stages (MIS) 2 and 3. Age models are based on radiocarbon dating and graphical tuning of abundances of the polar planktonic foraminifera Neogloboquadrina pachyderma sinistral (% Nps) to the Greenland GISP2 ice core record. Multiple IRD fingerprinting techniques indicate that, at the selected locations, most IRD are sourced from adjacent MIS ice streams except in the centre of Heinrich (H) layers in which IRD shows a prominent Laurentide Ice Sheet provenance. IRD flux data are interpreted with reference to a conceptual model explaining the relations between flux, North Atlantic hydrography and ice dynamics. Both positive and rapid negative mass balance can cause increases, and prominent peaks, in IRD flux. First-order interpretation of the IRD record indicates the timing of the presence of the MIS with an actively calving marine margin. The records show a coherent latitudinal, but partly phased, signal during MIS 3 and 2. Published data indicate that the last MIS initiated during the MIS 514 cooling transition; renewed growth just before H5 (46 ka) was succeeded by very strong millennial-scale variability apparently corresponding with Dansgaard-Oeschger (DO) cycles closely coupled to millennial-scale climate variability in the North Atlantic region involving latitudinal migration of the North Atlantic Polar Front. This indicates that the previously defined precursor events are not uniquely associated with H events but are part of the millennial-scale variability. Major growth of the ice sheet occurred after 29 ka with the Barra Ice Stream attaining a shelf-edge position and generating turbiditic flows on the Barra-Donegal Fan at similar to 27 ka. The ice sheet reached its maximum extent at H2 (24 ka), earlier than interpreted in previous studies. Rapid retreat, initially characterised by peak IRD flux, during Greenland Interstadial 2 (23 ka) was followed by readvance between 22 and 16 ka. Readvance during HI was only characterised by BIIS ice streams draining central dome(s) of the ice sheet, and was followed by rapid deglaciation and ice exhaustion. The evidence for a calving margin and IRD supply from the MIS during Greenland Stadial 1 (Younger Dryas event) is equivocal. The timing of the initiation. maximum extent, deglacial and readvance phases of the BUS interpreted from the IRD flux record is strongly supported by recent independent data from both the Irish Sea and North Sea sectors of the ice sheet. (C) 2009 Elsevier Ltd. All rights reserved.</t>
  </si>
  <si>
    <t>[Scourse, James D.; Haapaniemi, Anna I.] Bangor Univ, Coll Nat Sci, Sch Ocean Sci, Menai Bridge LL59 5AB, Anglesey, Wales; [Haapaniemi, Anna I.] Univ Helsinki, Dept Geol, FIN-00014 Helsinki, Finland; [Colmenero-Hidalgo, Elena; Hall, Ian R.] Cardiff Univ, Sch Earth &amp; Ocean Sci, Cardiff CF10 3YE, S Glam, Wales; [Peck, Victoria L.] British Antarctic Survey, Cambridge CB3 0ET, England; [Austin, William E. N.] Univ St Andrews, Sch Geog &amp; Geosci, St Andrews KY16 9AL, Fife, Scotland; [Knutz, Paul C.] Geol Survey Denmark &amp; Greenland, Dept Geophys, DK-1350 Copenhagen, Denmark; [Zahn, Rainer] Univ Autonoma Barcelona, ICREA, Bellaterra 08193, Spain; [Zahn, Rainer] Univ Autonoma Barcelona, Inst Ciencia &amp; Tecnol Ambientals, Bellaterra 08193, Spain; [Zahn, Rainer] Univ Autonoma Barcelona, Dept Geol, Bellaterra 08193, Spain</t>
  </si>
  <si>
    <t>Bangor University; University of Helsinki; Cardiff University; UK Research &amp; Innovation (UKRI); Natural Environment Research Council (NERC); NERC British Antarctic Survey; University of St Andrews; Geological Survey Of Denmark &amp; Greenland; Autonomous University of Barcelona; ICREA; Autonomous University of Barcelona; Autonomous University of Barcelona</t>
  </si>
  <si>
    <t>Scourse, JD (corresponding author), Bangor Univ, Coll Nat Sci, Sch Ocean Sci, Askew St, Menai Bridge LL59 5AB, Anglesey, Wales.</t>
  </si>
  <si>
    <t>j.scourse@bangor.ac.uk</t>
  </si>
  <si>
    <t>Knutz, Paul C/B-5814-2015; Colmenero-Hidalgo, Elena/I-1634-2015; Hall, Ian/C-2755-2009</t>
  </si>
  <si>
    <t>Knutz, Paul C/0000-0001-5188-4254; Colmenero-Hidalgo, Elena/0000-0002-5449-2739; Hall, Ian/0000-0001-6960-1419</t>
  </si>
  <si>
    <t>UK Natural Environment Research Council [NER/A/S/2001/01189, GST/02/723, GST/02/1174, GR9/01595'A']; Royal Society; Finnish Graduate School in Geology; British Council Finland; ICREA Funding Source: Custom; NERC [bas010013, bosc01001] Funding Source: UKRI; Natural Environment Research Council [bosc01001, bas010013, NER/A/S/2001/01189] Funding Source: researchfish</t>
  </si>
  <si>
    <t>UK Natural Environment Research Council(UK Research &amp; Innovation (UKRI)Natural Environment Research Council (NERC)); Royal Society(Royal Society); Finnish Graduate School in Geology; British Council Finland; ICREA(ICREA); NERC(UK Research &amp; Innovation (UKRI)Natural Environment Research Council (NERC)); Natural Environment Research Council(UK Research &amp; Innovation (UKRI)Natural Environment Research Council (NERC))</t>
  </si>
  <si>
    <t>This research, and core collection, were supported by UK Natural Environment Research Council Standard Grant NER/A/S/2001/01189 (JDS, IRH, WENA) GST/02/723, GST/02/1174, GR9/01595'A' (WENA) and a Royal Society UK-France joint Project (JDS, IRH). Anna Haapaniemi acknowledges a training award from the Finnish Graduate School in Geology and The British Council Finland, and James Scourse a Royal Society-Leverhulme Trust Senior Research Fellowship. We thank Yvon Balut (IPEV), and the Captain, officers and crew of the RV Marion Dufresne for giant piston and gravity coring cruises in 1995, 2001 and 2004 (SEQUOIA), and Frederique Eynaud (Bordeaux) for supplying data from MD95-2002. Brian Long and Katrien Van Landeghem are thanked for help in preparing the figures. The comments of two anonymous referees helped in a significant way to improve the paper.</t>
  </si>
  <si>
    <t>10.1016/j.quascirev.2009.08.009</t>
  </si>
  <si>
    <t>WOS:000273195700005</t>
  </si>
  <si>
    <t>Davies, MTL; Atkins, CB; van der Meer, JJM; Barrett, PJ; Hicock, SR</t>
  </si>
  <si>
    <t>Davies, M. T. Lloyd; Atkins, C. B.; van der Meer, Jaap J. M.; Barrett, P. J.; Hicock, S. R.</t>
  </si>
  <si>
    <t>Evidence for cold-based glacial activity in the Allan Hills, Antarctica</t>
  </si>
  <si>
    <t>SUB-FREEZING TEMPERATURES; DRONNING-MAUD LAND; TRANSANTARCTIC MOUNTAINS; ELLESMERE-ISLAND; VICTORIA-LAND; ICE SHEETS; BASAL ICE; DEFORMATION; PRESERVATION; ENTRAINMENT</t>
  </si>
  <si>
    <t>Evidence is presented for cold-based glacial erosion, deposition and deformation from the Allan Hills, South Victoria Land, Antarctica. Different erosional features such as scrapes, striae and grooves, depositional features including till, isolated boulders and ice-cored debris cones and three scales of glaciotectonism resulting from cold-based glacial advance are described, and conceptual models are presented based on these observations and those of advancing cold-based glaciers elsewhere. The models entail: (i) ice block apron overriding and entrainment, and (ii) ice-bed separation leading to the formation of a cavity on the down-glacier side of escarpments. The models are most applicable to a horizontally stratified, lithified sedimentary bedrock substrate, but our criteria may assist in correctly interpreting features such as boulder trains, modified bedrock tors and complex cosmogenic exposure histories which have been noted in several regions that may have experienced cold-based glaciation during Pleistocene glacial maxima. (C) 2009 Elsevier Ltd. All rights reserved.</t>
  </si>
  <si>
    <t>[van der Meer, Jaap J. M.] Queen Mary Univ London, Dept Geog, London E1 4NS, England; [Atkins, C. B.; Barrett, P. J.] Victoria Univ Wellington, Antarctic Res Ctr, Wellington, New Zealand; [Atkins, C. B.; Barrett, P. J.] Victoria Univ Wellington, Sch Geog Environm &amp; Earth Sci, Wellington, New Zealand; [Hicock, S. R.] Univ Western Ontario, Dept Earth Sci, London, ON N6A 5B7, Canada</t>
  </si>
  <si>
    <t>University of London; Queen Mary University London; Victoria University Wellington; Victoria University Wellington; Western University (University of Western Ontario)</t>
  </si>
  <si>
    <t>van der Meer, JJM (corresponding author), Queen Mary Univ London, Dept Geog, Mile End Rd, London E1 4NS, England.</t>
  </si>
  <si>
    <t>j.meer@qmul.ac.uk</t>
  </si>
  <si>
    <t>Atkins, cliff B/E-9458-2011</t>
  </si>
  <si>
    <t>Atkins, C/0000-0002-6513-6924</t>
  </si>
  <si>
    <t>Netherlands Organisation for Scientific Research; National Science and Engineering Research Council of Canada; University of Western Ontario</t>
  </si>
  <si>
    <t>Netherlands Organisation for Scientific Research(Netherlands Organization for Scientific Research (NWO)); National Science and Engineering Research Council of Canada(Natural Sciences and Engineering Research Council of Canada (NSERC)); University of Western Ontario</t>
  </si>
  <si>
    <t>The Dutch Antarctic Programme (NAAP) of The Netherlands Organisation for Scientific Research (N.W.O.) is acknowledged for their financial support (to Lloyd Davies and van der Meer). A Victoria University of Wellington Postgraduate Scholarship (to Atkins) is acknowledged as are the grants from the National Science and Engineering Research Council of Canada and The University of Western Ontario Academic Development Fund (to Hicock). Antarctica New Zealand provided logistical support. Jeremy</t>
  </si>
  <si>
    <t>10.1016/j.quascirev.2009.08.002</t>
  </si>
  <si>
    <t>WOS:000273195700008</t>
  </si>
  <si>
    <t>Nelson, AE; Smellie, JL; Hambrey, MJ; Williams, M; Vautravers, M; Salzmann, U; McArthur, JM; Regelous, M</t>
  </si>
  <si>
    <t>Nelson, Anna E.; Smellie, John L.; Hambrey, Michael J.; Williams, Mark; Vautravers, Maryline; Salzmann, Ulrich; McArthur, John M.; Regelous, Marcel</t>
  </si>
  <si>
    <t>Neogene glacigenic debris flows on James Ross Island, northern Antarctic Peninsula, and their implications for regional climate history</t>
  </si>
  <si>
    <t>B ICE-SHELF; GLACIAL HISTORY; LATE MIOCENE; INTERGLACIAL EVENTS; UPPER OLIGOCENE; LAND MAMMALS; TRANSPORT; SEDIMENTS; MARINE; RECORD</t>
  </si>
  <si>
    <t>Detailed sedimentological and microtextural analyses of newly-discovered late Neogene diamictites and other coarse-grained facies, mostly sandwiched between hyaloclastite of the James Ross Island Volcanic Group and Cretaceous sandstone and mudstone, indicate deposition mainly by glacigenic debris flows. The deposits on James Ross Island (northern Antarctic Peninsula) constrain the depositional setting, ice-bed dynamics and regional palaeoclimate. The sequences on James Ross Island vary in age but are mainly late Miocene and Pliocene. Unlike Neogene sedimentary sequences elsewhere in Antarctica, those on James Ross Island are unusually well-dated by a combination of 40Ar/39Ar and Sr-87/Sr-86 analyses on fresh interbedded lavas and pristine bivalve molluscs, respectively. The Sr isotopic ages of the debris flows cluster around 4.74, 4.89, 5.44, 5.78, and 6.31 Ma and probably date relatively warm periods in the northern Antarctic Peninsula region, when the bivalves lived under ice-poor or seasonally ice-free conditions. The bivalves are often remarkably well-preserved, lack adhering lithified sediment and, in at least two locations, are large, mainly unfragmented and sometimes articulated, suggesting that they were alive immediately prior to their incorporation in subaqueous debris flows at the margins of an advancing glacier. These fossiliferous glacigenic debris flows signify episodes of ice expansion during relatively warm periods, or interglacials, of the late Miocene and Pliocene. The James Ross Island glacigenic sedimentary successions attain thicknesses of up to 150 in and extend over 4 km laterally. The high volume of glacigenic sediment delivery implicit in the James Ross Island successions indicates that a series of dynamic ice fronts crossed the region during the late Miocene and Pliocene epochs. Associated evidence, in the form of clast abrasion (including striations and faceting) and bedrock erosion, is indicative of basal sliding and subglacial sediment deformation active at the ice-bed interface and wet-based temperate or polythermal regimes, prior to remobilisation. The evidence further suggests two local ice caps on James Ross Island during the warm periods, as well as ice-overriding by the Antarctic Peninsula Ice Sheet from the west and northwest. (C) 2009 Elsevier Ltd. All rights reserved.</t>
  </si>
  <si>
    <t>[Nelson, Anna E.; Smellie, John L.; Vautravers, Maryline; Salzmann, Ulrich] British Antarctic Survey, Geol Sci Div, Cambridge CB3 0ET, England; [Hambrey, Michael J.] Aberystwyth Univ, Inst Geog &amp; Earth Sci, Ctr Glaciol, Aberystwyth SY23 3DB, Ceredigion, Wales; [Williams, Mark] Univ Leicester, Dept Geol, Leicester LE1 7RH, Leics, England; [Williams, Mark] British Geol Survey, Nottingham NG12 5GG, England; [McArthur, John M.] UCL, Dept Earth Sci, London WC1E 6BT, England; [Regelous, Marcel] Royal Holloway Univ London, Dept Earth Sci, Egham TW20 0EX, Surrey, England</t>
  </si>
  <si>
    <t>UK Research &amp; Innovation (UKRI); Natural Environment Research Council (NERC); NERC British Antarctic Survey; Aberystwyth University; University of Leicester; UK Research &amp; Innovation (UKRI); Natural Environment Research Council (NERC); NERC British Geological Survey; University of London; University College London; University of London; Royal Holloway University London</t>
  </si>
  <si>
    <t>Nelson, AE (corresponding author), British Antarctic Survey, Geol Sci Div, Madingley Rd, Cambridge CB3 0ET, England.</t>
  </si>
  <si>
    <t>annaelizabethlaloe@gmail.com; jlsm@bas.ac.uk; mjh@aber.ac.uk; mri@leicester.ac.uk; mava@bas.ac.uk; usa@bas.ac.uk; j.mcarthur@ucl.ac.uk</t>
  </si>
  <si>
    <t>McArthur, John/C-2705-2008; McArthur, John/AAL-6354-2020; Salzmann, Ulrich/H-9929-2017; Williams, Mark/B-7590-2009</t>
  </si>
  <si>
    <t>McArthur, John/0000-0003-1461-7805; McArthur, John/0000-0003-1461-7805; Salzmann, Ulrich/0000-0001-5598-5327; Williams, Mark/0000-0002-7987-6069; Mleneck-Vautravers, Maryline/0000-0003-2534-219X; Regelous, Marcel/0000-0002-1676-2259</t>
  </si>
  <si>
    <t>NERC [bgs05002, bas010019] Funding Source: UKRI; Natural Environment Research Council [bgs05002, bas010019] Funding Source: researchfish</t>
  </si>
  <si>
    <t>10.1016/j.quascirev.2009.08.016</t>
  </si>
  <si>
    <t>WOS:000273195700009</t>
  </si>
  <si>
    <t>Lebreiro, SM; Voelker, AHL; Vizcaino, A; Abrantes, FG; Alt-Epping, U; Jung, S; Thouveny, N; Gràcia, E</t>
  </si>
  <si>
    <t>Lebreiro, S. M.; Voelker, A. H. L.; Vizcaino, A.; Abrantes, F. G.; Alt-Epping, U.; Jung, S.; Thouveny, N.; Gracia, E.</t>
  </si>
  <si>
    <t>Sediment instability on the Portuguese continental margin under abrupt glacial climate changes (last 60 kyr)</t>
  </si>
  <si>
    <t>RECENT DEEP-SEA; NORTH-ATLANTIC; DANSGAARD-OESCHGER; COUPLED CLIMATE; HEINRICH LAYERS; IBERIAN MARGIN; STABLE-ISOTOPE; GLOBAL CHANGE; TIME SCALES; ICE</t>
  </si>
  <si>
    <t>It is well established that orbital scale sea-level changes generated larger transport of sediments into the deep-sea during the last glacial maximum than the Holocene. However, the response of sedimentary processes to abrupt millennial-scale climate variability is rather unknown. Frequency of distal turbidites and amounts of advected detrital carbonate are estimated off the Lisbon-Setubal canyons (core MD03-2698, at 4602 mwd), within a chronostratigraphy based on radiometric ages, oxygen isotopes and paleomagnetic key global anomalies. We found that: 1) higher frequency of turbidites concurred with Northern Hemisphere coldest temperatures (Greenland Stadials [GS], including Heinrich [H] events). But more than that. an escalating frequency of turbidites starts with the onset of global sea-level rising (and warming in Antarctica) and culminates during H events, at the time when rising is still in its early-mid stage, and the Atlantic Meridional Overturning Circulation (AMOC) is re-starting. This short time span coincides with maximum gradients of ocean surface and bottom temperatures between GS and Antarctic warmings (Antarctic Isotope Maximum; AIM 17, 14, 12, 8, 4, 2) and rapid sea-level rises. 2) Trigger of turbidity currents is not the only sedimentary process responding to millennial variability; land-detrital carbonate (with a very negative bulk delta O-18 signature) enters the deep-sea by density-driven slope lateral advection, accordingly during GS. 3) Possible mechanisms to create slope instability on the Portuguese continental margin are sea-level variations as small as 20 m, and slope friction by rapid deep and intermediate re-accommodation of water masses circulation. 4) Common forcing mechanisms appear to drive slope instability at both millennial and orbital scales. (C) 2009 Published by Elsevier Ltd.</t>
  </si>
  <si>
    <t>[Lebreiro, S. M.; Voelker, A. H. L.; Abrantes, F. G.] LNEG, Ex INETI, Marine Geol Res Unit, P-2721866 Alfragide, Portugal; [Vizcaino, A.; Gracia, E.] CSIC, Ctr Mediterrani Invest Marines &amp; Ambientals, Unitat Tecnol Marina, E-08003 Barcelona, Spain; [Alt-Epping, U.] Univ Bremen, RCOM, D-28334 Bremen, Germany; [Jung, S.] Vrije Univ Amsterdam, Inst Earth Sci, NL-1081 HI Amsterdam, Netherlands; [Thouveny, N.] CEREGE, Europole Mediterraneen ARBOIS, F-13545 Aix En Provence 04, France</t>
  </si>
  <si>
    <t>Laboratorio Nacional de Energia e Geologia IP (LNEG); Consejo Superior de Investigaciones Cientificas (CSIC); CSIC - Centro Mediterraneo de Investigaciones Marinas y Ambientales (CMIMA); CSIC - Unidad de Tecnologia Marina (UTM); University of Bremen; Vrije Universiteit Amsterdam; Aix-Marseille Universite</t>
  </si>
  <si>
    <t>Lebreiro, SM (corresponding author), Spanish Geol &amp; Min Inst, Dept Geosci Res &amp; Predict Global Change, C Rios Rosas 23, Madrid 28003, Spain.</t>
  </si>
  <si>
    <t>susana.lebreiro@igme.es; antje.voelker@lneg.pt; alexis@utm.csic.es; fatima.abrantes@lneg.pt; ulrich.u.alt-epping@shell.com; simon.jung@ed.ac.uk; thouveny@cerege.fr; egracia@cmima.csic.es</t>
  </si>
  <si>
    <t>Voelker, Antje/C-5427-2012; Abrantes, Fatima/N-7253-2019; Gràcia, Eulàlia/E-6153-2013; Lebreiro, Susana M./A-3649-2009</t>
  </si>
  <si>
    <t>Voelker, Antje/0000-0001-6465-6023; Abrantes, Fatima/0000-0002-9110-0212; THOUVENY, Nicolas/0000-0001-6601-856X; Lebreiro, Susana M./0000-0003-1478-2448</t>
  </si>
  <si>
    <t>ESF; Fundacao para a Ciencia e Tecnologia [PDCTM/40017/2003]; SWIM [01-LEG-EMA09F, REN2002-11234E-MAR]; GRICES-CSIC (Cooperacao Cientifica e Tecnica Luso-Espanhola); LNEG; [SFRH/BPD/21691/2005]; Fundação para a Ciência e a Tecnologia [SFRH/BPD/21691/2005] Funding Source: FCT; NERC [NE/G000980/1] Funding Source: UKRI; Natural Environment Research Council [NE/G000980/1] Funding Source: researchfish</t>
  </si>
  <si>
    <t>ESF; Fundacao para a Ciencia e Tecnologia(Fundacao para a Ciencia e a Tecnologia (FCT)); SWIM; GRICES-CSIC (Cooperacao Cientifica e Tecnica Luso-Espanhola); LNEG; ; Fundação para a Ciência e a Tecnologia(Fundacao para a Ciencia e a Tecnologia (FCT)); NERC(UK Research &amp; Innovation (UKRI)Natural Environment Research Council (NERC)); Natural Environment Research Council(UK Research &amp; Innovation (UKRI)Natural Environment Research Council (NERC))</t>
  </si>
  <si>
    <t>The Commission Human Potential Programme Access to Research Infrastructures Activity (ARI) (through the Climate Variability and Abrupt Climate Changes off Portugal application) to support coring of Calypso MD03-2698 during the PICABIA cruise (F.G.A.); the use of XRF Core-Scanner from the University of Bremen (Ocean Drilling Program Repository) also through an ARI Paleostudies proposal (S.M.L.). The funding from ESF-Euromargins projects: SEDPORT - Sedimentation Processes on the Portuguese Margin: The Role of Continental Climate, Ocean Circulation, Sealevel, and Neo-tectonics (Fundacao para a Ciencia e Tecnologia PDCTM/40017/2003) and SWIM (01-LEG-EMA09F and REN2002-11234E-MAR); and GRICES-CSIC (Cooperacao Cientifica e Tecnica Luso-Espanhola). Funding support was also provided by LNEG. A.H.V. acknowledges the postdoctoral fellowship (SFRH/BPD/21691/2005). We also thank the laboratory technical support team of LNEG - UGM (C. Monteiro and D. Ferreira for LECO analyses; M.J. Custodio, A.M. Silva and P. Conceicao for sampling; and A.L. Rodrigues for isotope samples washing; A. Rebotim picked the foraminifera isotope samples). Three anonymous referees helped to clarify and improve the initial manuscript. Charles Darwin, for inspiration.</t>
  </si>
  <si>
    <t>10.1016/j.quascirev.2009.08.007</t>
  </si>
  <si>
    <t>WOS:000273195700013</t>
  </si>
  <si>
    <t>Ganopolski, A; Roche, DM</t>
  </si>
  <si>
    <t>Ganopolski, Andrey; Roche, Didier M.</t>
  </si>
  <si>
    <t>On the nature of lead-lag relationships during glacial-interglacial climate transitions</t>
  </si>
  <si>
    <t>INTERMEDIATE COMPLEXITY; ATMOSPHERIC CO2; ANTARCTIC TEMPERATURE; LATE PLEISTOCENE; SYSTEM MODEL; TERMINATION; EQUILIBRIUM; SIMULATIONS; SENSITIVITY; GREENLAND</t>
  </si>
  <si>
    <t>Analysis of leads and lags between different paleoclimate records remains an important method in paleoclimatology, used to propose and test hypotheses about causal relationships between different processes in the climate system. The robust lead of Antarctic temperature over CO(2) concentration during several recent glacial-interglacial transitions inferred from the Antarctic ice cores apparently contradicts the concept Of CO(2)-driven climate change and still remains unexplained. Here, using an Earth system model of intermediate complexity and generic scenarios for the principal climatic forcings during glacial-interglacial transitions we performed a suite of experiments that shed some light on the complexity of phase relationships between climate forcing and climate system response. In particular, our results provide an explanation for the observed Antarctic temperature lead over CO(2) concentration. It is shown that the interhemispheric oceanic heat transport provides a crucial link between the two hemispheres. We demonstrate that temporal variations of the oceanic heat transport strongly contribute to the observed phase relationship between polar temperature records in both hemispheres. It is shown that the direct effect of orbital variations on the Antarctic temperature is also significant and explains the observed cooling trend during interglacials. In addition, an imbedded delta(18)O model is used to demonstrate that during glacial-interglacial transitions, the temporal evolution of deep calcite marine delta(18)O in different locations and at different depths can considerably deviate from that implied by the global ice volume change. This finding indicates that the synchronization of different marine records by means of foraminiferal calcite delta(18)O yield large additional uncertainties. Based on our results, we argue that the analysis of leads and lags alone, without a comprehensive understanding and an adequate model of all relevant climate processes, cannot provide direct information about causal relationships in the climate system. (C) 2009 Elsevier Ltd. All rights reserved.</t>
  </si>
  <si>
    <t>[Ganopolski, Andrey] Potsdam Inst Climate Impact Res, D-14412 Potsdam, Germany; [Roche, Didier M.] UVSQ, CNRS, Lab CEA, IPSL,LSCE,CE Saclay, F-91191 Gif Sur Yvette, France; [Roche, Didier M.] Vrije Univ Amsterdam, Dept Earth Sci, Sect Climate Change &amp; Landscape Dynam, NL-1081 HV Amsterdam, Netherlands; [Roche, Didier M.] Vrije Univ Amsterdam, Dept Paleoclimatol &amp; Geomorphol, NL-1081 HV Amsterdam, Netherlands</t>
  </si>
  <si>
    <t>Potsdam Institut fur Klimafolgenforschung; CEA; Centre National de la Recherche Scientifique (CNRS); Universite Paris Saclay; Universite Paris Cite; Vrije Universiteit Amsterdam; Vrije Universiteit Amsterdam</t>
  </si>
  <si>
    <t>Ganopolski, A (corresponding author), Potsdam Inst Climate Impact Res, POB 601203, D-14412 Potsdam, Germany.</t>
  </si>
  <si>
    <t>andrey@pik-potsdam.de</t>
  </si>
  <si>
    <t>Ganopolski, Andrey/F-6811-2013; Roche, Didier M./C-9875-2010</t>
  </si>
  <si>
    <t>Roche, Didier M./0000-0001-6272-9428</t>
  </si>
  <si>
    <t>10.1016/j.quascirev.2009.09.019</t>
  </si>
  <si>
    <t>WOS:000273195700025</t>
  </si>
  <si>
    <t>Rémy, F; Parouty, S</t>
  </si>
  <si>
    <t>Remy, Frederique; Parouty, Soazig</t>
  </si>
  <si>
    <t>Antarctic Ice Sheet and Radar Altimetry: A Review</t>
  </si>
  <si>
    <t>REMOTE SENSING</t>
  </si>
  <si>
    <t>Antarctica; radar altimetry; mass balance; ice dynamics; snow properties</t>
  </si>
  <si>
    <t>SUBGLACIAL HYDROLOGICAL NETWORKS; SURFACE MASS-BALANCE; PINE ISLAND GLACIER; SEA-LEVEL RISE; SATELLITE-RADAR; CONTINENTAL ICE; EAST ANTARCTICA; FIRN DENSIFICATION; TEMPORAL VARIABILITY; HEIGHT MEASUREMENTS</t>
  </si>
  <si>
    <t>Altimetry is probably one of the most powerful tools for ice sheet observation. Our vision of the Antarctic ice sheet has been deeply transformed since the launch of the ERS1 satellite in 1991. With the launch of ERS2 and Envisat, the series of altimetric observations now provides 19 years of continuous and homogeneous observations that allow monitoring of the shape and volume of ice sheets. The topography deduced from altimetry is one of the relevant parameters revealing the processes acting on ice sheet. Moreover, altimeter also provides other parameters such as backscatter and waveform shape that give information on the surface roughness or snow pack characteristics.</t>
  </si>
  <si>
    <t>[Remy, Frederique; Parouty, Soazig] Legos OMP CNRS UPS, F-31400 Toulouse, France</t>
  </si>
  <si>
    <t>Rémy, F (corresponding author), Legos OMP CNRS UPS, 14 Av Ed Belin, F-31400 Toulouse, France.</t>
  </si>
  <si>
    <t>soazig.parouty@legos.obs-mip.fr</t>
  </si>
  <si>
    <t>MDPI</t>
  </si>
  <si>
    <t>BASEL</t>
  </si>
  <si>
    <t>ST ALBAN-ANLAGE 66, CH-4052 BASEL, SWITZERLAND</t>
  </si>
  <si>
    <t>2072-4292</t>
  </si>
  <si>
    <t>REMOTE SENS-BASEL</t>
  </si>
  <si>
    <t>Remote Sens.</t>
  </si>
  <si>
    <t>10.3390/rs1041212</t>
  </si>
  <si>
    <t>Environmental Sciences; Geosciences, Multidisciplinary; Remote Sensing; Imaging Science &amp; Photographic Technology</t>
  </si>
  <si>
    <t>Environmental Sciences &amp; Ecology; Geology; Remote Sensing; Imaging Science &amp; Photographic Technology</t>
  </si>
  <si>
    <t>V24HH</t>
  </si>
  <si>
    <t>WOS:000208401000031</t>
  </si>
  <si>
    <t>Ryberg, PE</t>
  </si>
  <si>
    <t>Ryberg, Patricia E.</t>
  </si>
  <si>
    <t>Reproductive diversity of Antarctic glossopterid seed-ferns</t>
  </si>
  <si>
    <t>REVIEW OF PALAEOBOTANY AND PALYNOLOGY</t>
  </si>
  <si>
    <t>glossopterids; reproductive structures; Antarctica; Permian; Plumsteadia; Rigbya; Eretmonia; Arberiella</t>
  </si>
  <si>
    <t>CENTRAL TRANSANTARCTIC MOUNTAINS; PERMIAN-TRIASSIC BOUNDARY; PRINCE CHARLES MOUNTAINS; SOUTH-VICTORIA-LAND; FRUCTIFICATIONS; VERTEBRARIA; AUSTRALIA; SPORANGIA; POLLEN; RANGE</t>
  </si>
  <si>
    <t>Glossopterid reproductive structures, both impressions and permineralizations, have been known from Antarctica for decades, but little detailed work has been done on them to date. Impression fossils from the Central Transantarctic Mountains reveal that at least four genera of reproductive organs are present on the continent. Plumsteadia is a genus Of multiovulate megasporophylls found on all Gondwanan continents and distinguished by tightly compacted ovules surrounded by a wing which contains a row of ovules at its base. Numerous specimens of Plumsteadia ovata Kyle add additional information on anastomosing venation in the sporophyll and a fluted margin on the wing to the species description. A new species of Rigbya, an ovulate organ, is characterized by the laminar appearance of the cupules/scales and a crenate margin at the apex of the cupules. Eretmonia singulia sp. nov., a microsporangiate structure, is distinguished by the terminal attachment of a single sporangium on a dichotomizing stalk rather than a whorl of sporangia as found in other species. Finally, Arberiella inflectada sp. nov., a cluster of pollen sacs, includes microsporangia with a distinctive, recurved base. These genera are found across Gondwana, suggesting that Antarctica, with its central location in the supercontinent, was a bridge for the distribution of glossopterid genera from one Gondwanan continent to another. A comparison of these new Antarctic taxa to species found on other Gondwana continents is provided to illustrate the diversity and geographic range of glossopterid reproductive structures. The relative scarcity of information garnered from these impression specimens presents a conservative estimate of the diversity of the glossopterid clade, but information from Antarctica adds considerably to our knowledge of this group. (C) 2009 Elsevier B.V. All rights reserved.</t>
  </si>
  <si>
    <t>Ohio Univ, Athens, OH 45701 USA</t>
  </si>
  <si>
    <t>University System of Ohio; Ohio University</t>
  </si>
  <si>
    <t>Ryberg, PE (corresponding author), Ohio Univ, Athens, OH 45701 USA.</t>
  </si>
  <si>
    <t>ryberg@ohio.edu</t>
  </si>
  <si>
    <t>National Science Foundation [OISE-0825291, OPP-0635477]; Plant Biology at the University of Kansas; University of Kansas Natural History Museum; Sigma Xi Grants-in-Aid of Research; Botanical Society of America; Office of Polar Programs (OPP); Directorate For Geosciences [0635477] Funding Source: National Science Foundation</t>
  </si>
  <si>
    <t>National Science Foundation(National Science Foundation (NSF)); Plant Biology at the University of Kansas; University of Kansas Natural History Museum; Sigma Xi Grants-in-Aid of Research; Botanical Society of America; Office of Polar Programs (OPP); Directorate For Geosciences(National Science Foundation (NSF)NSF - Directorate for Geosciences (GEO))</t>
  </si>
  <si>
    <t>Thanks to Dr. Marion Bamford and the Bernard Price Institute, Johannesburg, South Africa, for providing access to the paleobotanical collection, Dr. Rose Prevec for the discussions on the preservation and morphology of the glossopterids, and Dr. Greg Retallack and the Condon Museum, University of Oregon, for the loan of Antarctic specimens collected by Dr. Retallack and his field party. Thanks to Ms. Kristin Spring and Dr. Mary Dettmann at the Queensland Museum, Brisbane, Mr. Robert Jones at the Australian Museum, Sydney, and Ms. jenny Bevan at the E. de C. Clarke Museum at the University of Western Australia, Perth for their help with the various collections. A special thanks goes to Dr. Edith L. Taylor for her support and guidance throughout this research. This research was funded by the National Science Foundation (OISE-0825291; OPP-0635477 to ELT), the Plant Biology Program at the University of Kansas, a University of Kansas Natural History Museum Panorama Grant, Sigma Xi Grants-in-Aid of Research Grant, and the Botanical Society of America.</t>
  </si>
  <si>
    <t>0034-6667</t>
  </si>
  <si>
    <t>1879-0615</t>
  </si>
  <si>
    <t>REV PALAEOBOT PALYNO</t>
  </si>
  <si>
    <t>Rev. Palaeobot. Palynology</t>
  </si>
  <si>
    <t>10.1016/j.revpalbo.2009.08.006</t>
  </si>
  <si>
    <t>Plant Sciences; Paleontology</t>
  </si>
  <si>
    <t>536SS</t>
  </si>
  <si>
    <t>WOS:000273064700010</t>
  </si>
  <si>
    <t>Mende, SB; Rachelson, W; Sterling, R; Frey, HU; Harris, SE; McBride, S; Rosenberg, TJ; Detrick, D; Doolittle, JL; Engebretson, M; Inan, U; Labelle, JW; Lanzerotti, LJ; Weatherwax, AT</t>
  </si>
  <si>
    <t>Mende, S. B.; Rachelson, W.; Sterling, R.; Frey, H. U.; Harris, S. E.; McBride, S.; Rosenberg, T. J.; Detrick, D.; Doolittle, J. L.; Engebretson, M.; Inan, U.; Labelle, J. W.; Lanzerotti, L. J.; Weatherwax, A. T.</t>
  </si>
  <si>
    <t>Observations of Earth space by self-powered stations in Antarctica</t>
  </si>
  <si>
    <t>REVIEW OF SCIENTIFIC INSTRUMENTS</t>
  </si>
  <si>
    <t>RADIO EMISSIONS; DOME-C; SUBSTORMS</t>
  </si>
  <si>
    <t>Coupling of the solar wind to the Earth magnetosphere/ionosphere is primarily through the high latitude regions, and there are distinct advantages in making remote sensing observations of these regions with a network of ground-based observatories over other techniques. The Antarctic continent is ideally situated for such a network, especially for optical studies, because the larger offset between geographic and geomagnetic poles in the south enables optical observations at a larger range of magnetic latitudes during the winter darkness. The greatest challenge for such ground-based observations is the generation of power and heat for a sizable ground station that can accommodate an optical imaging instrument. Under the sponsorship of the National Science Foundation, we have developed suitable automatic observing platforms, the Automatic Geophysical Observatories (AGOs) for a network of six autonomous stations on the Antarctic plateau. Each station housed a suite of science instruments including a dual wavelength intensified all-sky camera that records the auroral activity, an imaging riometer, fluxgate and search-coil magnetometers, and ELF/VLF and LM/MF/HF receivers. Originally these stations were powered by propane fuelled thermoelectric generators with the fuel delivered to the site each Antarctic summer. A by-product of this power generation was a large amount of useful heat, which was applied to maintain the operating temperature of the electronics in the stations. Although a reasonable degree of reliability was achieved with these stations, the high cost of the fuel air lift and some remaining technical issues necessitated the development of a different type of power unit. In the second phase of the project we have developed a power generation system using renewable energy that can operate automatically in the Antarctic winter. The most reliable power system consists of a type of wind turbine using a simple permanent magnet rotor and a new type of power control system with variable resistor shunts to regulate the power and dissipate the excess energy and at the same time provide heat for a temperature controlled environment for the instrument electronics and data system. We deployed such systems and demonstrated a high degree of reliability in several years of operation in spite of the relative unpredictability of the Antarctic environment. Sample data are shown to demonstrate that the AGOs provide key measurements, which would be impossible without the special technology developed for this type of observing platform. (C) 2009 American Institute of Physics. [doi:10.1063/1.3262506]</t>
  </si>
  <si>
    <t>[Mende, S. B.; Rachelson, W.; Sterling, R.; Frey, H. U.; Harris, S. E.; McBride, S.] Univ Calif Berkeley, Space Sci Lab, Berkeley, CA 94720 USA; [Rosenberg, T. J.; Detrick, D.] Univ Maryland, College Pk, MD 20742 USA; [Doolittle, J. L.] Lockheed Adv Technol Ctr, Palo Alto, CA 94304 USA; [Engebretson, M.] Augsburg Coll, Minneapolis, MN 55454 USA; [Inan, U.] Stanford Univ, Stanford, CA 94305 USA; [Labelle, J. W.] Dartmouth Coll, Hanover, NH 03755 USA; [Lanzerotti, L. J.] New Jersey Inst Technol, Newark, NJ 07102 USA; [Weatherwax, A. T.] Siena Coll, Loudonville, NY 12211 USA</t>
  </si>
  <si>
    <t>University of California System; University of California Berkeley; University System of Maryland; University of Maryland College Park; Augsburg University; Stanford University; Dartmouth College; New Jersey Institute of Technology</t>
  </si>
  <si>
    <t>Mende, SB (corresponding author), Univ Calif Berkeley, Space Sci Lab, Berkeley, CA 94720 USA.</t>
  </si>
  <si>
    <t>Inan, Umran/V-3634-2019</t>
  </si>
  <si>
    <t>Inan, Umran/0000-0001-5837-5807; Frey, Harald/0000-0001-8955-3282; Weatherwax, Allan/0000-0003-4732-358X; LaBelle, James/0000-0002-0772-8825</t>
  </si>
  <si>
    <t>NSF [0636899, 0340845]; NASA [NAS5-02099]; Directorate For Geosciences [0636899, 0636978, 0340845, 0840398] Funding Source: National Science Foundation; Office of Polar Programs (OPP) [0636978, 0636899, 0840398, 0340845] Funding Source: National Science Foundation; Office of Polar Programs (OPP); Directorate For Geosciences [0636798, 0840133] Funding Source: National Science Foundation</t>
  </si>
  <si>
    <t>NSF(National Science Foundation (NSF)); NASA(National Aeronautics &amp; Space Administration (NASA));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</si>
  <si>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The authors recognize that this article only covers part of the entire U.S. AGO PENGUIN program and many others have made great scientific and technical contributions to the program, including Professor H. Fukunishi of Tohoku University and Professor Roger Arnoldy of the University of New Hampshire. The entire program also involves a complex data retrieval system and credits are due to Professor N. Petit of Augsburg College for providing the data processing and archival system. The authors gratefully acknowledge the many outstanding engineering contributions of the staff of the Lockheed Palo Alto Research Laboratories and the UC Berkeley Space Science Laboratories. Special mention should be made of Mr. Steve Geller who wrote the AGO imager software and Mr. Francis Pang who built the AGO all-sky imager electronics. The writing of the paper was supported by the Antarctic program of NSF under Grant Nos. 0636899 and 0340845. The THEMIS data analysis program was supported by NASA under Contract No. NAS5-02099.</t>
  </si>
  <si>
    <t>CIRCULATION &amp; FULFILLMENT DIV, 2 HUNTINGTON QUADRANGLE, STE 1 N O 1, MELVILLE, NY 11747-4501 USA</t>
  </si>
  <si>
    <t>0034-6748</t>
  </si>
  <si>
    <t>REV SCI INSTRUM</t>
  </si>
  <si>
    <t>Rev. Sci. Instrum.</t>
  </si>
  <si>
    <t>10.1063/1.3262506</t>
  </si>
  <si>
    <t>Instruments &amp; Instrumentation; Physics, Applied</t>
  </si>
  <si>
    <t>Instruments &amp; Instrumentation; Physics</t>
  </si>
  <si>
    <t>538XJ</t>
  </si>
  <si>
    <t>WOS:000273217300035</t>
  </si>
  <si>
    <t>Bergadà, P; Deumal, M; Vilella, C; Regué, JR; Altadill, D; Marsal, S</t>
  </si>
  <si>
    <t>Bergada, Pau; Deumal, Marc; Vilella, Carles; Regue, Joan R.; Altadill, David; Marsal, Santi</t>
  </si>
  <si>
    <t>Remote Sensing and Skywave Digital Communication from Antarctica</t>
  </si>
  <si>
    <t>SENSORS</t>
  </si>
  <si>
    <t>Antarctica; remote sensing; ionosphere; geomagnetism; oblique sounding; skywave communications; DS-SS; OFDM</t>
  </si>
  <si>
    <t>PERFORMANCE; FIELD</t>
  </si>
  <si>
    <t>This paper presents an overview of the research activities undertaken by La Salle and the Ebro Observatory in the field of remote sensing. On 2003 we started a research project with two main objectives: implement a long-haul oblique ionospheric sounder and transmit the data from remote sensors located at the Spanish Antarctic station Juan Carlos I to Spain. The paper focuses on a study of feasibility of two possible physical layer candidates for the skywave link between both points. A DS-SS based solution and an OFDM based solution are considered to achieve a reliable low-power low-rate communication system between Antarctica and Spain.</t>
  </si>
  <si>
    <t>[Bergada, Pau; Deumal, Marc; Vilella, Carles; Regue, Joan R.] Univ Ramon Llull, LA SALLE, Barcelona 08022, Spain; [Altadill, David; Marsal, Santi] Univ Ramon Llull, CSIC, Grp Geofis, Observ Ebro, Roquetes 43529, Spain</t>
  </si>
  <si>
    <t>Universitat Ramon Llull; Consejo Superior de Investigaciones Cientificas (CSIC); Universitat Ramon Llull; Ebre Observatory</t>
  </si>
  <si>
    <t>Bergadà, P (corresponding author), Univ Ramon Llull, LA SALLE, Passeig Bonanova 8, Barcelona 08022, Spain.</t>
  </si>
  <si>
    <t>pbergada@salle.url.edu; mdeumal@salle.url.edu; carlesv@salle.url.edu; jramon@salle.url.edu; David_Altadill@obsebre.es; smarsal@obsebre.es</t>
  </si>
  <si>
    <t>Altadill, David/K-9309-2014; Marsal, Santiago/K-4415-2014</t>
  </si>
  <si>
    <t>Altadill, David/0000-0001-7730-385X; Marsal, Santiago/0000-0001-8675-7781</t>
  </si>
  <si>
    <t>Spanish Government [REN2003-08376-C02, CGL2006-12437-C02/ANT, CTM2008-03033-E/ANT, CTM2008-03236-E/ANT]; Comissionat per a Universitats i Recerca del DIUE de la Generalitat de Catalunya [2009SGR459, 2009SGR507]</t>
  </si>
  <si>
    <t>Spanish Government(Spanish Government); Comissionat per a Universitats i Recerca del DIUE de la Generalitat de Catalunya</t>
  </si>
  <si>
    <t>This work has been funded by the Spanish Government under the projects REN2003-08376-C02, CGL2006-12437-C02/ANT, CTM2008-03033-E/ANT and CTM2008-03236-E/ANT. LA SALLE and Observatorio del Ebro thank the Comissionat per a Universitats i Recerca del DIUE de la Generalitat de Catalunya for their support under the grants 2009SGR459 and 2009SGR507, respectively.</t>
  </si>
  <si>
    <t>1424-8220</t>
  </si>
  <si>
    <t>SENSORS-BASEL</t>
  </si>
  <si>
    <t>Sensors</t>
  </si>
  <si>
    <t>10.3390/s91210136</t>
  </si>
  <si>
    <t>Chemistry, Analytical; Engineering, Electrical &amp; Electronic; Instruments &amp; Instrumentation</t>
  </si>
  <si>
    <t>Chemistry; Engineering; Instruments &amp; Instrumentation</t>
  </si>
  <si>
    <t>536MP</t>
  </si>
  <si>
    <t>gold, Green Published, Green Submitted</t>
  </si>
  <si>
    <t>WOS:000273048800035</t>
  </si>
  <si>
    <t>Gombosi, DJ; Barbeau, DL; Garver, JI</t>
  </si>
  <si>
    <t>Gombosi, David J.; Barbeau, David L., Jr.; Garver, John I.</t>
  </si>
  <si>
    <t>New thermochronometric constraints on the rapid Palaeogene exhumation of the Cordillera Darwin complex and related thrust sheets in the Fuegian Andes</t>
  </si>
  <si>
    <t>TERRA NOVA</t>
  </si>
  <si>
    <t>TIERRA-DEL-FUEGO; SOUTHERNMOST ANDES; BACK-ARC; SOUTH-AMERICA; DRAKE PASSAGE; CORE COMPLEX; METAMORPHIC COMPLEXES; STRATIGRAPHIC RECORD; ANTARCTIC PENINSULA; TECTONIC EVOLUTION</t>
  </si>
  <si>
    <t>Thermal modelling of new fission-track and (U-Th-Sm)/He data from the Fuegian Andes reveals rapid cooling (similar to 12-48 degrees C Ma-1) during the middle and late Eocene followed by slow cooling (similar to 1.5 degrees C Ma-1) to the Recent. We interpret the rapid cooling as a result of exhumation from contractional uplift within the crystalline interior of the orogen. This interpretation is consistent with independent evidence of Eocene shortening, flexural subsidence and provenance changes in the study area, and is approximately coeval with marine geochemical evidence of the onset of Drake Passage opening. In light of the Palaeogene history of Nazca-South American plate convergence and the differences in shortening magnitudes and exhumation histories between the Fuegian and Patagonian Andes, our data support Eocene development of the Patagonian orocline, which also provides a plausible explanation for early opening of Drake Passage.</t>
  </si>
  <si>
    <t>[Gombosi, David J.; Barbeau, David L., Jr.] Univ S Carolina, Dept Earth &amp; Ocean Sci, Tecton &amp; Sedimentat Lab, Columbia, SC 29208 USA; [Garver, John I.] Union Coll, Dept Geol, Schenectady, NY 12308 USA</t>
  </si>
  <si>
    <t>University of South Carolina System; University of South Carolina Columbia; Union College</t>
  </si>
  <si>
    <t>Gombosi, DJ (corresponding author), Syracuse Univ, Dept Earth Sci, Heroy Geol Lab 204, Syracuse, NY 13244 USA.</t>
  </si>
  <si>
    <t>djgombos@syr.edu</t>
  </si>
  <si>
    <t>Garver, John I/0009-0004-4656-5151</t>
  </si>
  <si>
    <t>NSF [ANT-0732995]; USC Research &amp; Productive Scholarship grant</t>
  </si>
  <si>
    <t>NSF(National Science Foundation (NSF)); USC Research &amp; Productive Scholarship grant</t>
  </si>
  <si>
    <t>This research was supported by NSF grant ANT-0732995 and a USC Research &amp; Productive Scholarship grant to DLB. K. Klepeis, M. Kohn, P. Reiners and N. Swanson-Hysell provided guidance in the interpretation of our data. N. Swanson-Hysell, K. Murray, K. Zahid, A. Moragues and P. Torres Carbonell assisted with sample collection. P. O'Sullivan conducted AFT analyses. S. Nicolescu and P. Reiners assisted with (U-Th-Sm)/He analyses. M. Montario and E. Enkelmann assisted with ZFT analyses. E. and M. Olivero provided logistic assistance and housing at the Centro Austral de Investigaciones Cientificas (CADIC-CONICET), Argentina. M. D. and J. Darton provided invaluable guidance to DLB. Constructive reviews by S. Thomson, B. Heberer, Y. Lagabrielle and Associate Editor M. Rahn greatly improved the paper.</t>
  </si>
  <si>
    <t>0954-4879</t>
  </si>
  <si>
    <t>1365-3121</t>
  </si>
  <si>
    <t>Terr. Nova</t>
  </si>
  <si>
    <t>10.1111/j.1365-3121.2009.00908.x</t>
  </si>
  <si>
    <t>520AG</t>
  </si>
  <si>
    <t>WOS:000271811500011</t>
  </si>
  <si>
    <t>Marchenko, N</t>
  </si>
  <si>
    <t>Marchenko, N.</t>
  </si>
  <si>
    <t>Ice Conditions and Human Factors in Marine Accidents at the Arctic</t>
  </si>
  <si>
    <t>TRANSNAV-INTERNATIONAL JOURNAL ON MARINE NAVIGATION AND SAFETY OF SEA TRANSPORTATION</t>
  </si>
  <si>
    <t>All activities in the Arctic are conducted near the limit of technological opportunities and human abilities. But the drain of resources in the areas convenient for development obliges us to look at this severe polar region. The main objectives of the PetroArctic project (offshore and coastal technology for petroleum production and transport from arctic water) as a part of PETROMAX and MarSafe project (Marine Safety Management) are to obtain and provide information for safety of Arctic operation such as hydrocarbons production and transport from Polar seas. One of the tasks is a collection of ice pilot experiences from the people involved in the Arctic activities to learn how they felt in these conditions, how they solved difficult tasks and managed the ice. Items of special interest are connected to lost vessels and other marine accidents. Appreciable amount of written documentation and interviews have been processed and organized into a data base of marine accidents in Russian Arctic since 1900. It includes a set of maps where the locations of the accidents are shown with a description of the accidents (date, geographical environment, vessel type, what happened and how the people acted, etc). This paper includes the map for Kara Sea and descriptions of several accidents in the eastern part of Arctic as example of different situations, as well as the principles of the data base construction and accidents classification.</t>
  </si>
  <si>
    <t>[Marchenko, N.] Univ Ctr Svalbard, Longyearbyen, Norway; [Marchenko, N.] Norwegian Univ Sci &amp; Technol, Trondheim, Norway; [Marchenko, N.] State Oceanog Inst, Moscow, Russia</t>
  </si>
  <si>
    <t>University Centre Svalbard (UNIS); Norwegian University of Science &amp; Technology (NTNU)</t>
  </si>
  <si>
    <t>Marchenko, N (corresponding author), Univ Ctr Svalbard, Longyearbyen, Norway.</t>
  </si>
  <si>
    <t>Research Council of Norway by the PETROMAKS program; PetroArctic as a part of the PETROMAKS</t>
  </si>
  <si>
    <t>This study is founded by the PetroArctic project and the author acknowledges The Research Council of Norway for the financial support which was provided by the PETROMAKS program and PetroArctic as a part of the PETROMAKS. The author appreciates Prof. Ove T. Gudmestad and Prof. Sv.Loset for the original idea and helpful discussions and thanks the staff of the libraries at State Oceanographic Institute and Arctic and Antarctic Research Institute.</t>
  </si>
  <si>
    <t>GDYNIA MARITIME UNIV, FAC NAVIGATION</t>
  </si>
  <si>
    <t>GDYNIA</t>
  </si>
  <si>
    <t>3, JOHN PAUL II AVE, GDYNIA, 81-345, POLAND</t>
  </si>
  <si>
    <t>2083-6473</t>
  </si>
  <si>
    <t>2083-6481</t>
  </si>
  <si>
    <t>TRANSNAV</t>
  </si>
  <si>
    <t>TransNav</t>
  </si>
  <si>
    <t>Transportation Science &amp; Technology</t>
  </si>
  <si>
    <t>Transportation</t>
  </si>
  <si>
    <t>VD7WN</t>
  </si>
  <si>
    <t>WOS:000437615400007</t>
  </si>
  <si>
    <t>Coldron, JM</t>
  </si>
  <si>
    <t>Coldron, Joanna Mary</t>
  </si>
  <si>
    <t>Antarctic Medicine-The Challenges of Being a Doctor in an Isolated and Confined Environment</t>
  </si>
  <si>
    <t>WILDERNESS &amp; ENVIRONMENTAL MEDICINE</t>
  </si>
  <si>
    <t>[Coldron, Joanna Mary] Derriford Hosp, British Antarctic Survey, Med Unit, Plymouth PL6 8DH, Devon, England</t>
  </si>
  <si>
    <t>UK Research &amp; Innovation (UKRI); Natural Environment Research Council (NERC); NERC British Antarctic Survey; Derriford Hospital</t>
  </si>
  <si>
    <t>Coldron, JM (corresponding author), 61 Kathleen St, Trigg, WA 6029, Australia.</t>
  </si>
  <si>
    <t>jcoldron@hotmail.com</t>
  </si>
  <si>
    <t>ALLIANCE COMMUNICATIONS GROUP DIVISION ALLEN PRESS</t>
  </si>
  <si>
    <t>810 EAST 10TH STREET, LAWRENCE, KS 66044 USA</t>
  </si>
  <si>
    <t>1080-6032</t>
  </si>
  <si>
    <t>WILD ENVIRON MED</t>
  </si>
  <si>
    <t>Wildern. Environ. Med.</t>
  </si>
  <si>
    <t>10.1580/1080-6032-020.004.0383</t>
  </si>
  <si>
    <t>Public, Environmental &amp; Occupational Health; Sport Sciences</t>
  </si>
  <si>
    <t>542OJ</t>
  </si>
  <si>
    <t>WOS:000273503700015</t>
  </si>
  <si>
    <t>Maridet, O; Wu, WY; Ye, J; Bi, SD; Ni, XJ; Meng, J</t>
  </si>
  <si>
    <t>Maridet, Olivier; Wu, Wenyu; Ye, Jie; Bi, Shundong; Ni, Xijun; Meng, Jin</t>
  </si>
  <si>
    <t>Eucricetodon (Rodentia, Mammalia) from the Late Oligocene of the Junggar basin, northern Xinjiang, China</t>
  </si>
  <si>
    <t>AMERICAN MUSEUM NOVITATES</t>
  </si>
  <si>
    <t>ANTARCTIC ICE-SHEET; DISCOVERY; BOUNDARY; MA</t>
  </si>
  <si>
    <t>New specimens of Eucricetodon are described from the Late Oligocene Tieersihabahe Formation of the Junggar basin, northern Xinjiang, China. The relatively abundant material documents the morphological variation within Asian species of the genus. The taxon, identified as E. aff. E caducus, is similar to E. caducus from the Oligocene of Kazakhstan and China and E. occasionalis from the Early Miocene of Kazakhstan. It also shows noticeable resemblances to E. longidens from the Late Oligocene of Europe whose origin is currently in debate. The study confirms the strong morphological affinity between Asian and European species of Eucricetodon and suggests that the evolutionary trends among paracricetodontines are probably more complex than previously assumed, especially with the new forms discovered from the last decade. A systematic revision of Eurasian paracricetodontines at species level is needed to understand their evolutionary history.</t>
  </si>
  <si>
    <t>[Maridet, Olivier; Wu, Wenyu; Ye, Jie; Ni, Xijun] Chinese Acad Sci, Inst Vertebrate Paleontol &amp; Paleoanthropol, Key Lab Evolutionary Systemat Vertebrates, Beijing 100044, Peoples R China; [Bi, Shundong] Indiana Univ Penn, Dept Biol, Indiana, PA 15705 USA; [Meng, Jin] Amer Museum Nat Hist, Div Paleontol, New York, NY 10024 USA</t>
  </si>
  <si>
    <t>Chinese Academy of Sciences; Institute of Vertebrate Paleontology &amp; Paleoanthropology, CAS; Pennsylvania State System of Higher Education (PASSHE); Indiana University of Pennsylvania; American Museum of Natural History (AMNH)</t>
  </si>
  <si>
    <t>Maridet, O (corresponding author), Chinese Acad Sci, Inst Vertebrate Paleontol &amp; Paleoanthropol, Key Lab Evolutionary Systemat Vertebrates, Beijing 100044, Peoples R China.</t>
  </si>
  <si>
    <t>olivier.maridet@ivpp.ac.cn; sbi@iup.edu; jmeng@amnh.org</t>
  </si>
  <si>
    <t>meng, jin/JXO-0705-2024; Maridet, Olivier/H-5313-2019</t>
  </si>
  <si>
    <t>Maridet, Olivier/0000-0002-0956-0712</t>
  </si>
  <si>
    <t>Chinese Academy of Sciences [KZCXZ-YW-120]; Chinese National Natural Science Foundation [40472022]; China Postdoctoral Science Foundation [20080430557]; National Science Foundation [EF-0629811]</t>
  </si>
  <si>
    <t>Chinese Academy of Sciences(Chinese Academy of Sciences); Chinese National Natural Science Foundation(National Natural Science Foundation of China (NSFC)); China Postdoctoral Science Foundation(China Postdoctoral Science Foundation); National Science Foundation(National Science Foundation (NSF))</t>
  </si>
  <si>
    <t>We thank Li Ping for help in bibliographic research; Yue Qiwan for sorting the specimens; Wang Banyue (IVPP), Gudrun Daxner-Hock (Naturhistorisches Museum Wien, Geologisch-palaontologische Abteilung), Marguerite Hugueney (Centre de Paleontologie Stratigraphique et Paleoecologie), and Qiu Zhuding (IVPP) for informative discussions and comments. Mary Knight also helped us to improve the manuscript before its publication. This work has been supported by the Knowledge Innovation Program of the Chinese Academy of Sciences (KZCXZ-YW-120) and the Chinese National Natural Science Foundation (40472022). O.M's research was also supported by the China Postdoctoral Science Foundation (grant 20080430557) and the Research Fellowship for International Young Researchers of the Chinese Academy of Sciences 2008. Additional support was provided by National Science Foundation (grant EF-0629811 to J.M.).</t>
  </si>
  <si>
    <t>AMER MUSEUM NATURAL HISTORY</t>
  </si>
  <si>
    <t>ATTN: LIBRARY-SCIENTIFIC PUBLICATIONS DISTRIBUTION, CENTRAL PK WEST AT 79TH ST, NEW YORK, NY 10024-5192 USA</t>
  </si>
  <si>
    <t>0003-0082</t>
  </si>
  <si>
    <t>1937-352X</t>
  </si>
  <si>
    <t>AM MUS NOVIT</t>
  </si>
  <si>
    <t>Am. Mus. Novit.</t>
  </si>
  <si>
    <t>NOV 30</t>
  </si>
  <si>
    <t>10.1206/676.1</t>
  </si>
  <si>
    <t>Biodiversity Conservation; Zoology</t>
  </si>
  <si>
    <t>Biodiversity &amp; Conservation; Zoology</t>
  </si>
  <si>
    <t>527SO</t>
  </si>
  <si>
    <t>WOS:000272387000001</t>
  </si>
  <si>
    <t>Massolo, S; Messa, R; Rivaro, P; Leardi, R</t>
  </si>
  <si>
    <t>Massolo, Serena; Messa, Roberta; Rivaro, Paola; Leardi, Riccardo</t>
  </si>
  <si>
    <t>Annual and spatial variations of chemical and physical properties in the Ross Sea surface waters (Antarctica)</t>
  </si>
  <si>
    <t>CONTINENTAL SHELF RESEARCH</t>
  </si>
  <si>
    <t>Antarctica; Ross Sea; PCA; Statistical analysis; Surface waters; Annual variations; Nutrients</t>
  </si>
  <si>
    <t>TERRA-NOVA BAY; SOUTHERN-OCEAN; NUTRIENT UTILIZATION; COMMUNITY STRUCTURE; CHLOROPHYLL-A; ANNULAR MODE; SHELF WATERS; ICE; SUMMER; IRON</t>
  </si>
  <si>
    <t>Temperature, salinity, meltwater percentage, water column stability, dissolved oxygen and nutrients were measured in seawater samples collected at three fixed depths (0, 20, 100 m) in 104 stations located in three different areas of the Ross Sea (Antarctica), during four Italian Antarctic surveys carried out between 1998 and 2006. Nutrient data were used to quantify the nutrient removal, which appears particularly high in 2006, especially in polynya area. The N:P and Si:N disappearance ratios were studied to estimate the dominant phytoplanktonic community. No significant differences in the nutrient drawdown ratio were observed, in fact the N:P ratio was always below the Redfield standard ratio. The principal component analysis (PCA), a multivariate statistical technique, was applied to the measured physical and chemical properties and chlorophyll concentrations. The dataset was split to consider separately surface, 20 and 100 m samples, since the effect of depth resulted much greater than the effect of sampling area and sampling year. For each subset two principal components were extracted, explaining 47-60% of the data variance. The surface samples exhibit higher variability than 20 and 100 m ones, being more influenced by sea-ice-atmosphere exchange and pack-ice melting. The effect of annual variability, particularly on water column stability, temperature and nutrients, was consistent with different pack-ice coverages. In this regard, austral summer 2003, with a massive sea-ice coverage and megaberg presence, exhibited more atypical features (such as low water column stability and scarce nutrient removal) with respect to a normal year (i.e. 2006) than austral summer 1998, when pack-ice extension was conditioned by climate anomaly (El Nino event). (C) 2009 Elsevier Ltd. All rights reserved.</t>
  </si>
  <si>
    <t>[Massolo, Serena; Messa, Roberta; Rivaro, Paola] Univ Genoa, Dipartimento Chim &amp; Chim Ind, I-16146 Genoa, Italy; [Leardi, Riccardo] Univ Genoa, Dipartimento Chim &amp; Tecnol Farmaceut &amp; Alimentari, I-16147 Genoa, Italy</t>
  </si>
  <si>
    <t>University of Genoa; University of Genoa</t>
  </si>
  <si>
    <t>Massolo, S (corresponding author), Univ Genoa, Dipartimento Chim &amp; Chim Ind, Via Dodecaneso 31, I-16146 Genoa, Italy.</t>
  </si>
  <si>
    <t>massolo@chimica.unige.it; messa@chimica.unige.it; rivaro@chimica.unige.it; riclea@dictfa.unige.it</t>
  </si>
  <si>
    <t>Leardi, Riccardo/0000-0003-1685-6826</t>
  </si>
  <si>
    <t>Italian National Program for Antarctic Research (PNRA)</t>
  </si>
  <si>
    <t>We are grateful to the CLIMA group physical oceanographers for supplying CTD data and to Dr. Cinzia De Vittor, Dr. Olga Mangoni and Dr. Vincenzo Saggiomo for providing chlorophyll-a data. Special thanks go to the crewmembers of the R/V Italica, who helped us overcome all practical problems. This research was supported by the Italian National Program for Antarctic Research (PNRA)-CLIMA Project. Suggestions of the reviewers were greatly appreciated.</t>
  </si>
  <si>
    <t>0278-4343</t>
  </si>
  <si>
    <t>1873-6955</t>
  </si>
  <si>
    <t>CONT SHELF RES</t>
  </si>
  <si>
    <t>Cont. Shelf Res.</t>
  </si>
  <si>
    <t>10.1016/j.csr.2009.10.003</t>
  </si>
  <si>
    <t>535QG</t>
  </si>
  <si>
    <t>WOS:000272984700003</t>
  </si>
  <si>
    <t>Aravena, JC; Luckman, BH</t>
  </si>
  <si>
    <t>Aravena, Juan-Carlos; Luckman, Brian H.</t>
  </si>
  <si>
    <t>Spatio-temporal rainfall patterns in Southern South America</t>
  </si>
  <si>
    <t>South America; Patagonia; precipitation; homogeneity analysis; time series; atmospheric circulation</t>
  </si>
  <si>
    <t>EXTRATROPICAL CIRCULATION; ANNULAR MODES; CENTRAL CHILE; PRECIPITATION; OSCILLATION; TEMPERATURE; VARIABILITY; STREAMFLOW; ARGENTINA; DYNAMICS</t>
  </si>
  <si>
    <t>The dominant spatial and temporal patterns of a network of 23 homogenous instrumental rainfall records of Southern South America were analysed and used to define four regional annual precipitation series: (1) Northwestern Patagonia (1950-2000) with nine stations from both side of the Andes between 41 and 44 degrees S; (2) Central Patagonia (1950-2000) with five Chilean stations between 45 and 47 degrees S; (3) Patagonian plains-Atlantic (1961-2000) with five Argentinean stations spread between 43 and 50 degrees S and from the eastern foothills of the Andes to the Atlantic coast and (4) Southern Patagonia (1950-2000) with four stations cast of the Andes, near the Strait of Magellan between 51 and 53 degrees S. Unique patterns were also identified for two of the southernmost stations in Ushuaia and Evangelistas (EVA). Time series analysis of these regional patterns shows marked decadal variability for Northwestern and Central Patagonia, 3-7 years oscillations for the Patagonian plains-Atlantic region and a strong biannual oscillation mode for Southern Patagonia. Regional annual rainfall appears to be strongly influenced by Antarctic circulation modes (Antarctic Oscillation Index), whereas the El Nino-Southern Oscillation (ENSO) influence on rainfall variability is less evident. Highly significant correlation of precipitation on the west coast of Patagonia with the pressure gradient between the subtropical eastern Pacific and the high-latitude south eastern Pacific is confirmed. Copyright (C) 2008 Royal Meteorological Society</t>
  </si>
  <si>
    <t>[Aravena, Juan-Carlos] Ctr Estudios Cuaternario Fuego Patagonia &amp; Antart, Punta Arenas, Chile; [Luckman, Brian H.] Univ Western Ontario, Dept Geog, London, ON N6A 5C2, Canada</t>
  </si>
  <si>
    <t>Western University (University of Western Ontario)</t>
  </si>
  <si>
    <t>Aravena, JC (corresponding author), Ctr Estudios Cuaternario Fuego Patagonia &amp; Antart, Casilla 113-D, Punta Arenas, Chile.</t>
  </si>
  <si>
    <t>juan.aravenadonaire@gmail.com; juan.aravena@cequa.cl</t>
  </si>
  <si>
    <t>Aravena, Juan-Carlos/D-5687-2013</t>
  </si>
  <si>
    <t>Centro de Estudios Cuaternarios (CEQUA)-Universidad de Magallanes, Chile; Chilean Agency for Science and Technology (CONICYT) through the research grant Fondecyt [1-05-0298]; InterAmerican Institute for Global Change Research (IAI) [CRNI-03, CRN2047]; Environmental Sciences Program, University of Western Ontario, Canada</t>
  </si>
  <si>
    <t>Centro de Estudios Cuaternarios (CEQUA)-Universidad de Magallanes, Chile(Comision Nacional de Investigacion Cientifica y Tecnologica (CONICYT)CONICYT Regional/CEQUA); Chilean Agency for Science and Technology (CONICYT) through the research grant Fondecyt(Comision Nacional de Investigacion Cientifica y Tecnologica (CONICYT)CONICYT FONDECYT); InterAmerican Institute for Global Change Research (IAI); Environmental Sciences Program, University of Western Ontario, Canada</t>
  </si>
  <si>
    <t>Funds to support this research came from the Centro de Estudios Cuaternarios (CEQUA)-Universidad de Magallanes, Chile; the Chilean Agency for Science and Technology (CONICYT) through the research grant Fondecyt 1-05-0298 to Dr Antonio Lara; the InterAmerican Institute for Global Change Research (IAI) through the collaborative research network projects CRNI-03 and CRN2047 to Dr Brian Luckman and the Environmental Sciences Program, University of Western Ontario, Canada. We thank Jorge Carrasco from DMC for providing precipitation data. Very valuable referee comments were provided by Dr Patricio Aceituno and an anonyrnous reviewer.</t>
  </si>
  <si>
    <t>10.1002/joc.1761</t>
  </si>
  <si>
    <t>519QK</t>
  </si>
  <si>
    <t>WOS:000271782000007</t>
  </si>
  <si>
    <t>Auerswald, L; Pape, C; Stübing, D; Lopata, A; Meyer, B</t>
  </si>
  <si>
    <t>Auerswald, Lutz; Pape, Carsten; Stuebing, Dorothee; Lopata, Andreas; Meyer, Bettina</t>
  </si>
  <si>
    <t>Effect of short-term starvation of adult Antarctic krill, Euphausia superba, at the onset of summer</t>
  </si>
  <si>
    <t>Energy metabolite; Enzyme activity; Lipid; Metabolic activity; Metabolic depression; Overwintering</t>
  </si>
  <si>
    <t>AFRICAN FRUIT BEETLE; SIMULATED LIGHT REGIMES; LOBSTER JASUS-EDWARDSII; PACHNODA-SINUATA; SPINY LOBSTER; GLUTAMATE-DEHYDROGENASE; MICRONEKTONIC CRUSTACEA; TEMORA-LONGICORNIS; METABOLIC-CHANGES; CITRATE SYNTHASE</t>
  </si>
  <si>
    <t>We investigated the effect of short-term starvation (18 days) on the physiology of adult Euphausia superba from the Lazarev Sea at the onset of summer. Metabolic data, elemental and biochemical composition as well as morphological parameters revealed that, at the beginning of the experiment, krill was in transition from winter to summer physiology, with some features typical for late winter/spring (low lipid reserves, low C:N ratio, elevated ON ratio) and others for summer (high respiration rates, high MDH activity, large green digestive gland, short intermoult period (IMP) and fast growth). Starvation reduced body reserves drastically by more than 1% C per day. In relative terms, lipids (40%) and glycogen (30%) were reduced most and proteins by 10% of the initial value. Absolute consumption, however, was approximately 4% DM for lipids and proteins each, whereas contribution of glycogen was negligible. Within lipids, triacylglycerols (TAG) and phospholipids (PL) fell most dramatically from already low levels by 84% and 39%, respectively. Phosphatylcholine (PC) constituted 57% of PL and declined by 46%. As a result, proportions of the lipid classes changed with sterols increasing relatively. Metabolite changes were similar in cephalothorax and abdomen, although TAG in the cephalothorax fell more drastically. High metabolic activity at the beginning of starvation was quickly reduced to reach 53% after 18 days, accompanied by a reduction in the abdominal activity of malate dehydrogenase (MDH) by 25%. Our results may provide some explanation why recruitment of some year-classes of krill fails. Despite execution of the experiment in spring (i.e. transitional physiology state) and its short duration, some changes in the activity of metabolic enzymes in the abdomen, representing lipolytic, glycolytic and proteolytic pathways, respectively, were measured. Rising activities of 3-hydroxyacyl-CoA dehydrogenase (HOAD) and glyceralaldehyde-3-phosphate dehydrogenase (GAPDH) indicated increased lipolytic and glycolytic fluxes, respectively, whereas declining glutamate dehydrogenase (GluDH) activity suggests reduced proteolytic flux. Activities of other enzymes from protein catabolism, alanine aminotransferase (AlaAT) and aspartate aminotransferase (AspAT), however, remained unchanged. Ratios calculated from these trends indicated a declining importance of protein use during the course of starvation compared with consumption of lipids and glycogen. These results suggest that constant-proportion enzymes from different catabolic pathways, and calculated ratios thereof, may be useful in detecting shifts between the consumption of different body reserves. (C) 2009 Elsevier B.V. All rights reserved.</t>
  </si>
  <si>
    <t>[Auerswald, Lutz] Dept Environm Affairs &amp; Tourism, ZA-8012 Cape Town, South Africa; [Pape, Carsten; Meyer, Bettina] Alfred Wegener Inst Polar &amp; Marine Res, Sci Div Biol Oceanog, D-27570 Bremerhaven, Germany; [Stuebing, Dorothee] Univ Bremen, D-28334 Bremen, Germany; [Lopata, Andreas] Univ Cape Town, Allergy &amp; Asthma Grp, Div Immunol, ZA-7925 Cape Town, South Africa; [Lopata, Andreas] RMIT Univ, Sch Appl Sci, Melbourne, Vic, Australia</t>
  </si>
  <si>
    <t>Helmholtz Association; Alfred Wegener Institute, Helmholtz Centre for Polar &amp; Marine Research; University of Bremen; University of Cape Town; Royal Melbourne Institute of Technology (RMIT)</t>
  </si>
  <si>
    <t>Auerswald, L (corresponding author), Dept Environm Affairs &amp; Tourism, Private Bag X2, ZA-8012 Cape Town, South Africa.</t>
  </si>
  <si>
    <t>lauerswa@deat.gov.za</t>
  </si>
  <si>
    <t>Lopata, Andreas L/C-3831-2012; Meyer, Bettina/ABB-5311-2020; Lopata, Andreas Ludwig/O-2143-2017</t>
  </si>
  <si>
    <t>Meyer, Bettina/0000-0001-6804-9896; Lopata, Andreas Ludwig/0000-0002-2940-9235; Stubing, Dorothea/0000-0003-1105-754X</t>
  </si>
  <si>
    <t>German Federal Ministry of Education and Science (BMBF) through the Lazarev Sea Krill Study [03F0400A]; IBMF [SUA 05/008]; National Research Foundation (NRF) [GUN 2072645]</t>
  </si>
  <si>
    <t>German Federal Ministry of Education and Science (BMBF) through the Lazarev Sea Krill Study(Federal Ministry of Education &amp; Research (BMBF)); IBMF; National Research Foundation (NRF)</t>
  </si>
  <si>
    <t>We are indebted to the crew of RV Polarstem for their great support and efforts during both research cruises. We appreciate the professional technical assistance of Mrs. S. Spahic and Thobias Mattfeld for their support in sample analysis. Funding was provided by the German Federal Ministry of Education and Science (BMBF) through the Lazarev Sea Krill Study (LAKRIS; subproject 4, project number 03F0400A) and the IBMF (SUA 05/008) and the National Research Foundation (NRF) of South Africa (GUN 2072645) [ST].</t>
  </si>
  <si>
    <t>10.1016/j.jembe.2009.09.011</t>
  </si>
  <si>
    <t>519PH</t>
  </si>
  <si>
    <t>WOS:000271778800007</t>
  </si>
  <si>
    <t>Seear, P; Tarling, GA; Teschke, M; Meyer, B; Thorne, MAS; Clark, MS; Gaten, E; Rosato, E</t>
  </si>
  <si>
    <t>Seear, Paul; Tarling, Geraint A.; Teschke, Mathias; Meyer, Bettina; Thorne, Michael A. S.; Clark, Melody S.; Gaten, Edward; Rosato, Ezio</t>
  </si>
  <si>
    <t>Effects of simulated light regimes on gene expression in Antarctic krill (Euphausia superba Dana)</t>
  </si>
  <si>
    <t>Euphausiid; Moulting; Overwintering; Photoperiod; Quiescence; Southern Ocean</t>
  </si>
  <si>
    <t>RECEPTOR-RELATED PROTEIN; CALANUS-FINMARCHICUS; MOLTING FLUID; CAENORHABDITIS-ELEGANS; ALDOSE REDUCTASE; TOBACCO HORNWORM; MANDUCA-SEXTA; DIAPAUSE; CYCLE; COPEPOD</t>
  </si>
  <si>
    <t>A change in photoperiod has been implicated in triggering a transition from an active to a quiescent state in Antarctic krill. We examined this process at the molecular level, to identify processes that are affected when passing a photoperiodic threshold. Antarctic krill captured in the austral autumn were divided into two groups and immediately incubated either under a photoperiod of 12 h light:12 h darkness (LID), simulating the natural light cycle, or in continuous darkness (DID), simulating winter. All other conditions were kept identical between incubations. After 7 days of adaptation, krill were sampled every 4h over a 24h period and frozen. Total RNA was extracted from the heads and pooled to construct a suppression subtractive hybridisation library. Differentially expressed sequences were identified and annotated into functional categories through database sequence matching. We found a difference in gene expression between LD and DD krill, with LID krill expressing more genes involved in functions such as metabolism, motor activity, protein binding and various other cellular activities. Eleven of these genes were examined further with quantitative polymerase chain reaction analyses, which revealed that expression levels were significantly higher in LD krill. The genes affected by simulated photoperiodic change are consistent with known features of quiescence, such as a slowing of moult rate, a lowering of activity levels and a reduction in metabolic rate. The expression of proteases involved in apolysis, where the old cuticle separates from the epidermis, showed particular sensitivity to photoperiod and point to the mechanism by which moult rate is adjusted seasonally. Our results show that key processes are already responding at the molecular level after just 7 days of exposure to a changed photoperiodic cycle. We propose that krill switch rapidly between active and quiescent states and that the photoperiodic cycle plays a key role in this process. Crown Copyright (C) 2009 Published by Elsevier B.V. All rights reserved.</t>
  </si>
  <si>
    <t>[Seear, Paul; Tarling, Geraint A.; Thorne, Michael A. S.; Clark, Melody S.] British Antarctic Survey, Cambridge CB3 0ET, England; [Teschke, Mathias; Meyer, Bettina] Alfred Wegener Inst Polar &amp; Marine Res, Sci Div Biol Oceanog, D-27570 Bremerhaven, Germany; [Gaten, Edward] Univ Leicester, Dept Biol, Leicester LE1 7RH, Leics, England; [Rosato, Ezio] Univ Leicester, Dept Genet, Leicester LE1 7RH, Leics, England</t>
  </si>
  <si>
    <t>UK Research &amp; Innovation (UKRI); Natural Environment Research Council (NERC); NERC British Antarctic Survey; Helmholtz Association; Alfred Wegener Institute, Helmholtz Centre for Polar &amp; Marine Research; University of Leicester; University of Leicester</t>
  </si>
  <si>
    <t>Seear, P (corresponding author), British Antarctic Survey, High Cross,Madingley Rd, Cambridge CB3 0ET, England.</t>
  </si>
  <si>
    <t>paea@bas.ac.uk</t>
  </si>
  <si>
    <t>Meyer, Bettina/ABB-5311-2020; Gaten, Edward/B-4513-2011; Clark, Melody/D-7371-2014</t>
  </si>
  <si>
    <t>Meyer, Bettina/0000-0001-6804-9896; Clark, Melody/0000-0002-3442-3824; Rosato, Ezio/0000-0001-7297-4697; Thorne, Michael/0000-0001-7759-612X</t>
  </si>
  <si>
    <t>Natural Environment Research Council Antarctic Funding Initiative [AFI 7/06]; NERC [NE/D008719/1] Funding Source: UKRI; Natural Environment Research Council [NE/D008719/1] Funding Source: researchfish</t>
  </si>
  <si>
    <t>Natural Environment Research Council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</si>
  <si>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captain and crew of RV Polarstemn during ANTXXI-4 cruise. The genomic analysis was funded by the Natural Environment Research Council Antarctic Funding Initiative project AFI 7/06 Gene function in Antarctic krill: determining the role of clock-genes in synchronised behavioural patterns'. The contribution of GT was as part of the British Antarctic Survey FLEXICON project on flexibility and constraints in polar life-cycles. The contribution of MSC and MAST was as part of the British Antarctic Survey BIOREACH project. [SS]</t>
  </si>
  <si>
    <t>10.1016/j.jembe.2009.09.010</t>
  </si>
  <si>
    <t>WOS:000271778800008</t>
  </si>
  <si>
    <t>Müller, R; Grooss, JU</t>
  </si>
  <si>
    <t>Mueller, Rolf; Grooss, Jens-Uwe</t>
  </si>
  <si>
    <t>Does Cosmic-Ray-Induced Heterogeneous Chemistry Influence Stratospheric Polar Ozone Loss?</t>
  </si>
  <si>
    <t>PHYSICAL REVIEW LETTERS</t>
  </si>
  <si>
    <t>DISSOCIATIVE ELECTRON-ATTACHMENT; AEROSOL VARIATIONS; ARCTIC OZONE; H2O ICE; DEPLETION; WINTER; HCL; HISTORY; CLOOCL; VORTEX</t>
  </si>
  <si>
    <t>Cosmic-ray (CR) -induced heterogeneous reactions of halogenated species have been suggested to play the dominant role in causing the Antarctic ozone hole. However, measurements of total ozone in Antarctica do not show a compact and significant correlation with CR activity. Further, a substantial CR-induced heterogeneous loss of chlorofluorocarbons is incompatible with multiyear satellite observations of N(2)O and CFC-12. Thus, CR-induced heterogeneous reactions cannot be considered as an alternative mechanism causing the Antarctic ozone hole.</t>
  </si>
  <si>
    <t>[Mueller, Rolf; Grooss, Jens-Uwe] KFA Julich GmbH, Forschungszentrum, ICG 1, D-52425 Julich, Germany</t>
  </si>
  <si>
    <t>Helmholtz Association; Research Center Julich</t>
  </si>
  <si>
    <t>Müller, R (corresponding author), KFA Julich GmbH, Forschungszentrum, ICG 1, Postfach 1913, D-52425 Julich, Germany.</t>
  </si>
  <si>
    <t>ro.mueller@fz-juelich.de</t>
  </si>
  <si>
    <t>Grooß, Jens-Uwe/N-3305-2019; Grooß, Jens-Uwe/A-7315-2013; Müller, Rolf/ABA-8213-2021</t>
  </si>
  <si>
    <t>Grooß, Jens-Uwe/0000-0002-9485-866X; Grooß, Jens-Uwe/0000-0002-9485-866X; Müller, Rolf/0000-0002-5024-9977</t>
  </si>
  <si>
    <t>ACE-FTS; Canadian Space Agency</t>
  </si>
  <si>
    <t>ACE-FTS; Canadian Space Agency(Canadian Space Agency)</t>
  </si>
  <si>
    <t>We thank F. Rohrer for comments and for calculating the correlation coefficient of the data in Fig. 2 of Ref. [12]. ACE-FTS is funded by the Canadian Space Agency.</t>
  </si>
  <si>
    <t>AMER PHYSICAL SOC</t>
  </si>
  <si>
    <t>COLLEGE PK</t>
  </si>
  <si>
    <t>ONE PHYSICS ELLIPSE, COLLEGE PK, MD 20740-3844 USA</t>
  </si>
  <si>
    <t>0031-9007</t>
  </si>
  <si>
    <t>PHYS REV LETT</t>
  </si>
  <si>
    <t>Phys. Rev. Lett.</t>
  </si>
  <si>
    <t>NOV 27</t>
  </si>
  <si>
    <t>10.1103/PhysRevLett.103.228501</t>
  </si>
  <si>
    <t>Physics, Multidisciplinary</t>
  </si>
  <si>
    <t>524ZD</t>
  </si>
  <si>
    <t>WOS:000272182000052</t>
  </si>
  <si>
    <t>DiFiore, PJ; Sigman, DM; Dunbar, RB</t>
  </si>
  <si>
    <t>DiFiore, Peter J.; Sigman, Daniel M.; Dunbar, Robert B.</t>
  </si>
  <si>
    <t>Upper ocean nitrogen fluxes in the Polar Antarctic Zone: Constraints from the nitrogen and oxygen isotopes of nitrate</t>
  </si>
  <si>
    <t>nitrification; stable isotopes; nitrate; Southern Ocean; Antarctic Zone; nitrogen cycle</t>
  </si>
  <si>
    <t>PRIMARY NITRITE MAXIMUM; PRYDZ BAY-REGION; SOUTHERN-OCEAN; NITRIFICATION RATES; NORTH PACIFIC; MARINE-PHYTOPLANKTON; CIRCUMPOLAR CURRENT; IRON AVAILABILITY; AMMONIUM UPTAKE; ORGANIC-MATTER</t>
  </si>
  <si>
    <t>We report nitrate nitrogen (N) and oxygen (O) isotope measurements from the seasonally sea ice covered Polar Antarctic Zone (PAZ) south of the Southern Antarctic Circumpolar Front. The 15 N/14 N and 18 O/16 O ratios of nitrate both increase into the summertime surface mixed layer, in strong correlation with the upward decrease in nitrate concentration, the expected result of nitrate assimilation by phytoplankton. Culture studies indicate that algal assimilation of nitrate fractionates the nitrate N and O isotopes equally, while previous field studies suggest that nitrate N and O isotope behavior can be decoupled by euphotic zone nitrification. Our data for the PAZ show strong coupling of the dual isotopes of nitrate, and a numerical model of Antarctic summertime surface layer N cycling fits our observations (including isotopic compositions of both nitrate and suspended particulate N) if the nitrification rate is no more than 6% of the nitrate assimilation rate by phytoplankton. The model estimates that the N isotope effect of nitrate assimilation is 5.0 +/- 0.7%. This estimate lacks some of the uncertainties associated with previous studies within the Antarctic Circumpolar Current, and it is at the low end of most recent estimates from the Southern Ocean, the range of which we speculatively attribute to an effect of mixed layer depth on the amplitude of isotope discrimination.</t>
  </si>
  <si>
    <t>[DiFiore, Peter J.; Sigman, Daniel M.] Princeton Univ, Dept Geosci, Princeton, NJ 08544 USA; [Dunbar, Robert B.] Stanford Univ, Stanford, CA 94306 USA</t>
  </si>
  <si>
    <t>Princeton University; Stanford University</t>
  </si>
  <si>
    <t>DiFiore, PJ (corresponding author), Princeton Univ, Dept Geosci, Princeton, NJ 08544 USA.</t>
  </si>
  <si>
    <t>pdifiore@princeton.edu</t>
  </si>
  <si>
    <t>Sigman, Daniel M./A-2649-2008; Sigman, Daniel M./IYJ-2613-2023</t>
  </si>
  <si>
    <t>Sigman, Daniel M./0000-0002-7923-1973; Dunbar, Robert/0000-0002-9728-5609</t>
  </si>
  <si>
    <t>RVIB Nathaniel Palmer, Amy Leventer [NBP0101]; NSF [OPP-9909837, OPP-0207305, OPP-0338350, OCE-0447570, OPP-0453680]; Siebel Energy Grand Challenge of Princeton University</t>
  </si>
  <si>
    <t>RVIB Nathaniel Palmer, Amy Leventer; NSF(National Science Foundation (NSF)); Siebel Energy Grand Challenge of Princeton University(Princeton University)</t>
  </si>
  <si>
    <t>We acknowledge the support of the captain and crew of the RVIB Nathaniel Palmer, Amy Leventer (NBP0101 chief scientist), and the able technical assistance of David Mucciarone and Yi Wang. This work was supported by NSF grants OPP-9909837, OPP-0207305, OPP-0338350 to R. D., and OCE-0447570 and OPP-0453680 to D. M. S. and by the Siebel Energy Grand Challenge of Princeton University.</t>
  </si>
  <si>
    <t>NOV 26</t>
  </si>
  <si>
    <t>Q11016</t>
  </si>
  <si>
    <t>10.1029/2009GC002468</t>
  </si>
  <si>
    <t>524LZ</t>
  </si>
  <si>
    <t>WOS:000272146100001</t>
  </si>
  <si>
    <t>Town, MS; Walden, VP</t>
  </si>
  <si>
    <t>Town, Michael S.; Walden, Von P.</t>
  </si>
  <si>
    <t>Surface energy budget over the South Pole and turbulent heat fluxes as a function of an empirical bulk Richardson number</t>
  </si>
  <si>
    <t>LONGWAVE IRRADIANCE UNCERTAINTY; AUTOMATIC WEATHER STATIONS; ANTARCTIC SNOW SURFACE; BOUNDARY-LAYER; SCALAR ROUGHNESS; CLOUD COVER; DAILY CYCLE; ICE SHELF; BLUE ICE; BALANCE</t>
  </si>
  <si>
    <t>Routine radiation and meteorological data at South Pole Station are used to investigate historical discrepancies of up to 50 W m(-2) in the monthly mean surface energy budget and to investigate the behavior of turbulent heat fluxes under stable atmospheric temperature conditions. The seasonal cycles of monthly mean net radiation and turbulent heat fluxes are approximately equal, with a difference of 40 W m(-2) between summer and winter, while the seasonal cycle of subsurface heat fluxes is only a few W m(-2). For an 8-month period (the winter of 2001), we calculate two estimates of turbulent heat fluxes, one from Monin-Obukhov (MO) similarity theory and one as the residual of the surface energy budget (i.e., subsurface heat fluxes minus net radiation, where all fluxes toward the snow surface are positive). The turbulent fluxes from MO theory agree well with the residual of the energy budget under lapse conditions. However, under stable conditions MO theory underestimates turbulent fluxes by approximately 40-60%. The relationship between turbulent heat fluxes as a residual of the energy budget, temperature inversion strength, and wind shear as a function of the bulk Richardson number (Ri(b)) is examined under stable conditions (i.e., positive Ri(b)). The Ri(b) used here is calculated from 10-m wind speeds and 0- to 2-m temperature inversion strength. No critical value of Ri(b) is found where the turbulent heat fluxes drop to zero. However, a threshold (Ri(b) = 0.05) exists below which 70% of the turbulent energy fluxes can be explained by only the temperature inversion strength. For Ri(b) &gt; 0.05, the relationship between turbulent heat fluxes and temperature inversion strength decreases, while the importance of wind shear to turbulent heat transfer increases. Above Ri(b) = 0.05, a growing linear correlation also exists between atmospheric temperature inversion strength and wind shear. Thus, inversion strength and wind shear are not independent predictors of turbulent heat flux for extremely stable conditions. The exact values of the correlation coefficients and Ri(b) threshold are likely specific to the experimental conditions; however, their implications are probably valid for all stable flows. Knowledge of the time-varying surface characteristics would help to generalize these parameters.</t>
  </si>
  <si>
    <t>[Town, Michael S.] UJF, CNRS, Lab Glaciol &amp; Geophys Environm, UMR 5183, F-38402 St Martin Dheres, France; [Walden, Von P.] Univ Idaho, Dept Geog, Moscow, ID 83844 USA</t>
  </si>
  <si>
    <t>Communaute Universite Grenoble Alpes; Universite Grenoble Alpes (UGA); Centre National de la Recherche Scientifique (CNRS); Idaho; University of Idaho</t>
  </si>
  <si>
    <t>Town, MS (corresponding author), UJF, CNRS, Lab Glaciol &amp; Geophys Environm, UMR 5183, 54 Rue Moliere, F-38402 St Martin Dheres, France.</t>
  </si>
  <si>
    <t>town@lgge.obs.ujf-grenoble.fr</t>
  </si>
  <si>
    <t>United States National Science Foundation [OPP-0540090, OPP-0540087]; Centre National d'Etudes Spatiales (CNES); Centre National de la Recherche Scientifique (CNRS)</t>
  </si>
  <si>
    <t>United States National Science Foundation(National Science Foundation (NSF)); Centre National d'Etudes Spatiales (CNES)(Centre National D'etudes Spatiales); Centre National de la Recherche Scientifique (CNRS)(Centre National de la Recherche Scientifique (CNRS))</t>
  </si>
  <si>
    <t>Ells Dutton and Tom Mefford of NOAA ESRL- GMD and the Baseline Surface Radiation Network provided us with the South Pole data set used here. Rich Brandt provided the data from the thermistor strings. The authors thank Jim Riley and Chris Bretherton for patient discussions on stable boundary layer theory, Atsumu Ohmura for advice on the surface energy budget in polar regions, David Fitzjarrald and three anonymous reviewers for comments and suggestions, and Stephen Warren for invaluable guidance during the course of this research. This work was funded under the United States National Science Foundation grants OPP-0540090 and OPP-0540087 and by the Centre National d'Etudes Spatiales (CNES) and Centre National de la Recherche Scientifique (CNRS) as part of the THORPEX/IPY CONCORDIASI program.</t>
  </si>
  <si>
    <t>D22107</t>
  </si>
  <si>
    <t>10.1029/2009JD011888</t>
  </si>
  <si>
    <t>524MI</t>
  </si>
  <si>
    <t>WOS:000272147000002</t>
  </si>
  <si>
    <t>González-Acuña, D; Cerda, F; López, J; Ortega, R; Mathieu, C; Kinsella, M</t>
  </si>
  <si>
    <t>Gonzalez-Acuna, Daniel; Cerda, Fabiola; Lopez, Juana; Ortega, Rene; Mathieu, Christian; Kinsella, Mike</t>
  </si>
  <si>
    <t>Checklist of the helminths of the kelp gull, Larus dominicanus (Aves: Laridae), with new records from Chile</t>
  </si>
  <si>
    <t>ZOOTAXA</t>
  </si>
  <si>
    <t>checklist; parasites; helminthes; kelp gull; Larus dominicanus; trematode; cestode; nematode; acanthocephalan</t>
  </si>
  <si>
    <t>FISH-EATING BIRDS; BLACK-BACKED GULL; N. SP DIGENEA; GASTROINTESTINAL HELMINTHS; BARTOLIUS-PIERREI; MARITREMA DIGENEA; LICHTENSTEIN AVES; PATAGONIAN COAST; BUENOS-AIRES; NEMATODA</t>
  </si>
  <si>
    <t>Kelp gulls (Larus dominicanus) have a circumpolar distribution in the southern hemisphere. Their range extends as far north as Ecuador and they occur along the southern coast of South America and Africa as well as Australia, New Zealand and sub-Antarctic Islands. This study presents a checklist that summarizes sites of infections, localities, life cycles and their intermediate hosts (if known), and the pertinent references to demonstrate the wide diversity of kelp gull parasitic helminths. Our review of the existing literature (59 publications) on kelp gull parasites provided information on a total of 21 families and 49 genera, including 62 described species, of which 36 were described in Argentina, 21 in Chile, 12 in Antarctica, 11 in New Zealand, 7 in Brazil and 3 in South Africa. In addition, 11 parasites are recorded from Talcahuano, Chile, 10 of them are new records for Chile and 4 represented new host records, Aporchis sp., Maritrema eroliae, Microphallus nicolli and Tetrameres skrjabini.</t>
  </si>
  <si>
    <t>[Gonzalez-Acuna, Daniel; Lopez, Juana; Ortega, Rene] Univ Concepcion, Fac Ciencias Vet, Chillan, Chile; [Cerda, Fabiola] Univ Bio Bio, Fac Ciencias Salud &amp; Alimentos, Santiago, Chile; [Mathieu, Christian] SAG Lo Aguirre, Serv Agr &amp; Ganadero, Santiago, Chile; [Kinsella, Mike] Helm W Lab, Missoula, MT 59801 USA</t>
  </si>
  <si>
    <t>Universidad de Concepcion; Universidad del Bio-Bio</t>
  </si>
  <si>
    <t>González-Acuña, D (corresponding author), Univ Concepcion, Fac Ciencias Vet, Casilla 537, Chillan, Chile.</t>
  </si>
  <si>
    <t>danigonz@udec.cl</t>
  </si>
  <si>
    <t>Fondecyt [Ndegrees1070464]</t>
  </si>
  <si>
    <t>Fondecyt(Comision Nacional de Investigacion Cientifica y Tecnologica (CONICYT)CONICYT FONDECYT)</t>
  </si>
  <si>
    <t>The present study was funded by Fondecyt N degrees 1070464. Our thanks to the personnel of the Health Service and Municipality of Talcahuano: Sandra Briones, Claudio Parraguez, Jose Cuevas, Guillermo Rivera. Giancarlo Garvarino, Carlos Barrientos, Felipe Corvalan, Jonatan Lara, Daniela Doussang, Karen Ardiles, Carlos Riquelme, Nicolas Martin, Roberto Bravo, and Jordan Torres for helping us in the collection of the gulls. Thanks to Florencia Cremonte and Lia Lunaschi for helping us in the reference compilation.</t>
  </si>
  <si>
    <t>MAGNOLIA PRESS</t>
  </si>
  <si>
    <t>AUCKLAND</t>
  </si>
  <si>
    <t>PO BOX 41383, AUCKLAND, ST LUKES 1030, NEW ZEALAND</t>
  </si>
  <si>
    <t>1175-5326</t>
  </si>
  <si>
    <t>1175-5334</t>
  </si>
  <si>
    <t>Zootaxa</t>
  </si>
  <si>
    <t>NOV 25</t>
  </si>
  <si>
    <t>523RO</t>
  </si>
  <si>
    <t>WOS:000272092400003</t>
  </si>
  <si>
    <t>Cowan, DA</t>
  </si>
  <si>
    <t>Cowan, Don A.</t>
  </si>
  <si>
    <t>Cryptic microbial communities in Antarctic deserts</t>
  </si>
  <si>
    <t>SOIL; DIVERSITY; ECOSYSTEM; ECOLOGY; GROWTH</t>
  </si>
  <si>
    <t>Univ Western Cape, Inst Microbial Biotechnol &amp; Metagenom, ZA-7535 Cape Town, South Africa</t>
  </si>
  <si>
    <t>University of the Western Cape</t>
  </si>
  <si>
    <t>Cowan, DA (corresponding author), Univ Western Cape, Inst Microbial Biotechnol &amp; Metagenom, ZA-7535 Cape Town, South Africa.</t>
  </si>
  <si>
    <t>dcowan@uwc.ac.za</t>
  </si>
  <si>
    <t>Cowan, Donald A/E-3991-2012</t>
  </si>
  <si>
    <t>Cowan, Donald A/0000-0001-8059-861X</t>
  </si>
  <si>
    <t>NOV 24</t>
  </si>
  <si>
    <t>10.1073/pnas.0911628106</t>
  </si>
  <si>
    <t>524YS</t>
  </si>
  <si>
    <t>WOS:000272180900003</t>
  </si>
  <si>
    <t>Chen, LJ; Bortnik, J; Thorne, RM; Horne, RB; Jordanova, VK</t>
  </si>
  <si>
    <t>Chen, Lunjin; Bortnik, Jacob; Thorne, Richard M.; Horne, Richard B.; Jordanova, Vania K.</t>
  </si>
  <si>
    <t>Three-dimensional ray tracing of VLF waves in a magnetospheric environment containing a plasmaspheric plume</t>
  </si>
  <si>
    <t>DISCRETE CHORUS EMISSIONS; RADIATION; ORIGIN; HISS</t>
  </si>
  <si>
    <t>A three dimensional ray tracing of whistler-mode chorus is performed in a realistic magnetosphere using the HOTRAY code. A variety of important propagation characteristics are revealed associated with azimuthal density gradients and a plasmaspheric plume. Specifically, whistler mode chorus originating from a broad region on the dayside can propagate into the plasmasphere. After entry into the plasmasphere, waves can propagate eastward in MLT and merge to form hiss. This explains how chorus generated on the dayside can contribute to plasmaspheric hiss in the dusk sector. A subset of waves entering the plasmasphere can even propagate globally onto the nightside. Citation: Chen, L., J. Bortnik, R. M. Thorne, R. B. Horne, and V. K. Jordanova (2009), Three-dimensional ray tracing of VLF waves in a magnetospheric environment containing a plasmaspheric plume, Geophys. Res. Lett., 36, L22101, doi:10.1029/2009GL040451.</t>
  </si>
  <si>
    <t>[Chen, Lunjin; Bortnik, Jacob; Thorne, Richard M.] Univ Calif Los Angeles, Dept Atmospher &amp; Ocean Sci, Los Angeles, CA 90024 USA; [Horne, Richard B.] British Antarctic Survey, NERC, Cambridge CB3 0ET, England; [Jordanova, Vania K.] Los Alamos Natl Lab, Los Alamos, NM 87545 USA</t>
  </si>
  <si>
    <t>University of California System; University of California Los Angeles; UK Research &amp; Innovation (UKRI); Natural Environment Research Council (NERC); NERC British Antarctic Survey; United States Department of Energy (DOE); Los Alamos National Laboratory</t>
  </si>
  <si>
    <t>Chen, LJ (corresponding author), Univ Calif Los Angeles, Dept Atmospher &amp; Ocean Sci, Los Angeles, CA 90024 USA.</t>
  </si>
  <si>
    <t>clj@atmos.ucla.edu</t>
  </si>
  <si>
    <t>Jordanova, Vania/AAE-9907-2020; Horne, Richard B/U-3764-2019; Chen, Lunjin/L-1250-2013; Jordanova, Vania/E-3667-2018</t>
  </si>
  <si>
    <t>Horne, Richard B/0000-0002-0412-6407; Chen, Lunjin/0000-0003-2489-3571; Jordanova, Vania/0000-0003-0475-8743</t>
  </si>
  <si>
    <t>NASA [NNX08A135G, NNH08AJ01I]; NERC [bas0100023] Funding Source: UKRI; Natural Environment Research Council [bas0100023] Funding Source: researchfish</t>
  </si>
  <si>
    <t>NASA(National Aeronautics &amp; Space Administration (NASA)); NERC(UK Research &amp; Innovation (UKRI)Natural Environment Research Council (NERC)); Natural Environment Research Council(UK Research &amp; Innovation (UKRI)Natural Environment Research Council (NERC))</t>
  </si>
  <si>
    <t>This research was supported by the NASA grants NNX08A135G and NNH08AJ01I.</t>
  </si>
  <si>
    <t>NOV 20</t>
  </si>
  <si>
    <t>L22101</t>
  </si>
  <si>
    <t>10.1029/2009GL040451</t>
  </si>
  <si>
    <t>522JZ</t>
  </si>
  <si>
    <t>Green Accepted, Bronze</t>
  </si>
  <si>
    <t>WOS:000271995200002</t>
  </si>
  <si>
    <t>Sodemann, H; Stohl, A</t>
  </si>
  <si>
    <t>Sodemann, Harald; Stohl, Andreas</t>
  </si>
  <si>
    <t>Asymmetries in the moisture origin of Antarctic precipitation</t>
  </si>
  <si>
    <t>ISOTOPIC COMPOSITION; DEUTERIUM EXCESS; ICE CORES; SNOW</t>
  </si>
  <si>
    <t>The seasonality of moisture sources for precipitation in Antarctica is studied with a Lagrangian moisture source diagnostic. Moisture origin for precipitation in Antarctica has strongly asymmetric properties, which are related to the Antarctic topography, seasonal sea ice coverage, and the land/ocean contrasts in the mid-latitudes of the southern hemisphere. The highest altitudes of the East Antarctic ice shield, where major ice cores have been drilled, have mean source latitudes of 45-40 degrees S year-round. This finding contrasts to results from previous Lagrangian studies which detected a more southerly moisture origin due to too short trajectories. Now, results from Lagrangian moisture source diagnostics are consistent with findings from general circulation models with tagged tracers. Thus, both approaches can serve as a common benchmark for the interpretation of moisture source indicators based on stable isotopes, such as deuterium excess, in Antarctic ice cores. Citation: Sodemann, H., and A. Stohl (2009), Asymmetries in the moisture origin of Antarctic precipitation, Geophys. Res. Lett., 36, L22803, doi:10.1029/2009GL040242.</t>
  </si>
  <si>
    <t>[Sodemann, Harald; Stohl, Andreas] Norwegian Inst Air Res, N-2027 Kjeller, Norway</t>
  </si>
  <si>
    <t>NILU</t>
  </si>
  <si>
    <t>Sodemann, H (corresponding author), CALTECH, Div Geol &amp; Planetary Sci, Pasadena, CA 91125 USA.</t>
  </si>
  <si>
    <t>hso@nilu.no</t>
  </si>
  <si>
    <t>Stohl, Andreas/A-7535-2008; Sodemann, Harald/ABG-5304-2021</t>
  </si>
  <si>
    <t>Stohl, Andreas/0000-0002-2524-5755; Sodemann, Harald/0000-0002-8167-0860</t>
  </si>
  <si>
    <t>Norwegian Research Council</t>
  </si>
  <si>
    <t>Norwegian Research Council(Research Council of Norway)</t>
  </si>
  <si>
    <t>Funding for this study has been provided by the Norwegian Research Council in the framework of the WaterSIP project. The Norwegian meteorological service met. no is acknowledged for access to the ECMWF data.</t>
  </si>
  <si>
    <t>L22803</t>
  </si>
  <si>
    <t>10.1029/2009GL040242</t>
  </si>
  <si>
    <t>WOS:000271995200001</t>
  </si>
  <si>
    <t>Espurt, N; Callot, JP; Totterdell, J; Struckmeyer, H; Vially, R</t>
  </si>
  <si>
    <t>Espurt, Nicolas; Callot, Jean-Paul; Totterdell, Jennifer; Struckmeyer, Heike; Vially, Roland</t>
  </si>
  <si>
    <t>Interactions between continental breakup dynamics and large-scale delta system evolution: Insights from the Cretaceous Ceduna delta system, Bight Basin, Southern Australian margin</t>
  </si>
  <si>
    <t>TECTONICS</t>
  </si>
  <si>
    <t>PASSIVE-MARGIN; THRUST BELTS; SEISMIC STRATIGRAPHY; TECTONIC DENUDATION; MANTLE EXHUMATION; GALICIA MARGIN; DETACHMENT; TRANSITION; FLOOR; OFFSHORE</t>
  </si>
  <si>
    <t>The interpretation of two regional seismic reflection profiles and the construction of a balanced cross section through the southern Australian margin (Bight Basin) are designed to analyze the influence of the Australia-Antarctica continental breakup process on the kinematic evolution of the Cretaceous Ceduna delta system. The data show that the structural architecture of this delta system consists of two stacked delta systems. The lower White Pointer delta system (Late Albian-Santonian) is an unstable tectonic wedge, regionally detached seaward above Late Albian ductile shales. Sequential restoration suggests that the overall gravitational sliding behavior of the White Pointer delta wedge (similar to 45 km of seaward extension, i.e., similar to 27%) is partially balanced by the tectonic denudation of the subcontinental mantle. We are able to estimate the horizontal stretching rate of the mantle exhumation between similar to 2 and 5 km Ma(-1). The associated uplift of the distal part of the margin and associated flexural subsidence in the proximal part of the basin are partially responsible for the decrease of the gravitational sliding of the White Pointer delta system. Lithospheric failure occurs at similar to 84 Ma through the rapid exhumation of the mantle. The upper Hammerhead delta system (Late Santonian-Maastrichtian) forms a stable tectonic wedge developed during initial, slow seafloor spreading and sag basin evolution of the Australian side margin. Lateral variation of basin slope (related to the geometry of the underlying White Pointer delta wedge) is associated with distal raft tectonic structures sustained by high sedimentation rates. Finally, we propose a conceptual low-angle detachment fault model for the evolution of the Australian-Antarctic conjugate margins, in which the Antarctic margin corresponds to the upper plate and the Australian margin to the lower plate. Citation: Espurt, N.,J.-P. Callot, J. Totterdell, H. Struckmeyer, and R. Vially (2009), Interactions between continental breakup dynamics and large-scale delta system evolution: Insights from the Cretaceous Ceduna delta system, Bight Basin, Southern Australian margin, Tectonics, 28, TC6002, doi:10.1029/2009TC002447.</t>
  </si>
  <si>
    <t>[Espurt, Nicolas; Callot, Jean-Paul; Vially, Roland] Inst Francais Petrole, F-92852 Rueil Malmaison, France; [Totterdell, Jennifer; Struckmeyer, Heike] Geosci Australia, Petr &amp; Marine Div, Canberra, ACT 2601, Australia</t>
  </si>
  <si>
    <t>IFP Energies Nouvelles; Geoscience Australia</t>
  </si>
  <si>
    <t>Espurt, N (corresponding author), Aix Marseille Univ, CEREGE, UMR 6635, BP80, F-13545 Aix En Provence 04, France.</t>
  </si>
  <si>
    <t>espurt@cerege.fr; j-paul.callot@ifp.fr; jennifer.totterdell@ga.gov.au; heike.struckmeyer@ga.gov.au; roland.vially@ifp.fr</t>
  </si>
  <si>
    <t>CALLOT, Jean-Paul/0000-0001-9385-3974</t>
  </si>
  <si>
    <t>0278-7407</t>
  </si>
  <si>
    <t>1944-9194</t>
  </si>
  <si>
    <t>Tectonics</t>
  </si>
  <si>
    <t>TC6002</t>
  </si>
  <si>
    <t>10.1029/2009TC002447</t>
  </si>
  <si>
    <t>522MU</t>
  </si>
  <si>
    <t>WOS:000272003000001</t>
  </si>
  <si>
    <t>Ferraccioli, F; Armadillo, E; Zunino, A; Bozzo, E; Rocchi, S; Armienti, P</t>
  </si>
  <si>
    <t>Ferraccioli, F.; Armadillo, E.; Zunino, A.; Bozzo, E.; Rocchi, S.; Armienti, P.</t>
  </si>
  <si>
    <t>Magmatic and tectonic patterns over the Northern Victoria Land sector of the Transantarctic Mountains from new aeromagnetic imaging</t>
  </si>
  <si>
    <t>TECTONOPHYSICS</t>
  </si>
  <si>
    <t>General Assembly of the International-Association-of-Geodesy/24th General Assembly of the International-Union-of-Geodesy-and-Geophysics</t>
  </si>
  <si>
    <t>JUL 02-13, 2007</t>
  </si>
  <si>
    <t>Perugia, ITALY</t>
  </si>
  <si>
    <t>Aeromagnetic anomalies; Transantarctic Mountains; Inheritance; Cenozoic magmatism; Strike-slip faulting; Continental rifting; Curie isotherm</t>
  </si>
  <si>
    <t>ANTARCTIC RIFT SYSTEM; ROSS SEA REGION; MARIE-BYRD-LAND; BOWERS TERRANES; FAULT; MODEL; ANOMALIES; CRUSTAL; MANTLE; MARGIN</t>
  </si>
  <si>
    <t>New aeromagnetic data image the extent and spatial distribution of Cenozoic magmatism and older basement features over the Admiralty Block of the Transantarctic Mountains. Digital enhancement techniques image magmatic and tectonic features spanning in age front the Cambrian to the Neogene. Magnetic lineaments trace major fault zones, including NNW to NNE trending transtensional fault systems that appear to control the emplacement of Neogene age McMurdo volcanics. These faults represent splays front a major NW-SE oriented Cenozoic strike-slip fault belt, which reactivated the inherited early Paleozoic structural architecture. NE-SW oriented magnetic lineaments are also typical of the Admiralty Block and reflect post-Miocene age extensional faults. To re-investigate controversial relationships between strike-slip faulting, rifting, and Cenozoic magmatism, we combined the new aeromagnetic data with previous datasets over the Transantarctic Mountains and Ross Sea Rift. Two key observations can be made from Our aeromagnetic compilation: I) Cenozoic alkaline intrusions along the margin of the Ross Sea Rift lie oblique to the NW-SE strike-slip faults and are not significantly displaced by them; 2) the Southern Cross and the Admiralty Blocks are Much more significantly affected by Cenozoic magmatism compared to the adjacent tectonic blocks, thereby indicating major tectono-magmatic segmentation of the Transantarctic Mountains rift flank. We put forward three alternative tectonic models to explain the puzzling observation that major Cenozoic alkaline intrusions emplaced along the Ross Sea Rift margin show no evidence for major strike-slip displacement. Our first model predicts that the alkaline intrusions were emplaced along left-lateral cross-faults, which accommodated distributed right-lateral shearing. In contrast, our second model does not require major distributed strike-slip shearing, and relates the emplacement of Cenozoic alkaline intrusions to sea-floor spreading in the Adare Basin, Coupled with intracontinental transfer faulting. The third model is all attempt to reconcile the two opposing hypothesis and relies oil a recent inference, which postulates that opening of the Adare Basin relates to fault splaying front the Balleny strike-slip fault zone. A low seismic velocity anomaly in the upper mantle appears to extend from the Ross Sea Rift Under the Admiralty and Southern Cross Blocks of the Transantarctic Mountains. Lateral flow of [lot upper mantle from the rifted region to the rift flank may explain the observed tectono-magmatic segmentation of the Transantarctic Mountains. We infer that this process caused a regional upwarp of the Curie isotherm under the Admiralty and Southern Cross Blocks of the Transantarctic Mountains, and facilitated extensional faulting, renewed uplift, and volcanism in the Neogene. (C) 2008 Elsevier B.V. All rights reserved.</t>
  </si>
  <si>
    <t>[Ferraccioli, F.] British Antarctic Survey, Cambridge CB3 0ET, England; [Armadillo, E.; Zunino, A.; Bozzo, E.] Univ Genoa, Dipartimento Studio Terr &amp; Sue Risorse, Genoa, Italy; [Rocchi, S.; Armienti, P.] Univ Pisa, Dipartimento Sci Terra, Pisa, Italy</t>
  </si>
  <si>
    <t>UK Research &amp; Innovation (UKRI); Natural Environment Research Council (NERC); NERC British Antarctic Survey; University of Genoa; University of Pisa</t>
  </si>
  <si>
    <t>Ferraccioli, F (corresponding author), British Antarctic Survey, Cambridge CB3 0ET, England.</t>
  </si>
  <si>
    <t>ffe@bas.ac.uk</t>
  </si>
  <si>
    <t>Zunino, Andrea/P-7367-2015; Armadillo, Egidio/AAD-2877-2021; Rocchi, Sergio/A-7752-2018</t>
  </si>
  <si>
    <t>Armadillo, Egidio/0000-0003-0982-6629; Zunino, Andrea/0000-0002-3415-162X; Armienti, Pietro/0000-0002-5929-8222; Ferraccioli, Fausto/0000-0002-9347-4736; Rocchi, Sergio/0000-0001-6868-1939</t>
  </si>
  <si>
    <t>NERC [bas010019] Funding Source: UKRI; Natural Environment Research Council [bas010019] Funding Source: researchfish</t>
  </si>
  <si>
    <t>0040-1951</t>
  </si>
  <si>
    <t>1879-3266</t>
  </si>
  <si>
    <t>Tectonophysics</t>
  </si>
  <si>
    <t>10.1016/j.tecto.2008.11.028</t>
  </si>
  <si>
    <t>530CO</t>
  </si>
  <si>
    <t>WOS:000272566700005</t>
  </si>
  <si>
    <t>Ferraccioli, F; Armadillo, E; Jordan, T; Bozzo, E; Corr, H</t>
  </si>
  <si>
    <t>Ferraccioli, Fausto; Armadillo, Egidio; Jordan, Tom; Bozzo, Emanuele; Corr, Hugh</t>
  </si>
  <si>
    <t>Aeromagnetic exploration over the East Antarctic Ice Sheet: A new view of the Wilkes Subglacial Basin</t>
  </si>
  <si>
    <t>Aeromagnetic anomalies; East Antarctica; Wilkes Subglacial Basin; Backarc basin; Sedimentary basins</t>
  </si>
  <si>
    <t>NORTHERN VICTORIA LAND; TRANSANTARCTIC MOUNTAINS; ROSS SEA; MAGNETIC INTERPRETATION; RIFT SYSTEM; SEDIMENTARY BASINS; ANOMALIES; MARGIN; GONDWANA; GRAVITY</t>
  </si>
  <si>
    <t>The Wilkes Subglacial Basin represents all approximately 1400 kin-long and Lip to 600 kill wide Subglacial depression, buried beneath the over 3 km-thick East Antarctic Ice Sheet. Contrasting models, including rift models and flexural models. have been previously Put forward to explain the tectonic origin of this enigmatic basin, which is located in the largely unexplored hinterland of the Transantarctic Mountains. A major aerogeophysical survey was flown during the 2005-06 austral summer to explore the Wilkes Subglacial Basin. Out, new airborne radar dataset reveals that the Wilkes Subglacial Basin contains several subglacial basins, which are considerably deeper than previously mapped. Major aeromagnetic lineaments are detected from total field, pseudo-gravity, tilt derivative and Euler Deconvolution maps. These aeromagnetic lineaments reveal that the Wilkes Subglacial Basin and its Sub-basins are structurally controlled. Comparison between aeromagnetic signatures over the Wilkes Subglacial Basin region and the Cordillera in North America, suggests that the basin contains a former broad backarc basin and fold-and-thrust belts, forming the transition between a Precambrian craton and the Ross Orogen. The eastern margin of the Wilkes Subglacial Basin is imposed upon the Prince Albert Fault System and the Priestley Fault. These faults May have been reactivated in the Cenozoic, as major strike-slip faults. The western margin of the Wilkes Subglacial Basin is located along the southern extension of the Precambrian-age Mertz Shear Zone and marks the edge of the Terre Adelie Craton. High-frequency aeromagnetic anomalies in the Wilkes Subglacial Basin image large Volumes of Jurassic tholeiites, which were intruded into and extruded over Beacon sediments in a possible rift setting. Depth-estimates of magnetic anomaly Sources and forward modelling indicate that major Cretaceous and Cenozoic rift basins with thick sedimentary infill, comparable to the deep Ross Sea Rift basins, are however unlikely beneath this part of the Wilkes Subglacial Basin. More localised graben-like features, with up to 1.5 km of sedimentary infill are identified in the Central Basins. These grabens may be transtensional features related to regional Cenozoic intraplate strike-slip deformation, which has been extensively mapped over the adjacent Transantarctic Mountains, and/or older Cretaceous grabens. Over 3 kill deep sedimentary basins are also imaged beneath the Western Basins and are inferred to contain older sedimentary infill of Ross-age, based oil recent dating of glacial erratics between Mertz and Ninnis Glacier. (C) 2009 Elsevier B.V. All rights reserved.</t>
  </si>
  <si>
    <t>[Ferraccioli, Fausto; Jordan, Tom; Corr, Hugh] British Antarctic Survey, Cambridge CB3 0ET, England; [Armadillo, Egidio; Bozzo, Emanuele] Univ Genoa, Dipartimento Studio Terr &amp; Sue Risorse, I-16132 Genoa, Italy</t>
  </si>
  <si>
    <t>UK Research &amp; Innovation (UKRI); Natural Environment Research Council (NERC); NERC British Antarctic Survey; University of Genoa</t>
  </si>
  <si>
    <t>Ferraccioli, F (corresponding author), British Antarctic Survey, High Cross,Madingley Rd, Cambridge CB3 0ET, England.</t>
  </si>
  <si>
    <t>Armadillo, Egidio/AAD-2877-2021; Corr, Hugh/C-5398-2011</t>
  </si>
  <si>
    <t>Armadillo, Egidio/0000-0003-0982-6629; Ferraccioli, Fausto/0000-0002-9347-4736; Jordan, Tom/0000-0003-2780-1986</t>
  </si>
  <si>
    <t>10.1016/j.tecto.2009.03.013</t>
  </si>
  <si>
    <t>WOS:000272566700006</t>
  </si>
  <si>
    <t>Sokolov, S; Rintoul, SR</t>
  </si>
  <si>
    <t>Sokolov, Serguei; Rintoul, Stephen R.</t>
  </si>
  <si>
    <t>Circumpolar structure and distribution of the Antarctic Circumpolar Current fronts: 2. Variability and relationship to sea surface height</t>
  </si>
  <si>
    <t>SOUTHERN-OCEAN FRONTS; INTERANNUAL VARIABILITY; INDIAN SECTOR; DRAKE PASSAGE; ANNULAR MODE; POLAR FRONT; TEMPERATURE; CIRCULATION; TRANSPORT; ICE</t>
  </si>
  <si>
    <t>In Part 1 of this study, we showed that the Antarctic Circumpolar Current (ACC) consisted of multiple fronts, each of which was consistently associated with a particular contour of sea surface height (SSH) or approximate streamline. In Part 2 we have used maps of SSH to examine the variability of the ACC fronts between 1992 and 2007. The SSH label associated with each frontal branch is nearly constant around the circumpolar belt. The front labels are also nearly constant in time: the bands of enhanced SSH gradient (i.e., fronts) occur along the same streamlines throughout the 15 year period of observations. Both short-and long-period changes of the SSH frontal labels of the ACC are small. Based on a tight relationship between dynamic height and cumulative baroclinic transport of the ACC, the baroclinic transport variability of the individual branches of the ACC is also expected to be small. The major change in the total ACC baroclinic transport occurs in the Drake Passage. The streamline associated with the northern branch of the SAF (SAF-N) does not pass through Drake Passage and the waters carried by this branch are not observed there. Instead, the transport of the SAF-N turns north in the Pacific to supply the export of water to the Indian Ocean north and south of Australia. Strong eddy activity in the southeast Pacific acts to dissipate the hydrographic signature of the SAF-N there. In the Atlantic, the SAF-N reappears as the same streamline is again associated with enhanced SSH gradients to the east of the Brazil-Malvinas confluence zone. While the large changes in SSH have occurred in the Southern Ocean between 1992 and 2007, there are strong regional differences. Because the ACC fronts are robustly associated with particular SSH contours, the changes in SSH reflect shifts in the position of the ACC fronts. In the circumpolar average, each of the ACC fronts has shifted to the south by about 60 km. The changes in SSH in the Southern Ocean are largely due to changes in ocean circulation, rather than warming and freshening by atmospheric fluxes. Much larger changes in SSH are observed in some locations of the Southern Ocean, particularly where the fronts interact with large-scale topography. The northern branch of the PF (PF-N) near the Kerguelen Plateau is an extreme example, where the PF-N followed a path around the northern end of Kerguelen Plateau between 1992 and 1997, passed through the Fawn Trough after 2003, and oscillated between the two paths between 1997 and 2003.</t>
  </si>
  <si>
    <t>[Sokolov, Serguei; Rintoul, Stephen R.] CSIRO, Hobart, Tas 7001, Australia; [Sokolov, Serguei; Rintoul, Stephen R.] Ctr Australian Weather &amp; Climate Res, Aspendale, Vic, Australia; [Sokolov, Serguei; Rintoul, Stephen R.] Antarctic Climate &amp; Ecosyst Cooperat Res Ctr, Sandy Bay, Tas, Australia; [Sokolov, Serguei; Rintoul, Stephen R.] Wealth Oceans Natl Res Flagship, Hobart, Tas, Australia</t>
  </si>
  <si>
    <t>Commonwealth Scientific &amp; Industrial Research Organisation (CSIRO); Commonwealth Scientific &amp; Industrial Research Organisation (CSIRO); Antarctic Climate &amp; Ecosystems Cooperative Research Centre (ACE CRC); Commonwealth Scientific &amp; Industrial Research Organisation (CSIRO)</t>
  </si>
  <si>
    <t>Sokolov, S (corresponding author), CSIRO, GPO Box 1538, Hobart, Tas 7001, Australia.</t>
  </si>
  <si>
    <t>serguei.sokolov@csiro.au</t>
  </si>
  <si>
    <t>Rintoul, Stephen R/A-1471-2012</t>
  </si>
  <si>
    <t>Rintoul, Stephen R/0000-0002-7055-9876</t>
  </si>
  <si>
    <t>NOV 19</t>
  </si>
  <si>
    <t>C11019</t>
  </si>
  <si>
    <t>10.1029/2008JC005248</t>
  </si>
  <si>
    <t>522LM</t>
  </si>
  <si>
    <t>WOS:000271999300002</t>
  </si>
  <si>
    <t>Circumpolar structure and distribution of the Antarctic Circumpolar Current fronts: 1. Mean circumpolar paths</t>
  </si>
  <si>
    <t>SURFACE TEMPERATURE DATA; LARGE-SCALE CIRCULATION; SOUTHERN-OCEAN FRONTS; WATER MASSES; POLAR FRONT; VARIABILITY; BASIN; 140-DEGREES-E; AUSTRALIA; PATHWAYS</t>
  </si>
  <si>
    <t>High resolution hydrographic sections and maps of the gradient of sea surface height (SSH) reveal that the Antarctic Circumpolar Current (ACC) consists of multiple jets or frontal filaments. Here we use a 15 year time series of SSH observations to determine the circumpolar structure and distribution of the ACC fronts. The jets are consistently aligned with particular streamlines along the entire circumpolar path, confirming and extending the results of an earlier study restricted to the region south of Australia. The intensity of the fronts (as measured by the cross-front gradient of SSH) varies along the fronts and the individual branches merge and diverge, often in response to interactions with bathymetry. Maps of absolute velocity at 1000 m depth derived from Argo trajectories confirm the existence of multiple current cores throughout the Southern Ocean. High resolution hydrographic sections and profiles of temperature and salinity from Argo floats are used to show that the front locations derived from fitting SSH contours to maps of SSH gradient are consistent with locations inferred from the traditional criteria based on water mass properties, suitably modified to account for multiple frontal branches. Three regions are examined in detail: the Crozet Plateau, the Kerguelen Plateau and the Scotia Sea. These examples show how recognition of the multiple jets of the ACC can help resolve discrepancies between previous studies of ACC fronts.</t>
  </si>
  <si>
    <t>C11018</t>
  </si>
  <si>
    <t>10.1029/2008JC005108</t>
  </si>
  <si>
    <t>hybrid, Green Submitted, Green Published</t>
  </si>
  <si>
    <t>WOS:000271999300001</t>
  </si>
  <si>
    <t>Sime, LC; Wolff, EW; Oliver, KIC; Tindall, JC</t>
  </si>
  <si>
    <t>Sime, L. C.; Wolff, E. W.; Oliver, K. I. C.; Tindall, J. C.</t>
  </si>
  <si>
    <t>Evidence for warmer interglacials in East Antarctic ice cores</t>
  </si>
  <si>
    <t>CENTER CLIMATE MODEL; PRECIPITATION; VARIABILITY; IMPACT; OCEAN</t>
  </si>
  <si>
    <t>Stable isotope ratios of oxygen and hydrogen in the Antarctic ice core record have revolutionized our understanding of Pleistocene climate variations and have allowed reconstructions of Antarctic temperature over the past 800,000 years (800 kyr; refs 1, 2). The relationship between the D/H ratio of mean annual precipitation and mean annual surface air temperature is said to be uniform +/- 10% over East Antarctica(3) and constant with time +/- 20% (refs 3-5). In the absence of strong independent temperature proxy evidence allowing us to calibrate individual ice cores, prior general circulation model (GCM) studies have supported the assumption of constant uniform conversion for climates cooler than that of the present day(3,5). Here we analyse the three available 340 kyr East Antarctic ice core records alongside input from GCM modelling. We show that for warmer interglacial periods the relationship between temperature and the isotopic signature varies among ice core sites, and that therefore the conversions must be nonlinear for at least some sites. Model results indicate that the isotopic composition of East Antarctic ice is less sensitive to temperature changes during warmer climates. We conclude that previous temperature estimates from interglacial climates are likely to be too low. The available evidence is consistent with a peak Antarctic interglacial temperature that was at least 6K higher than that of the present day -approximately double the widely quoted 3 +/- 1.5K (refs 5, 6).</t>
  </si>
  <si>
    <t>[Sime, L. C.; Wolff, E. W.] British Antarctic Survey, Cambridge CB3 0ET, England; [Oliver, K. I. C.] Open Univ, Dept Earth &amp; Environm Sci, Milton Keynes MK7 6AA, Bucks, England; [Tindall, J. C.] Univ Bristol, Sch Geog Sci, Bristol BS8 1SS, Avon, England</t>
  </si>
  <si>
    <t>UK Research &amp; Innovation (UKRI); Natural Environment Research Council (NERC); NERC British Antarctic Survey; Open University - UK; University of Bristol</t>
  </si>
  <si>
    <t>Sime, LC (corresponding author), British Antarctic Survey, Cambridge CB3 0ET, England.</t>
  </si>
  <si>
    <t>lsim@bas.ac.uk</t>
  </si>
  <si>
    <t>Wolff, Eric W/D-7925-2014; Sime, Louise/AAX-7730-2021; Sime, Louise/F-8058-2012</t>
  </si>
  <si>
    <t>Wolff, Eric W/0000-0002-5914-8531; Sime, Louise/0000-0002-9093-7926; Sime, Louise/0000-0002-9093-7926</t>
  </si>
  <si>
    <t>NERC [NE/D001803/1, bas0100024] Funding Source: UKRI; Natural Environment Research Council [NE/D001803/1, bas0100024, NER/T/S/2002/00460] Funding Source: researchfish</t>
  </si>
  <si>
    <t>MACMILLAN BUILDING, 4 CRINAN ST, LONDON N1 9XW, ENGLAND</t>
  </si>
  <si>
    <t>U105</t>
  </si>
  <si>
    <t>10.1038/nature08564</t>
  </si>
  <si>
    <t>521DF</t>
  </si>
  <si>
    <t>WOS:000271899300042</t>
  </si>
  <si>
    <t>Uozumi, T; Abe, S; Kitamura, K; Tokunaga, T; Yoshikawa, A; Kawano, H; Marshall, R; Morris, RJ; Shevtsov, BM; Solovyev, SI; McNamara, DJ; Liou, K; Ohtani, S; Itonaga, M; Yumoto, K</t>
  </si>
  <si>
    <t>Uozumi, Teiji; Abe, S.; Kitamura, K.; Tokunaga, T.; Yoshikawa, A.; Kawano, H.; Marshall, R.; Morris, R. J.; Shevtsov, B. M.; Solovyev, S. I.; McNamara, D. J.; Liou, K.; Ohtani, S.; Itonaga, M.; Yumoto, K.</t>
  </si>
  <si>
    <t>Propagation characteristics of Pi 2 pulsations observed at high- and low-latitude MAGDAS/CPMN stations: A statistical study</t>
  </si>
  <si>
    <t>MAGNETIC-FIELD VARIATIONS; SATELLITE-OBSERVATIONS; ALIGNED CURRENTS; OSCILLATIONS; MECHANISMS; REGION; MODEL</t>
  </si>
  <si>
    <t>The objective of this study is to understand better the propagation of Pi 2 waves in the nighttime region. We examined Pi 2 oscillations that showed high correlation between high- and low-latitude Magnetic Data Acquisition System/Circum Pan-Pacific Magnetometer Network stations (correlation coefficient: vertical bar gamma vertical bar &gt;= 0.75). For each horizontal component (H and D) we examined the magnetic local time (MLT) dependence of the delay time of high-latitude Pi 2 oscillations that corresponds to the highest correlation with the low-latitude Pi 2 oscillation. We found the delay time of the high-latitude H showed remarkable MLT dependence, especially in the premidnight sector: we found that in the premidnight sector the high-latitude H oscillation tends to delay from the low-latitude oscillation (&lt;100 s). On the other hand, the delay time of the high-latitude D oscillation was not significant (similar to +/- 10 s) in the entire nighttime sector. We propose a Pi 2 propagation model to explain the observed delay time of high-correlation high-latitude H. The model quantitatively explains the trend of the event distribution. We also examined the spatial distribution of high-correlation Pi 2 events relative to the center of auroral breakups. It was found that the high-correlation Pi 2 events tend to occur away from the center of auroral breakups by more than 1.5 MLT. The present result suggests that the high-correlation H component Pi 2 oscillations at high latitude are a manifestation of forced Alfven waves excited by fast magnetosonic waves.</t>
  </si>
  <si>
    <t>[Uozumi, Teiji; Abe, S.; Yoshikawa, A.; Kawano, H.; Yumoto, K.] Kyushu Univ, Space Environm Res Ctr, Fukuoka 8128581, Japan; [Kitamura, K.] Tokuyama Coll Technol, Dept Mech &amp; Elect Engn, Yamaguchi 7458585, Japan; [Tokunaga, T.; Yoshikawa, A.; Kawano, H.; Yumoto, K.] Kyushu Univ, Dept Earth &amp; Planetary Sci, Fukuoka 8128581, Japan; [Marshall, R.] IPS Radio &amp; Space Serv, Haymarket, NSW 1240, Australia; [Morris, R. J.] Australian Antarctic Div, Dept Environm Water Heritage &amp; Arts, Kingston, Tas 7050, Australia; [Shevtsov, B. M.] Inst Cosmophys Res &amp; Radio Wave Propagat, Paratunka, Russia; [Solovyev, S. I.] Inst Cosmophys Res &amp; Aeron, Yakutsk 677891, Russia; [McNamara, D. J.] Manila Observ, Quezon City 1101, Philippines; [Uozumi, Teiji; Liou, K.; Ohtani, S.] Johns Hopkins Univ, Appl Phys Lab, Laurel, MD 20723 USA; [Itonaga, M.] Yamaguchi Univ, Fac Educ, Yamaguchi 753, Japan</t>
  </si>
  <si>
    <t>Kyushu University; Kyushu University; Australian Antarctic Division; Institute of Cosmophysical Research &amp; Radio Wave Propagation FEB RAS; Russian Academy of Sciences; Shafer Institute of Cosmophysical Research &amp; Aeronomy, Siberian Branch of the Russian Academy of Sciences; Johns Hopkins University; Johns Hopkins University Applied Physics Laboratory; Yamaguchi University</t>
  </si>
  <si>
    <t>Uozumi, T (corresponding author), Kyushu Univ, Space Environm Res Ctr, Fukuoka 8128581, Japan.</t>
  </si>
  <si>
    <t>uozumi@serc.kyushu-u.ac.jp</t>
  </si>
  <si>
    <t>Ohtani, Shinichi/E-3914-2016; Tokunaga, Terumasa/AAW-3117-2021; Yoshikawa, Akimasa/A-6142-2012; Itonaga, Masahiro/AAK-6905-2021; Sevcov, Boris/L-8110-2017; Liou, Kan/C-2089-2016</t>
  </si>
  <si>
    <t>Ohtani, Shinichi/0000-0002-9565-6840; Sevcov, Boris/0000-0003-0625-0361; Liou, Kan/0000-0001-5277-7688</t>
  </si>
  <si>
    <t>Japan Society for the Promotion of Science (JSPS) [15253005, 18253005]; SB RAS project [69]; RFBR [09-05-98546]</t>
  </si>
  <si>
    <t>Japan Society for the Promotion of Science (JSPS)(Ministry of Education, Culture, Sports, Science and Technology, Japan (MEXT)Japan Society for the Promotion of Science); SB RAS project; RFBR(Russian Foundation for Basic Research (RFBR))</t>
  </si>
  <si>
    <t>The PI of MAGDAS/CPMN project, K. Yumoto, SERC, Kyushu University, very much appreciates 30 organizations and co-investigators around the world for their ceaseless cooperation and contribution to the MAGDAS/CPMN project. Our sincere thanks go to all the members of the 210 MM Magnetic Observation Group for their ceaseless support and to K. Shiokawa, STEL, Nagoya University, for data archives. Financial support was provided by Japan Society for the Promotion of Science (JSPS) as Grant-in-Aid for Overseas Scientific Survey (15253005 and 18253005) and for publication of scientific research results (188068, 198055, and 208043). Geomagnetic data observed at Guam station were provided by P. Hattori at Guam Observatory of USGS. Part of this work was done while the first author of this paper (T. U.) was a visitor at the Johns Hopkins University Applied Physics Laboratory (JHU/APL), and he thanks staff at JHU/APL for their help and hospitality. Geomagnetic indices: Kp data were provided by theWorld Data Center for Geomagnetism, Kyoto website. The work was partially supported by SB RAS project (69) and by RFBR grant (09-05-98546).</t>
  </si>
  <si>
    <t>NOV 17</t>
  </si>
  <si>
    <t>A11207</t>
  </si>
  <si>
    <t>10.1029/2009JA014163</t>
  </si>
  <si>
    <t>522LY</t>
  </si>
  <si>
    <t>WOS:000272000700001</t>
  </si>
  <si>
    <t>McCracken, KG; Humble, JE; Duldig, ML</t>
  </si>
  <si>
    <t>McCracken, K. G.; Humble, J. E.; Duldig, M. L.</t>
  </si>
  <si>
    <t>Research by the Tasmanian cosmic ray group during the International Geophysical Year</t>
  </si>
  <si>
    <t>ADVANCES IN SPACE RESEARCH</t>
  </si>
  <si>
    <t>Cosmic rays; International geophysical year; Neutron monitor; Meson telescope; Muon telescope; Asymptotic directions</t>
  </si>
  <si>
    <t>VERTICAL CUTOFF RIGIDITIES; GEOMAGNETIC FIELD; MAGNETIC FIELD; INTENSITY; SIDEREAL; RADIATION; FLARE; ANISOTROPIES; MODULATION; SPECTRUM</t>
  </si>
  <si>
    <t>Systematic recording of the cosmic radiation commenced in Hobart in 1946 and at Mawson in Antarctica in 1955, making these two of the longest running cosmic ray observatories in the world. For the IGY, observations were also made at a sub-Antarctic island and near the equator, and an airborne survey of the nucleonic component was made from Geomagnetic Latitude -60 degrees, south of Australia, to Japan and back. At Hobart there were neutron monitors, vertical and inclined muon telescopes, an ionization chamber, and two muon telescopes at similar to 40 in of water equivalent underground. The research based on these and other observations determined the energy dependence of the Forbush and 11-year variations and concentrated, in particular, on understanding the anisotropic nature of galactic cosmic rays up to 150 GeV; the anisotropies in the onset phase of Forbush decreases; and the anisotropies in solar cosmic ray events. All investigation was initiated to calculate the trajectories and cutoff rigidities of cosmic rays in a high order simulation of the geomagnetic field. This was completed in 1959-60. (C) 2009 COSPAR. Published by Elsevier Ltd. All rights reserved.</t>
  </si>
  <si>
    <t>[McCracken, K. G.] Jellore Technol, High Range, NSW 2575, Australia; [Humble, J. E.] Univ Tasmania, Hobart, Tas 7001, Australia; [Humble, J. E.; Duldig, M. L.] Australian Antarctic Div, Kingston, Tas 7050, Australia</t>
  </si>
  <si>
    <t>University of Tasmania; Australian Antarctic Division</t>
  </si>
  <si>
    <t>McCracken, KG (corresponding author), Jellore Technol, Jellore Lane, High Range, NSW 2575, Australia.</t>
  </si>
  <si>
    <t>jellore@hinet.net.au</t>
  </si>
  <si>
    <t>Humble, John/0000-0002-4698-1671; Duldig, Marcus/0000-0001-7463-8267</t>
  </si>
  <si>
    <t>0273-1177</t>
  </si>
  <si>
    <t>1879-1948</t>
  </si>
  <si>
    <t>ADV SPACE RES</t>
  </si>
  <si>
    <t>Adv. Space Res.</t>
  </si>
  <si>
    <t>NOV 16</t>
  </si>
  <si>
    <t>10.1016/j.asr.2009.02.020</t>
  </si>
  <si>
    <t>Engineering, Aerospace; Astronomy &amp; Astrophysics; Geosciences, Multidisciplinary; Meteorology &amp; Atmospheric Sciences</t>
  </si>
  <si>
    <t>Engineering; Astronomy &amp; Astrophysics; Geology; Meteorology &amp; Atmospheric Sciences</t>
  </si>
  <si>
    <t>518FY</t>
  </si>
  <si>
    <t>WOS:000271677300007</t>
  </si>
  <si>
    <t>Storini, M; Signoretti, F</t>
  </si>
  <si>
    <t>Storini, M.; Signoretti, F.</t>
  </si>
  <si>
    <t>SVIRCO contribution to the world-wide network of cosmic ray detectors</t>
  </si>
  <si>
    <t>Rome cosmic-ray detectors; Cosmic-ray surveys; Mini-network of neutron monitors</t>
  </si>
  <si>
    <t>GEOMAGNETIC DISTURBANCES; JULY 1958; COUPLING FUNCTIONS; NEUTRON COMPONENT; ANTARCTICA; INTENSITY; MONITORS; EVENTS</t>
  </si>
  <si>
    <t>Since 1954 a research team (called SVIRCO) has been performing measurements of cosmic rays in Rome at La Sapienza University till 1997 and then at Roma Tre University. The experimental work carried out over more than 50 years is summarized in this paper. It describes: the history of SVIRCO, the evolution from SVIRCO station to SVIRCO observatory, land and sea cosmic-ray surveys and the mini-network of neutron monitors, operating inside the world-wide network of cosmic ray detectors. (C) 2009 COSPAR. Published by Elsevier Ltd. All rights reserved.</t>
  </si>
  <si>
    <t>[Storini, M.; Signoretti, F.] INAF IFSI Roma, I-00133 Rome, Italy</t>
  </si>
  <si>
    <t>Istituto Nazionale Astrofisica (INAF)</t>
  </si>
  <si>
    <t>Signoretti, F (corresponding author), INAF IFSI Roma, Via Fosso Cavaliere 100, I-00133 Rome, Italy.</t>
  </si>
  <si>
    <t>signoretti@fis.uniroma3.it</t>
  </si>
  <si>
    <t>National Antarctic Research program of Italy</t>
  </si>
  <si>
    <t>During more than a half a century of continuous SVIRCO activities, a lot of people (physicists, engineers, technicians, undergraduate and PhD students, national and foreign associated collaborators) have performed experimental and data analysis work. Each of them has played an important role in the teamwork allowing SVIRCO evolution over the years. NIS and FS acknowledge them all. Thanks are also due to the different Institutions supporting SVIRCO activity from its birth to the present time and to the National Antarctic Research program of Italy.</t>
  </si>
  <si>
    <t>10.1016/j.asr.2009.02.019</t>
  </si>
  <si>
    <t>WOS:000271677300018</t>
  </si>
  <si>
    <t>Riva, REM; Gunter, BC; Urban, TJ; Vermeersen, BLA; Lindenbergh, RC; Helsen, MM; Bamber, JL; de Wal, RSWV; van den Broeke, MR; Schutz, BE</t>
  </si>
  <si>
    <t>Riva, Riccardo E. M.; Gunter, Brian C.; Urban, Timothy J.; Vermeersen, Bert L. A.; Lindenbergh, Roderik C.; Helsen, Michiel M.; Bamber, Jonathan L.; de Wal, Roderik S. W. van; van den Broeke, Michiel R.; Schutz, Bob E.</t>
  </si>
  <si>
    <t>Glacial Isostatic Adjustment over Antarctica from combined ICESat and GRACE satellite data</t>
  </si>
  <si>
    <t>EARTH AND PLANETARY SCIENCE LETTERS</t>
  </si>
  <si>
    <t>Antarctica; Glacial Isostatic Adjustment; ICESat; GRACE</t>
  </si>
  <si>
    <t>SURFACE MASS-BALANCE; PREDICTIONS; VISCOSITY; MOTIONS; MAXIMUM; SHEET</t>
  </si>
  <si>
    <t>The glacial history of Antarctica during the most recent Milankovitch cycles is poorly constrained relative to the Northern Hemisphere. As a consequence, the contribution of mass changes in the Antarctic ice sheet to global sea-level change and the prediction of its future evolution remain uncertain. The process of Glacial Isostatic Adjustment (GIA) represents the ongoing response of the solid Earth to the Late-Pleistocene deglaciation and, therefore, provides information about Antarctic glacial history. Moreover, insufficient knowledge of CIA hampers the determination of present-day changes in the Antarctic mass balance through satellite gravity measurements. Previous studies have laid the theoretical foundation for distinguishing between signals of ongoing CIA and contemporary ice mass change through the combination of satellite gravimetry and satellite altimetry. This distinction is made possible by the fact the GIA-induced changes (involving relatively dense rock) will produce a different combination of topography and gravity change than those produced by variations in ice or firn thickness (due to the lower density of these materials): however, no conclusive results have been produced to date. Here we show that, by combining laser altimetry and gravity data from the ICESat and GRACE satellite missions over the period March 2003-March 2008, the CIA contribution can indeed be isolated. The inferred CIA signal over the Antarctic continent. which represents the first result derived from direct observations by satellite techniques, strongly supports Late-Pleistocene ice models derived from glacio-geologic studies. The CIA impact on GRACE-derived estimates of mass balance is found to be 100 +/- 67 Gt/yr. (C) 2009 Elsevier B.V. All rights reserved.</t>
  </si>
  <si>
    <t>[Riva, Riccardo E. M.; Gunter, Brian C.; Vermeersen, Bert L. A.; Lindenbergh, Roderik C.] Delft Univ Technol, Delft Inst Earth Observat &amp; Space Syst, Delft, Netherlands; [Urban, Timothy J.; Schutz, Bob E.] Univ Texas Austin, Ctr Space Res, Austin, TX 78712 USA; [Helsen, Michiel M.; de Wal, Roderik S. W. van; van den Broeke, Michiel R.] Univ Utrecht, Inst Marine &amp; Atmospher Res Utrecht, Utrecht, Netherlands; [Bamber, Jonathan L.] Univ Bristol, Bristol Glaciol Ctr, Sch Geog Sci, Bristol, Avon, England</t>
  </si>
  <si>
    <t>Delft University of Technology; University of Texas System; University of Texas Austin; Utrecht University; University of Bristol</t>
  </si>
  <si>
    <t>Riva, REM (corresponding author), Delft Univ Technol, Delft Inst Earth Observat &amp; Space Syst, Delft, Netherlands.</t>
  </si>
  <si>
    <t>r.e.m.riva@tudelft.nl</t>
  </si>
  <si>
    <t>van de wal, roderik/D-1705-2011; Bamber, Jonathan/C-7608-2011; Van den Broeke, Michiel R./F-7867-2011; Gunter, Brian C/C-7841-2014</t>
  </si>
  <si>
    <t>van de wal, roderik/0000-0003-2543-3892; Bamber, Jonathan/0000-0002-2280-2819; Van den Broeke, Michiel R./0000-0003-4662-7565; Lindenbergh, Roderik/0000-0001-8655-5266; Gunter, Brian/0000-0002-4743-6173; Riva, Riccardo/0000-0002-2042-5669</t>
  </si>
  <si>
    <t>NASA [NNG06GA99G, NNX06AH47G]; UK NERC [NE/E004032/1]; Natural Environment Research Council [NE/E004032/1] Funding Source: researchfish; NERC [NE/E004032/1] Funding Source: UKRI</t>
  </si>
  <si>
    <t>NASA(National Aeronautics &amp; Space Administration (NASA)); UK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</si>
  <si>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Erik Ivins and an anonymous reviewer for their comments. TJU and BES were partially funded by NASA contracts NNG06GA99G and NNX06AH47G. JLB was funded by UK NERC grant NE/E004032/1. This paper is part of a collaborative TUD/IMAU initiative on polar research.</t>
  </si>
  <si>
    <t>0012-821X</t>
  </si>
  <si>
    <t>1385-013X</t>
  </si>
  <si>
    <t>EARTH PLANET SC LETT</t>
  </si>
  <si>
    <t>Earth Planet. Sci. Lett.</t>
  </si>
  <si>
    <t>NOV 15</t>
  </si>
  <si>
    <t>10.1016/j.epsl.2009.10.013</t>
  </si>
  <si>
    <t>537YQ</t>
  </si>
  <si>
    <t>WOS:000273150900017</t>
  </si>
  <si>
    <t>Lee, DC; Halliday, AN; Singletary, SJ; Grove, TL</t>
  </si>
  <si>
    <t>Lee, Der-Chuen; Halliday, Alex N.; Singletary, Steven J.; Grove, Timothy L.</t>
  </si>
  <si>
    <t>182Hf-182W chronometry and early differentiation of the ureilite parent body</t>
  </si>
  <si>
    <t>Hf-W chronometry; short-lived nuclide; ureilite; smelting; metal-silicate differentiation</t>
  </si>
  <si>
    <t>EARLY SOLAR-SYSTEM; EARLY CORE FORMATION; W ISOTOPIC EVIDENCE; TUNGSTEN ISOTOPES; IRON-METEORITES; TERRESTRIAL ACCRETION; MAGMATIC INCLUSIONS; POLYMICT UREILITES; RAPID ACCRETION; EARLY EVOLUTION</t>
  </si>
  <si>
    <t>Eight samples spanning the bulk chemical range of monomict ureilites, have been analyzed for their W isotopic composition and Hf/W in order to elucidate the differentiation history of the ureilite parent body. The ureilites studied here show sub-chondritic Hf and W concentrations and low Hf/W ratio, and all show clear W-182 deficits relative to bulk chondrites. The W isotope data provide evidence that the ureilite parent body differentiated within 1 to 2 million years after the start of the solar system. Such early accretion and differentiation is comparable to the parent bodies of various magmatic iron meteorites, as well as the HED parent body. However, the trace element fractionations and by inference melting processes are very different. An early smelting/partial melting event coupled with metal-silicate segregation, however, can reproduce the observed Hf-W data in ureilites, and is consistent with petrological and other chemical evidence for a missing basaltic component and with primitive oxygen and noble gases compositions. (C) 2009 Elsevier B.V. All rights reserved.</t>
  </si>
  <si>
    <t>[Lee, Der-Chuen] Acad Sinica, Inst Earth Sci, Taipei 11529, Taiwan; [Halliday, Alex N.] Univ Oxford, Dept Earth Sci, Oxford OX1 3PR, England; [Singletary, Steven J.] Fayetteville State Univ, Dept Nat Sci, Fayetteville, NC 28301 USA; [Grove, Timothy L.] MIT, Dept Earth Atmospher &amp; Planetary Sci, Cambridge, MA 02139 USA</t>
  </si>
  <si>
    <t>Academia Sinica - Taiwan; University of Oxford; University of North Carolina; Fayetteville State University; Massachusetts Institute of Technology (MIT)</t>
  </si>
  <si>
    <t>Lee, DC (corresponding author), Acad Sinica, Inst Earth Sci, Taipei 11529, Taiwan.</t>
  </si>
  <si>
    <t>dclee@earth.sinica.edu.tw</t>
  </si>
  <si>
    <t>Grove, Timothy L/M-9638-2013; Lee, Der-Chuen/N-9225-2013</t>
  </si>
  <si>
    <t>Lee, Der-Chuen/0000-0001-8855-9594</t>
  </si>
  <si>
    <t>Academia Sinica of Taiwan, ROC; SNF; NSF; STFC [ST/G00272X/1, ST/F001940/1] Funding Source: UKRI; Science and Technology Facilities Council [ST/F001940/1, ST/G00272X/1] Funding Source: researchfish</t>
  </si>
  <si>
    <t>Academia Sinica of Taiwan, ROC(Academia Sinica - Taiwan); SNF; NSF(National Science Foundation (NSF)); STFC(UK Research &amp; Innovation (UKRI)Science &amp; Technology Facilities Council (STFC)); Science and Technology Facilities Council(UK Research &amp; Innovation (UKRI)Science &amp; Technology Facilities Council (STFC))</t>
  </si>
  <si>
    <t>The authors like to thank K. Righter of NASA for providing the Antarctic meteorites for this study, W-Y. Hsu and G-N. Shih for their assistance in maintaining the Nu Plasma and the clean lab. The manuscript has greatly improved from the comments of C. A. Goodrich, N. Kita, D. W. Mittlefehldt, F. Moynier, M. Touboul, and an anonymous reviewer. This study is supported by the grants of Academia Sinica of Taiwan, ROC to D-C. Lee, SNF to A. N. Halliday, and NSF grants to S. Singletary and T. L. Grove.</t>
  </si>
  <si>
    <t>10.1016/j.epsl.2009.10.025</t>
  </si>
  <si>
    <t>WOS:000273150900027</t>
  </si>
  <si>
    <t>Böning, P; Bard, E</t>
  </si>
  <si>
    <t>Boening, Philipp; Bard, Edouard</t>
  </si>
  <si>
    <t>Millennial/centennial-scale thermocline ventilation changes in the Indian Ocean as reflected by aragonite preservation and geochemical variations in Arabian Sea sediments</t>
  </si>
  <si>
    <t>GEOCHIMICA ET COSMOCHIMICA ACTA</t>
  </si>
  <si>
    <t>INTERMEDIATE WATER CIRCULATION; WESTERN CONTINENTAL-SHELF; CALCIUM-CARBONATE; OXYGEN-MINIMUM; DEEP-SEA; CLIMATE; DISSOLUTION; DENITRIFICATION; HALIMEDA; MONSOON</t>
  </si>
  <si>
    <t>The formation and temporal variability of the oxygen minimum zone (OMZ) of the Arabian Sea is a subject of intense research. We contribute to the discussion by studying modern seawater profiles of the Indian Ocean (salinity, O-2, pH, aragonite saturation, nitrate deficit, nutrients), which show that Subantarctic Mode and Antarctic Intermediate Waters (SAMW-AAIW) have a strong influence on the OMZ characteristics of the Arabian Sea. To obtain a better grasp of the range of possible OMZ variations, we studied a 50-kyr record in the NE Arabian Sea (core MD042876) from a site at 828 m water depth within the thermocline. In this core, aragonite is preserved during North Atlantic Heinrich events (HEs) and Dansgaard-Oeschger (DO) stadials, while it is absent during DO interstadials and most of the Holocene. Considering the excellent correlation between aragonite content and Sr/Ca ratio, as well as the presence of. ne-grained aragonitic needles and the isotopic composition (delta C-13) of carbonates in the. ne fraction, we infer that essentially all aragonite originates as. ne Sr-rich debris from shallow water. A comparison with other records from the NE Arabian Sea (Sr/Ca, delta N-15) indicates that aragonite variability in the cores is rather controlled by OMZ intensity variations as forcing mechanism while changes in aragonite supply seem to play a minor role. The strong correlation of aragonite content with changes in millennial-scale ventilation of the Indian Ocean, as well as a comparison with modern oceanographic conditions, supports the theory that OMZ intensity variations are controlled by changes in the formation of SAMW-AAIW, and are not only due to monsoonal changes. Thus, during HEs and DO stadials, the thermocline Arabian Sea experienced a strengthened influx of O-2-rich SAMW-AAIW. On the other hand, OMZ conditions during DO interstadials and the Holocene seem best explained by analogy with the present-day situation: low supply of O-2 combined with elevated O-2 demand controlled by monsoon-related productivity. (C) 2009 Elsevier Ltd. All rights reserved.</t>
  </si>
  <si>
    <t>[Boening, Philipp; Bard, Edouard] Univ Aix Marseille 3, CNRS, Coll France, UMR6635,CEREGE, F-13545 Aix En Provence 4, France</t>
  </si>
  <si>
    <t>Aix-Marseille Universite; Centre National de la Recherche Scientifique (CNRS); Universite PSL; College de France</t>
  </si>
  <si>
    <t>Böning, P (corresponding author), Carl von Ossietzky Univ Oldenburg, ICBM, POB 2503, D-26111 Oldenburg, Germany.</t>
  </si>
  <si>
    <t>p.boening@icbm.de; bard@cerege.fr</t>
  </si>
  <si>
    <t>Bard, Edouard/G-7717-2014</t>
  </si>
  <si>
    <t>Boning, Philipp/0009-0003-7375-4567</t>
  </si>
  <si>
    <t>CNRS; ANR; Gary Comer Science and Education Foundation; European Community [HPRN-CT-2002-0221]</t>
  </si>
  <si>
    <t>CNRS(Centre National de la Recherche Scientifique (CNRS)); ANR(Agence Nationale de la Recherche (ANR)); Gary Comer Science and Education Foundation; European Community</t>
  </si>
  <si>
    <t>We thank captain and crew of R/V Marion Dufresne during cruise MD143 Chamak as well as L. Pichevin, L. Licari, G. Menot, F. Rostek, D. Borschneck, C. Sonzogni, Y. Gally (CEREGE) for technical assistance, H.-J. Brumsack and B. Schnetger ( University of Oldenburg) for giving access to chemical facilities/ICP-OES and L. Beaufort ( CEREGE) for giving access to the SEM. We also thank A. Luckge (BGR, Hannover) for communicating local river Sr/Ca data. Three anonymous reviewers and the Associate Editor John Crusius are thanked for helpful and constructive criticisms. Paleoclimate work at CEREGE is supported by grants to EB from the CNRS, the ANR, the Gary Comer Science and Education Foundation, and the European Community ( Project STOPFEN, HPRN-CT-2002-0221).</t>
  </si>
  <si>
    <t>0016-7037</t>
  </si>
  <si>
    <t>1872-9533</t>
  </si>
  <si>
    <t>GEOCHIM COSMOCHIM AC</t>
  </si>
  <si>
    <t>Geochim. Cosmochim. Acta</t>
  </si>
  <si>
    <t>10.1016/j.gca.2009.08.028</t>
  </si>
  <si>
    <t>541LH</t>
  </si>
  <si>
    <t>WOS:000273416700007</t>
  </si>
  <si>
    <t>Haigh, JD; Roscoe, HK</t>
  </si>
  <si>
    <t>Haigh, Joanna D.; Roscoe, Howard K.</t>
  </si>
  <si>
    <t>The Final Warming Date of the Antarctic Polar Vortex and Influences on its Interannual Variability</t>
  </si>
  <si>
    <t>SOUTHERN ANNULAR MODE; OZONE DEPLETION; HEMISPHERE; STRATOSPHERE; CIRCULATION; OSCILLATION; TROPOSPHERE; VORTICES; CLIMATE; TRENDS</t>
  </si>
  <si>
    <t>More than 40 years of radiosonde data from two Antarctic stations are examined for changes in the date of the final stratospheric warming that occurs each year as the vortex breaks up in spring/summer. A new measure of this date is derived that does not rely on specification of a threshold, as has been common previously. The date of final warming takes between 10 and 40 days to progress from 30 to 100 hPa and occurs 2030 days later in the 1990s than in the 1960s. Multiple linear regression analyses of these final warming dates, and also of the vertical profile of the southern annular mode (SAM), are presented. Only a weak signal is found for a linear trend, but a significant response is found throughout the atmosphere to ozone mass deficit (OMD), representing stratospheric ozone loss. In the SAM a significant response to the combined influence of solar variability and the quasi-biennial oscillation (QBO) is also found. The seasonal evolution of these signals in the NCEP Reanalysis zonal mean temperatures is examined and their influences on final warming dates is calculated. This confirms that ozone loss is primarily responsible for the delayed warming in the lower stratosphere in recent years, but suggests that the phase of solar activity and the QBO also have an effect. The apparent downward progression of the signal of OMD, and of the combined solar activity and QBO, extends well into the upper troposphere and appears to be caused simply by a delay in the top-down breakup of the vortex.</t>
  </si>
  <si>
    <t>[Haigh, Joanna D.] Univ London Imperial Coll Sci Technol &amp; Med, Blackett Lab, London SW7 2AZ, England; [Roscoe, Howard K.] British Antarctic Survey, Cambridge CB3 0ET, England</t>
  </si>
  <si>
    <t>Imperial College London; UK Research &amp; Innovation (UKRI); Natural Environment Research Council (NERC); NERC British Antarctic Survey</t>
  </si>
  <si>
    <t>Haigh, JD (corresponding author), Univ London Imperial Coll Sci Technol &amp; Med, Blackett Lab, Prince Consort Rd, London SW7 2AZ, England.</t>
  </si>
  <si>
    <t>j.haigh@imperial.ac.uk</t>
  </si>
  <si>
    <t>Haigh, Joanna D/F-6847-2014</t>
  </si>
  <si>
    <t>U.K. Natural Environment Research Council; Natural Environment Research Council [bas010020, NE/D002591/1, NE/D002753/1] Funding Source: researchfish; NERC [NE/D002591/1, NE/D002753/1, bas010020]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</si>
  <si>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</si>
  <si>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grateful to Steve Colwell (British Antarctic Survey) for access to the radiosonde data and to Myles Allen (Oxford University) for providing the regression code. The British Antarctic Survey is funded by the U.K. Natural Environment Research Council.</t>
  </si>
  <si>
    <t>10.1175/2009JCLI2865.1</t>
  </si>
  <si>
    <t>521PM</t>
  </si>
  <si>
    <t>WOS:000271934200002</t>
  </si>
  <si>
    <t>Silvestri, G; Vera, C</t>
  </si>
  <si>
    <t>Silvestri, Gabriel; Vera, Carolina</t>
  </si>
  <si>
    <t>Nonstationary Impacts of the Southern Annular Mode on Southern Hemisphere Climate</t>
  </si>
  <si>
    <t>ANTARCTIC OSCILLATION; SURFACE-TEMPERATURE; DECADAL VARIABILITY; PRINCIPAL MODES; PRECIPITATION; CIRCULATION; REANALYSES; AMERICA; SUMMER; ENSO</t>
  </si>
  <si>
    <t>The temporal stability of the southern annular mode (SAM) impacts on Southern Hemisphere climate during austral spring is analyzed. Results show changes in the typical hemispheric circulation pattern associated with SAM, particularly over South America and Australia, between the 1960s-70s and 1980s-90s. In the first decades, the SAM positive phase is associated with an anomalous anticyclonic circulation developed in the southwestern subtropical Atlantic that enhances moisture advection and promotes precipitation increase over southeastern South America (SESA). On the other hand, during the last decades the anticyclonic anomaly induced by the SAM's positive phase covers most of southern South America and the adjacent Atlantic, producing weakened moisture convergence and decreased precipitation over SESA as well as positive temperature anomaly advection over southern South America. Some stations in the Australia-New Zealand sector and Africa exhibit significant correlations between the SAM and precipitation anomalies in both or one of the subperiods, but they do not characterize a consistent area in which the SAM signal can be certainly determined. Significant changes of SAM influence on temperature anomalies on multidecadal time scales are observed elsewhere. Particularly over the Australia-New Zealand sector, significant positive correlations during the first decades become insignificant or even negative in the later period, whereas changes of opposite sign occur in the Antarctic Peninsula between both subperiods.</t>
  </si>
  <si>
    <t>[Silvestri, Gabriel] Univ Buenos Aires, CIMA CONICET UBA, Buenos Aires, DF, Argentina; Univ Buenos Aires, Fac Ciencias Exactas &amp; Nat, DCAO, Buenos Aires, DF, Argentina</t>
  </si>
  <si>
    <t>Consejo Nacional de Investigaciones Cientificas y Tecnicas (CONICET); University of Buenos Aires; University of Buenos Aires</t>
  </si>
  <si>
    <t>Silvestri, G (corresponding author), Univ Buenos Aires, CIMA CONICET UBA, Intendente Guiraldes 2160,Ciudad Univ,Pabellon 2,, Buenos Aires, DF, Argentina.</t>
  </si>
  <si>
    <t>gabriels@cima.fcen.uba.ar</t>
  </si>
  <si>
    <t>Silvestri, Gabriel/0000-0002-5011-559X; Vera, Carolina/0000-0003-4032-5232</t>
  </si>
  <si>
    <t>European Community Seventh Framework Programme [FP7/2007-2013]; [ANPCyT/PICT04-25269]; [CONICET/PIP-5400]</t>
  </si>
  <si>
    <t>European Community Seventh Framework Programme(European Union (EU)); ;</t>
  </si>
  <si>
    <t>Comments and suggestions provided by two anonymous reviewers were very helpful in improving this paper. This research was supported by ANPCyT/PICT04-25269, CONICET/PIP-5400, and the European Community's Seventh Framework Programme (FP7/2007-2013), under Grant Agreement 212492.</t>
  </si>
  <si>
    <t>10.1175/2009JCLI3036.1</t>
  </si>
  <si>
    <t>WOS:000271934200021</t>
  </si>
  <si>
    <t>Karpechko, AY; Gillett, NP; Marshall, GJ; Screen, JA</t>
  </si>
  <si>
    <t>Karpechko, Alexey Yu.; Gillett, Nathan P.; Marshall, Gareth J.; Screen, James A.</t>
  </si>
  <si>
    <t>Climate impacts of the southern annular mode simulated by the CMIP3 models. (vol 22, pg 3751, 2009)</t>
  </si>
  <si>
    <t>HEMISPHERE; VARIABILITY; ATMOSPHERE; ICE</t>
  </si>
  <si>
    <t>[Karpechko, Alexey Yu.; Gillett, Nathan P.; Screen, James A.] Univ E Anglia, Sch Environm Sci, Climat Res Unit, Norwich NR4 7TJ, Norfolk, England; [Marshall, Gareth J.] British Antarctic Survey, Cambridge CB3 0ET, England</t>
  </si>
  <si>
    <t>University of East Anglia; UK Research &amp; Innovation (UKRI); Natural Environment Research Council (NERC); NERC British Antarctic Survey</t>
  </si>
  <si>
    <t>Karpechko, AY (corresponding author), Univ E Anglia, Sch Environm Sci, Climat Res Unit, Norwich NR4 7TJ, Norfolk, England.</t>
  </si>
  <si>
    <t>a.karpechko@uea.ac.uk</t>
  </si>
  <si>
    <t>Screen, James A/D-7588-2013; Karpechko, Alexey/JVN-9414-2024</t>
  </si>
  <si>
    <t>Karpechko, Alexey/0000-0003-0902-0414</t>
  </si>
  <si>
    <t>10.1175/2009JCLI3400.1</t>
  </si>
  <si>
    <t>Green Submitted, hybrid</t>
  </si>
  <si>
    <t>WOS:000271934200022</t>
  </si>
  <si>
    <t>Vogt, PR; Jung, WY</t>
  </si>
  <si>
    <t>Vogt, P. R.; Jung, W. Y.</t>
  </si>
  <si>
    <t>Treitel Ridge: A unique inside corner hogback on the west flank of extinct Aegir spreading ridge, Norway basin</t>
  </si>
  <si>
    <t>MARINE GEOLOGY</t>
  </si>
  <si>
    <t>Treitel Ridge; Aegir Ridge; Norway Basin; extinct spreading axis; plate boundary reorganization; inside corner high; ultraslow spreading; Iceland hotspot</t>
  </si>
  <si>
    <t>OCEANIC-CRUST; CONTINENTAL-MARGIN; AXIS MIGRATION; ICELAND; NORTH; GREENLAND; SEA; SLOW; EVOLUTION; RIFT</t>
  </si>
  <si>
    <t>Detailed shipborne mapping (sidescan sonar, swath bathymetry, seismic reflection, 3.5 kHz profiling, gravity and magnetics) of the extinct Aegir spreading axis (ca.55-25 Ma) in the Norway Basin revealed a highly unusual (in a MOR setting), narrow, 130 km long, asymmetrical basement hogback (Treitel Ridge; TR) on the southern west flank of the extinct rift, close to its junction with the Iceland-Faeroe aseismic ridge and the putative paleo-Iceland hotspot center. The ridge seems to continue north another 130 km in the form of a wider, more irregular basement rise, for a combined length of ca. 260 km. The southern, narrow part of TR, approximately following or slightly younger than chron 18n (ca. 39 Ma), attains a basement relief of ca. 1000 m in the south, its summit descending gradually (1.7:100) towards the NE. Although an east-flank conjugate appears generally lacking along both northern and southern parts of TR, asymmetry of the southern portion (steeper slope facing towards the extinct rift valley) suggests volcanic formation and axially dipping normal faulting at or near the active plate boundary. The possibility of continental crust extending close to the southern end of TR may also be important, because some of this crust may have been remelted at depth, contributing magma to feed TR eruptions. Southern TR may record a brief(0.1-1 m.y.) inside-corner tectonic event (probably a flexurally compensated normal-faulted offset), in effect a mega-abyssal hili. We suggest TR was probably not an expression of change in Iceland hotspot activity or somehow related to nearby continental crust, but rather represents the volcano-tectonic response of the Aegir accretion axis-at the time it became the eastern edge of the new Jan Mayen micro-plate-to extinction of the Mid-Labrador Sea spreading center. As proposed by Nunns (1983), the annexation of the Greenland plate by the North American plate forced a plate boundary reorganization east of Greenland-with northward propagation of the Mid-Atlantic Ridge rift along the Greenland margin to form the Jan Mayen micro-plate. Simultaneously, two ca. 107 degrees trending transforms developed from the previously 146 degrees trending Faeroes Fracture Zone. Both TR formation and fracture zone trend changes may record Aegir Ridge response to this major plate kinematic reorganization. Because TR was formed during a short interval, spreading along the Mid-Labrador Sea ridge may have ceased abruptly as well. Published by Elsevier B.V.</t>
  </si>
  <si>
    <t>[Vogt, P. R.] Univ Calif Santa Barbara, Inst Marine Sci, Santa Barbara, CA 93106 USA; [Jung, W. Y.] USN, Res Lab, Marine Geosci Div, Washington, DC 20375 USA</t>
  </si>
  <si>
    <t>University of California System; University of California Santa Barbara; United States Department of Defense; United States Navy; Naval Research Laboratory</t>
  </si>
  <si>
    <t>Vogt, PR (corresponding author), 3555 Alder Rd, Port Republic, MD 20676 USA.</t>
  </si>
  <si>
    <t>ptr_vogt@yahoo.com</t>
  </si>
  <si>
    <t>Office of Naval Research [PE 61153N]</t>
  </si>
  <si>
    <t>Office of Naval Research(Office of Naval Research)</t>
  </si>
  <si>
    <t>We thank the officers and crew of R/V Maurice Ewing and the NRL chief scientist (H. Fleming). C. Nishimura, M. Czarnecki, and A.N. Shor also played leading shipboard roles. C. Nishimura produced the SeaMARC II sidescan sonar mosaics. We thank our colleagues at the British Antarctic Survey for permission to publish the inset map in Fig. 1. We are indebted to the late Dr. Leo Treitel, namesake of Treitel Ridge, for making this and other expeditions possible. We thank Garrett Ito, anonymous reviewer, and co-Editor in Chief (David Piper) for their thoughtful reviews. We especially thank Garrett Ito for his careful review, suggestions for manuscript improvement, and new ideas on interpreting our data. This research was supported by the Office of Naval Research, PE #61153N.</t>
  </si>
  <si>
    <t>0025-3227</t>
  </si>
  <si>
    <t>1872-6151</t>
  </si>
  <si>
    <t>MAR GEOL</t>
  </si>
  <si>
    <t>Mar. Geol.</t>
  </si>
  <si>
    <t>10.1016/j.margeo.2009.09.006</t>
  </si>
  <si>
    <t>Geosciences, Multidisciplinary; Oceanography</t>
  </si>
  <si>
    <t>Geology; Oceanography</t>
  </si>
  <si>
    <t>524CO</t>
  </si>
  <si>
    <t>WOS:000272121600007</t>
  </si>
  <si>
    <t>Fu, LL</t>
  </si>
  <si>
    <t>Fu, Lee-Lueng</t>
  </si>
  <si>
    <t>Pattern and velocity of propagation of the global ocean eddy variability</t>
  </si>
  <si>
    <t>SEA-SURFACE HEIGHT; TOPEX/POSEIDON; WIND</t>
  </si>
  <si>
    <t>Satellite altimeter data are used to study the characteristics of the horizontal propagation of eddy variability of the global oceans. Decade-long time series of sea surface height is analyzed for finding the maximum cross correlation with neighboring time series within a window of space and time lags. The space and time lags corresponding to the maximum correlation allow an estimate of the propagation velocity of the eddy variability that dominates the variance of sea surface height anomalies. The method cannot distinguish the various forms of eddy variability: isolated eddies and fronts, the meandering of ocean currents, or planetary waves. However, the results provide, at a given location of the global oceans, a uniquely determined propagation velocity that represents a time-averaged description of the tendency of the movement of the local eddy variability. The propagation velocity is highly inhomogeneous in space. Outside the equatorial zone, the zonal propagation is intrinsically westward, modified by ocean currents, which could reverse the zonal propagation to eastward in regions like the Gulf Stream and the Antarctic Circumpolar Current. At midlatitudes and high latitudes, the propagation pattern is highly affected by the path of ocean currents and the shape of bottom topography. At tropical latitudes, the meridional propagation is convergent toward the equator in the western basins and divergent away from the equator in the eastern basins. Comparison with the simulations of an eddy-permitting ocean general circulation model shows overall agreement, especially in the latitudinal variation of the zonal propagation velocity. The result suggests that the model has captured the essence of the dynamics governing the propagation of ocean eddy variability.</t>
  </si>
  <si>
    <t>CALTECH, Jet Prop Lab, Pasadena, CA 91109 USA</t>
  </si>
  <si>
    <t>National Aeronautics &amp; Space Administration (NASA); NASA Jet Propulsion Laboratory (JPL); California Institute of Technology</t>
  </si>
  <si>
    <t>Fu, LL (corresponding author), CALTECH, Jet Prop Lab, 4800 Oak Grove Dr, Pasadena, CA 91109 USA.</t>
  </si>
  <si>
    <t>llf@jpl.nasa.gov</t>
  </si>
  <si>
    <t>National Aeronautic and Space Administration; Jason-1 and OSTM/Jason-2</t>
  </si>
  <si>
    <t>National Aeronautic and Space Administration(National Aeronautics &amp; Space Administration (NASA)); Jason-1 and OSTM/Jason-2</t>
  </si>
  <si>
    <t>I would like to thank Dimitris Menemenlis for making the ECCO-2 products available and Akiko Hayashi for programming support. Nikolai Maximenko of the University of Hawaii and Dudley Chelton of Oregon State University provided valuable comments that had greatly improved the paper. The research presented in the paper was carried out at the Jet Propulsion Laboratory, California Institute of Technology, under contract with the National Aeronautic and Space Administration. Support from the Jason-1 and OSTM/Jason-2 Projects is acknowledged.</t>
  </si>
  <si>
    <t>NOV 14</t>
  </si>
  <si>
    <t>C11017</t>
  </si>
  <si>
    <t>10.1029/2009JC005349</t>
  </si>
  <si>
    <t>520QU</t>
  </si>
  <si>
    <t>WOS:000271862100002</t>
  </si>
  <si>
    <t>Eagles, G; Larter, RD; Gohl, K; Vaughan, APM</t>
  </si>
  <si>
    <t>Eagles, Graeme; Larter, Robert D.; Gohl, Karsten; Vaughan, Alan P. M.</t>
  </si>
  <si>
    <t>West Antarctic Rift System in the Antarctic Peninsula</t>
  </si>
  <si>
    <t>GEORGE-VI SOUND; TECTONIC EVOLUTION; BELLINGSHAUSEN SEA; MOTION; MODEL; EOCENE; SOUTH; RISE</t>
  </si>
  <si>
    <t>Decades after the recognition of the West Antarctic Rift System, and in spite of its global importance, the location and nature of the plate boundary it formed at are unknown east of the Byrd Subglacial Basin. Alternative constructions of the circuit of South Pacific plate boundaries suggest the presence of either a transcurrent plate boundary or a continuation of the extensional rift system. We identify George VI Sound, a curved depression separating Alexander Island from Palmer Land, as the easternmost basin of a rift system that terminated at a triple junction with the Antarctic Peninsula subduction zone. The history of the triple junction's third, transform, arm suggests extension started around 33.5-30 Ma. A more speculatively identified basin further west may have formed earlier during the same episode of rifting, starting around 43 Ma. Proposals of earlier Cenozoic relative motion between East and West Antarctica cannot be verified from this region. Citation: Eagles, G., R. D. Larter, K. Gohl, and A. P. M. Vaughan (2009), West Antarctic Rift System in the Antarctic Peninsula, Geophys. Res. Lett., 36, L21305, doi: 10.1029/2009GL040721.</t>
  </si>
  <si>
    <t>[Eagles, Graeme] Royal Holloway Univ London, Dept Earth Sci, Egham TW20 0EX, Surrey, England; [Gohl, Karsten] Alfred Wegener Inst Polar &amp; Marine Res, D-27620 Bremerhaven, Germany; [Larter, Robert D.; Vaughan, Alan P. M.] British Antarctic Survey, Cambridge CB3 0ET, England</t>
  </si>
  <si>
    <t>University of London; Royal Holloway University London; Helmholtz Association; Alfred Wegener Institute, Helmholtz Centre for Polar &amp; Marine Research; UK Research &amp; Innovation (UKRI); Natural Environment Research Council (NERC); NERC British Antarctic Survey</t>
  </si>
  <si>
    <t>Eagles, G (corresponding author), Royal Holloway Univ London, Dept Earth Sci, Egham TW20 0EX, Surrey, England.</t>
  </si>
  <si>
    <t>g.eagles@es.rhul.ac.uk</t>
  </si>
  <si>
    <t>Vaughan, Alan PM/B-7829-2010</t>
  </si>
  <si>
    <t>Larter, Robert/0000-0002-8414-7389; Gohl, Karsten/0000-0002-9558-2116; Eagles, Graeme/0000-0001-5325-0810</t>
  </si>
  <si>
    <t>Royal Holloway University of London; Natural Environment Research Council; Alfred Wegener Institute for Polar and Marine Research; NERC [bas0100026] Funding Source: UKRI; Natural Environment Research Council [bas0100026] Funding Source: researchfish</t>
  </si>
  <si>
    <t>Royal Holloway University of London; Natural Environment Research Council(UK Research &amp; Innovation (UKRI)Natural Environment Research Council (NERC)); Alfred Wegener Institute for Polar and Marine Research; NERC(UK Research &amp; Innovation (UKRI)Natural Environment Research Council (NERC)); Natural Environment Research Council(UK Research &amp; Innovation (UKRI)Natural Environment Research Council (NERC))</t>
  </si>
  <si>
    <t>This study is a contribution to the British Antarctic Survey Polar Science for Planet Earth Programme. It was funded by Royal Holloway University of London, the Natural Environment Research Council, and the Alfred Wegener Institute for Polar and Marine Research. Figures were created with the Generic Mapping Tools. We thank the organisers of the ANTscape workshop at the University of Leeds in 2009, where we first started together generating the ideas expressed here.</t>
  </si>
  <si>
    <t>NOV 7</t>
  </si>
  <si>
    <t>L21305</t>
  </si>
  <si>
    <t>10.1029/2009GL040721</t>
  </si>
  <si>
    <t>516YN</t>
  </si>
  <si>
    <t>Green Accepted, Green Published, Bronze</t>
  </si>
  <si>
    <t>WOS:000271579600009</t>
  </si>
  <si>
    <t>Johnson, GC; Kearney, KA</t>
  </si>
  <si>
    <t>Johnson, Gregory C.; Kearney, Kelly A.</t>
  </si>
  <si>
    <t>Ocean climate change fingerprints attenuated by salt fingering?</t>
  </si>
  <si>
    <t>INDIAN-OCEAN; INTERMEDIATE WATER; DECADAL CHANGES; MODE WATER; SECTION</t>
  </si>
  <si>
    <t>Intensified double diffusive mixing may attenuate changes in ocean temperature and salinity patterns from global-warming induced increases in the Earth's hydrological cycle. Increasingly fresher Antarctic Intermediate Water and saltier subtropical waters would tend to increase destabilizing vertical salinity stratification compared to the stabilizing temperature stratification. Destabilization would increase salinity (and temperature) fluxes through double-diffusive salt fingering. These fluxes could in turn act to reduce widely recognized climate change fingerprints, potentially leading to underestimates of ocean changes in climate studies that do not account for double-diffusive mixing. Data from a subtropical trans-Indian Ocean survey occupied in 1987, 1995, 2002, and 2009 are used to investigate temperature-salinity changes and to estimate the variations of double diffusive mixing driven by these changes. Citation: Johnson, G. C., and K. A. Kearney (2009), Ocean climate change fingerprints attenuated by salt fingering?, Geophys. Res. Lett., 36, L21603, doi: 10.1029/2009GL040697.</t>
  </si>
  <si>
    <t>[Johnson, Gregory C.] NOAA, Pacific Marine Environm Lab, Seattle, WA 98115 USA; [Kearney, Kelly A.] Princeton Univ, Dept Geosci, Princeton, NJ 08544 USA</t>
  </si>
  <si>
    <t>National Oceanic Atmospheric Admin (NOAA) - USA; Princeton University</t>
  </si>
  <si>
    <t>Johnson, GC (corresponding author), NOAA, Pacific Marine Environm Lab, 7600 Sand Point Way NE,Bldg 3, Seattle, WA 98115 USA.</t>
  </si>
  <si>
    <t>gregory.c.johnson@noaa.gov</t>
  </si>
  <si>
    <t>Johnson, Gregory C/I-6559-2012; Kearney, Kelly/A-8673-2014</t>
  </si>
  <si>
    <t>Johnson, Gregory C/0000-0002-8023-4020; Kearney, Kelly/0000-0002-6152-5236</t>
  </si>
  <si>
    <t>GCJ; KAK [OCE-0223869]</t>
  </si>
  <si>
    <t>GCJ; KAK</t>
  </si>
  <si>
    <t>GCJ and KAK started this analysis during the U.S. CO2/Repeat Hydrography Program 2009 occupation of the 32 degrees S trans-Indian Ocean section. The NOAA Office of Oceanic and Atmospheric Research and the NOAA Climate Program Office funded GCJ. The National Science Foundation Division of Ocean Sciences funded KAK under Grant NSF OCE-0223869. Float data used here were collected and made freely available by Argo and contributing national programs (http://www.argo.net/). We thank all those who helped to collect data from Argo and each 32 degrees S trans-Indian Ocean section, as well as the anonymous reviewers. PMEL contribution 3333.</t>
  </si>
  <si>
    <t>L21603</t>
  </si>
  <si>
    <t>10.1029/2009GL040697</t>
  </si>
  <si>
    <t>WOS:000271579600008</t>
  </si>
  <si>
    <t>Levy, JS; Head, JW; Marchant, DR</t>
  </si>
  <si>
    <t>Levy, Joseph S.; Head, James W.; Marchant, David R.</t>
  </si>
  <si>
    <t>Cold and dry processes in the Martian Arctic: Geomorphic observations at the Phoenix landing site and comparisons with terrestrial cold desert landforms</t>
  </si>
  <si>
    <t>SOUTHERN VICTORIA LAND; MIOCENE GLACIER ICE; MARS; ANTARCTICA; VALLEYS; HISTORY; CLIMATE; REGION; SAND</t>
  </si>
  <si>
    <t>We analyze Surface Stereo Imager observations of rocks, sediments, and permafrost-related landforms in the vicinity of the Phoenix lander, comparing the imaged features to analogous examples of physical weathering and periglacial processes observed in the Antarctic Dry Valleys. Observations at the Phoenix landing site of pitted rocks, puzzle rocks'' undergoing in-situ breakdown, perched clasts, and thermal contraction crack polygon morphologies strikingly similar to terrestrial sublimation polygons, all strongly suggest that stable (non-churning) permafrost processes dominate the Phoenix landing site. Morphological evidence suggests that cold-desert processes, in the absence of wet active-layer cryoturbation, and largely driven by sublimation of buried ice (either pore ice, excess ice, or both) are shaping the landscape. Citation: Levy, J. S., J. W. Head, and D. R. Marchant (2009), Cold and dry processes in the Martian Arctic: Geomorphic observations at the Phoenix landing site and comparisons with terrestrial cold desert landforms, Geophys. Res. Lett., 36, L21203, doi: 10.1029/2009GL040634.</t>
  </si>
  <si>
    <t>[Levy, Joseph S.; Head, James W.] Brown Univ, Dept Geol Sci, Providence, RI 02912 USA; [Levy, Joseph S.] Portland State Univ, Dept Geol, Portland, OR 97207 USA; [Marchant, David R.] Boston Univ, Dept Earth Sci, Boston, MA 02215 USA</t>
  </si>
  <si>
    <t>Brown University; Portland State University; Boston University</t>
  </si>
  <si>
    <t>Levy, JS (corresponding author), Brown Univ, Dept Geol Sci, Box 1846,324 Brook St, Providence, RI 02912 USA.</t>
  </si>
  <si>
    <t>jlevy@pdx.edu</t>
  </si>
  <si>
    <t>Levy, Joseph/0000-0002-6222-139X</t>
  </si>
  <si>
    <t>Mars Data Analysis Program [NNG05GQ46G, NNX07AN95G]; Mars Fundamental Research Program [NNX06AE32G]</t>
  </si>
  <si>
    <t>Mars Data Analysis Program; Mars Fundamental Research Program</t>
  </si>
  <si>
    <t>We gratefully acknowledge Peter Smith and the Phoenix mission team for all their efforts in collecting, processing, and distributing the valuable lander datasets. This manuscript has greatly benefited from discussion of the landing site with Phoenix team members at the Brown-Phoenix-International Polar Year-ADV-Mars Workshop November 19-20, 2007. This work was supported by the Mars Data Analysis Program grants NNG05GQ46G and NNX07AN95G to JWH and the Mars Fundamental Research Program grant NNX06AE32G to DRM.</t>
  </si>
  <si>
    <t>NOV 6</t>
  </si>
  <si>
    <t>L21203</t>
  </si>
  <si>
    <t>10.1029/2009GL040634</t>
  </si>
  <si>
    <t>516YM</t>
  </si>
  <si>
    <t>WOS:000271579500008</t>
  </si>
  <si>
    <t>Udagawa, Y; Tachibana, Y; Yamazaki, K</t>
  </si>
  <si>
    <t>Udagawa, Yusuke; Tachibana, Yoshihiro; Yamazaki, Koji</t>
  </si>
  <si>
    <t>Modulation in interannual sea ice patterns in the Southern Ocean in association with large-scale atmospheric mode shift</t>
  </si>
  <si>
    <t>ANTARCTIC CIRCUMPOLAR WAVE; HEMISPHERE CIRCULATION; VARIABILITY; ENSO; TEMPERATURE; CLIMATE; DIPOLE</t>
  </si>
  <si>
    <t>We verified that the synchronous propagations of the spatial patterns of sea ice concentration (SIC) of wave number 2 around the Antarctic occurred only for the period 1984 to 1994. An empirical orthogonal function (EOF) analysis of satellite data for 1979-2003 objectively demonstrates that the spatial pattern of SIC propagated eastward only in 1984-1994; in other years, it did not. Our results show that interannual variations in SIC patterns are associated with differences in the dominant large-scale atmospheric patterns. In nonpropagating years, variance of the tropospheric Antarctic oscillation (AAO) predominated. However, in propagating years, the AAO variance was subdominant to that of the Pacific South American (PSA) teleconnection pattern having a 4 year period. Such periodic PSA enables the SIC anomalies to propagate eastward with a periodically reinforced dipole pattern. The shift of large-scale atmospheric variability is one possible cause of the modulation in the SIC pattern. The switch of the atmospheric EOF leading mode from the PSA pattern to the AAO in the mid-1990s corresponded to the modulation in the SIC pattern and supports the presence of the atmospheric climate shifts.</t>
  </si>
  <si>
    <t>[Udagawa, Yusuke] Hokkaido Univ, Grad Sch Environm Sci, Kita Ku, Sapporo, Hokkaido 0600810, Japan; [Tachibana, Yoshihiro] Mie Univ, Fac Bioresources, Climate &amp; Ecosyst Dynam Div, Tsu, Mie 5148507, Japan; [Yamazaki, Koji] Hokkaido Univ, Fac Environm Earth Sci, Kita Ku, Sapporo, Hokkaido 0600810, Japan; [Tachibana, Yoshihiro] JAMSTEC, Res Inst Global Change, Yokosuka, Kanagawa, Japan</t>
  </si>
  <si>
    <t>Hokkaido University; Mie University; Hokkaido University; Japan Agency for Marine-Earth Science &amp; Technology (JAMSTEC)</t>
  </si>
  <si>
    <t>Udagawa, Y (corresponding author), Hokkaido Univ, Grad Sch Environm Sci, Kita Ku, North 10 West 5, Sapporo, Hokkaido 0600810, Japan.</t>
  </si>
  <si>
    <t>udagawa@ees.hokudai.ac.jp; tachi@bio.mie-u.ac.jp; yamazaki@ees.hokudai.ac.jp</t>
  </si>
  <si>
    <t>Yamazaki, Koji/H-2090-2011</t>
  </si>
  <si>
    <t>D21103</t>
  </si>
  <si>
    <t>10.1029/2009JD011807</t>
  </si>
  <si>
    <t>516YV</t>
  </si>
  <si>
    <t>WOS:000271580400002</t>
  </si>
  <si>
    <t>López-Bueno, A; Tamames, J; Velázquez, D; Moya, A; Quesada, A; Alcamí, A</t>
  </si>
  <si>
    <t>Lopez-Bueno, Alberto; Tamames, Javier; Velazquez, David; Moya, Andres; Quesada, Antonio; Alcami, Antonio</t>
  </si>
  <si>
    <t>High Diversity of the Viral Community from an Antarctic Lake</t>
  </si>
  <si>
    <t>SCIENCE</t>
  </si>
  <si>
    <t>FRESH-WATER; MARINE VIRUSES; ECOSYSTEMS; BIODIVERSITY; ISLAND; LIFE</t>
  </si>
  <si>
    <t>Viruses are the most abundant biological entities and can control microbial communities, but their identity in terrestrial and freshwater Antarctic ecosystems is unknown. The genetic structure of an Antarctic lake viral community revealed unexpected genetic richness distributed across the highest number of viral families that have been found to date in aquatic viral metagenomes. In contrast to other known aquatic viromes, which are dominated by bacteriophage sequences, this Antarctic virus assemblage had a large proportion of sequences related to eukaryotic viruses, including phycodnaviruses and single-stranded DNA (ssDNA) viruses not previously identified in aquatic environments. We also observed that the transition from an ice-covered lake in spring to an open-water lake in summer led to a change from a ssDNA- to a double-stranded DNA-virus-dominated assemblage, possibly reflecting a seasonal shift in host organisms.</t>
  </si>
  <si>
    <t>[Lopez-Bueno, Alberto; Alcami, Antonio] Univ Autonoma Madrid, Ctr Biol Mol Severo Ochoa, CSIC, Madrid, Spain; [Tamames, Javier; Moya, Andres] Univ Valencia, Inst Cavanilles Biodiversidad &amp; Biol Evolut, Valencia, Spain; [Tamames, Javier; Moya, Andres] Generalitat Valenciana, Conselleria Sanidad, Ctr Super Invest Salud Publ, Valencia, Spain; [Tamames, Javier; Moya, Andres] Ctr Invest Biomed Red Epidemiol &amp; Salud Publ, Barcelona, Spain; [Velazquez, David] Univ Autonoma Madrid, Dept Biol, Madrid, Spain; [Alcami, Antonio] Univ Cambridge, Dept Med, Cambridge CB2 2QQ, England</t>
  </si>
  <si>
    <t>Autonomous University of Madrid; Consejo Superior de Investigaciones Cientificas (CSIC); CSIC - Centro de Biologia Molecular Severo Ochoa (CBM); University of Valencia; CIBER - Centro de Investigacion Biomedica en Red; CIBERESP; Autonomous University of Madrid; University of Cambridge</t>
  </si>
  <si>
    <t>Alcamí, A (corresponding author), Univ Autonoma Madrid, Ctr Biol Mol Severo Ochoa, CSIC, Madrid, Spain.</t>
  </si>
  <si>
    <t>aalcami@cbm.uam.es</t>
  </si>
  <si>
    <t>Alcami, Antonio/F-8512-2015; Moya, Andres/A-8190-2008; Quesada, Antonio/L-2430-2013; Velazquez, David/M-2309-2017</t>
  </si>
  <si>
    <t>Alcami, Antonio/0000-0002-3333-6016; Tamames, Javier/0000-0003-4547-8932; Lopez Bueno, Alberto/0000-0003-2449-4562; Moya, Andres/0000-0002-2867-1119; Quesada, Antonio/0000-0002-8913-5993; Lopez-Bueno, Alberto/0000-0002-6324-8623; Velazquez, David/0000-0002-4127-8370</t>
  </si>
  <si>
    <t>Spanish Ministry of Science and Innovation [CGL2005-06549-C02-01/ANT, CGL200729843-E/ANT, CTM2008-05134-E/ANT, BFU200804501-E]; [FJ791185-247]; [FJ791175-84]</t>
  </si>
  <si>
    <t>Spanish Ministry of Science and Innovation(Spanish Government); ;</t>
  </si>
  <si>
    <t>We thank the Maritime Technology Unit (CSIC) and Las Palmas crew (Spanish Navy) for the logistic help and support that made this expedition possible. We also thank M. Toro, A. Camacho, and other members of the Limnopolar Project for help and discussions; A. Alejo for helpful comments and reviewing the manuscript; and M. Pignatelli for technical support. This work was funded by grants from the Spanish Ministry of Science and Innovation (CGL2005-06549-C02-01/ANT, CGL200729843-E/ANT, CTM2008-05134-E/ANT, and BFU200804501-E). Spring and summer viral metagenomes from the Antarctic Lake Limnopolar have been submitted to GenBank and assigned the genome project accession number 34669. The metagenomes are also publicly accessible from the ftp server of the SEED public database (ftp://ftp.theseed.org/metagenomes) under the project accession numbers 4441778.3 and 4441558.3 for the spring and summer viromes, respectively. PCR-obtained sequences encoding the gp23 protein of Antarctic T4-phages and the MCP protein of Antarctic phycodnavirus have been also deposited at GenBank as environmental sequences and are listed under accession numbers FJ791185-247 and FJ791175-84, respectively.</t>
  </si>
  <si>
    <t>AMER ASSOC ADVANCEMENT SCIENCE</t>
  </si>
  <si>
    <t>1200 NEW YORK AVE, NW, WASHINGTON, DC 20005 USA</t>
  </si>
  <si>
    <t>0036-8075</t>
  </si>
  <si>
    <t>Science</t>
  </si>
  <si>
    <t>10.1126/science.1179287</t>
  </si>
  <si>
    <t>515KG</t>
  </si>
  <si>
    <t>WOS:000271468000045</t>
  </si>
  <si>
    <t>Park, HJ; Kim, D; Kim, IH; Lee, CE; Kim, IC; Kim, JY; Kim, SJ; Lee, HK; Yim, JH</t>
  </si>
  <si>
    <t>Park, Ha Ju; Kim, Dockyu; Kim, In Hee; Lee, Chang-Eun; Kim, Il-Chan; Kim, Ju Young; Kim, Sung Jin; Lee, Hong Kum; Yim, Joung Han</t>
  </si>
  <si>
    <t>Characteristics of cold-adaptive endochitinase from Antarctic bacterium Sanguibacter antarcticus KOPRI 21702</t>
  </si>
  <si>
    <t>Antarctic; Psychrotroph; Cold-active; Chitinolytic; Endochitinase</t>
  </si>
  <si>
    <t>CHITINOLYTIC ACTIVITY; MOLECULAR ANALYSIS; MARINE BACTERIUM; LOW-TEMPERATURE; CHITINASE; STRAIN; CLONING; PURIFICATION; EXPRESSION; ENZYMES</t>
  </si>
  <si>
    <t>The psychrotrophic Sanguibacter antarcticus KOPRI 21702(T), isolated from Antarctic seawater, produced a cold-adapted chitinolytic enzyme that is a new 55 kDa family 18 chitinase (Chi21702). Chi21702 exhibited high activities toward pNP-(GlcNAc)(2) and pNP-(GlcNAc)(3) with no activity for pNP-GlcNAc, indicating that it prefers chitin chains longer than dimers, just as endochitinases do. A mixture of GlcNAc and GlcNAc(2) Was produced as a main product by Chi21702 activity from chitin oligosaccharides and swollen chitin, while less GlcNAc(3) was produced. These results show that Chi21702 has an endochitinase activity, randomly hydrolyzing chitin at internal sites. Chi21702 displayed chitinase activity at 0-40 degrees C (optimal temperature of 37 degrees C), maintained its activity at pH 4-11 (optimal pH of 7.6). Interestingly, Chi21702 exhibited relative activities of 40% and 60% at 0 and 10 degrees C, respectively, in comparison to 100% at 37 degrees C, which is higher than those of the previously characterized, cold-adapted, chitinases from bacterial strains. (c) 2009 Elsevier Inc. All rights reserved.</t>
  </si>
  <si>
    <t>[Park, Ha Ju; Kim, Dockyu; Kim, In Hee; Lee, Chang-Eun; Kim, Il-Chan; Kim, Ju Young; Kim, Sung Jin; Lee, Hong Kum; Yim, Joung Han] KORDI, Korea Polar Res Inst, Polar BioCtr, Inchon 406840, South Korea</t>
  </si>
  <si>
    <t>Yim, JH (corresponding author), KORDI, Korea Polar Res Inst, Polar BioCtr, Songdo Techno Pk,7-50 Songdo Dong, Inchon 406840, South Korea.</t>
  </si>
  <si>
    <t>This work was financially supported by a grant to the Korea Polar Research Institute (KOPRI) under project PE09050.</t>
  </si>
  <si>
    <t>NOV 5</t>
  </si>
  <si>
    <t>10.1016/j.enzmictec.2009.07.002</t>
  </si>
  <si>
    <t>502XH</t>
  </si>
  <si>
    <t>WOS:000270493200009</t>
  </si>
  <si>
    <t>Freeman, MP; Morley, SK</t>
  </si>
  <si>
    <t>Freeman, M. P.; Morley, S. K.</t>
  </si>
  <si>
    <t>No evidence for externally triggered substorms based on superposed epoch analysis of IMF Bz</t>
  </si>
  <si>
    <t>INTERPLANETARY MAGNETIC-FIELD; MAGNETOSPHERIC SUBSTORMS; NORTHWARD TURNINGS; EXPANSION ONSETS; MODEL; ASSOCIATION</t>
  </si>
  <si>
    <t>Superposed epoch analyses have shown that, on average, the interplanetary magnetic field (IMF) turns northward close to substorm onset. This has been commonly accepted as evidence for the substorm onset being triggered by a rapid northward turning of the IMF. Here we show that the tendency arises in any superposed epoch analysis of the IMF in which event onset is biased to occur for southward IMF, irrespective of a coincident rapid northward turning of the IMF. The overall IMF variation found in the largest superposed epoch analysis of this kind is also well reproduced using a Minimal Substorm Model in which substorm onsets are determined without the requirement of a northward IMF turning trigger. We discuss the explanation underlying these results and conclude that there is no conclusive evidence in favour of the hypothesis that substorm onsets are triggered by a rapid northward turning of the IMF. Citation: Freeman, M. P., and S. K. Morley (2009), No evidence for externally triggered substorms based on superposed epoch analysis of IMF B-z, Geophys. Res. Lett., 36, L21101, doi: 10.1029/2009GL040621.</t>
  </si>
  <si>
    <t>[Freeman, M. P.] British Antarctic Survey, NERC, Cambridge CB3 0ET, England; [Morley, S. K.] Univ Newcastle, Ctr Space Phys, Callaghan, NSW 2308, Australia</t>
  </si>
  <si>
    <t>UK Research &amp; Innovation (UKRI); Natural Environment Research Council (NERC); NERC British Antarctic Survey; University of Newcastle</t>
  </si>
  <si>
    <t>Freeman, MP (corresponding author), British Antarctic Survey, NERC, High Cross,Madingley Rd, Cambridge CB3 0ET, England.</t>
  </si>
  <si>
    <t>mpf@bas.ac.uk</t>
  </si>
  <si>
    <t>Morley, Steven K/A-8321-2008; Morley, Steven/AAP-5637-2021; Morley, Steven K/GVS-9398-2022; Freeman, Mervyn/E-5687-2019</t>
  </si>
  <si>
    <t>Morley, Steven K/0000-0001-8520-0199; Morley, Steven K/0000-0001-8520-0199; Freeman, Mervyn/0000-0002-8653-8279</t>
  </si>
  <si>
    <t>Australian Research Council APD Fellowship; ARC Discovery [DP0663643]; Natural Environment Research Council; Australian Research Council [DP0663643] Funding Source: Australian Research Council; NERC [bas0100026, bas010021] Funding Source: UKRI; Natural Environment Research Council [bas010021, bas0100026] Funding Source: researchfish</t>
  </si>
  <si>
    <t>Australian Research Council APD Fellowship(Australian Research Council); ARC Discovery(Australian Research Council); Natural Environment Research Council(UK Research &amp; Innovation (UKRI)Natural Environment Research Council (NERC)); Australian Research Council(Australian Research Council); NERC(UK Research &amp; Innovation (UKRI)Natural Environment Research Council (NERC)); Natural Environment Research Council(UK Research &amp; Innovation (UKRI)Natural Environment Research Council (NERC))</t>
  </si>
  <si>
    <t>We thank the ACE MAG and SWEPAM instrument teams and the ACE Science Center for providing the ACE data and G. Abel (BAS) for compiling these into a convenient database. SKM was the recipient of an Australian Research Council APD Fellowship and was supported by ARC Discovery DP0663643. MPF is supported by the Natural Environment Research Council through the Complexity work-package of the BAS Environmental Change and Evolution programme.</t>
  </si>
  <si>
    <t>L21101</t>
  </si>
  <si>
    <t>10.1029/2009GL040621</t>
  </si>
  <si>
    <t>516YL</t>
  </si>
  <si>
    <t>WOS:000271579400006</t>
  </si>
  <si>
    <t>Cabrol, NA; Grin, EA; Chong, G; Minkley, E; Hock, AN; Yu, Y; Bebout, L; Fleming, E; Häder, DP; Demergasso, C; Gibson, J; Escudero, L; Dorador, C; Lim, D; Woosley, C; Morris, RL; Tambley, C; Gaete, V; Galvez, ME; Smith, E; Peate, IU; Salazar, C; Dawidowicz, G; Majerowicz, J</t>
  </si>
  <si>
    <t>Cabrol, Nathalie A.; Grin, Edmond A.; Chong, Guillermo; Minkley, Edwin; Hock, Andrew N.; Yu, Youngseob; Bebout, Leslie; Fleming, Erich; Haeder, Donat P.; Demergasso, Cecilia; Gibson, John; Escudero, Lorena; Dorador, Cristina; Lim, Darlene; Woosley, Clayton; Morris, Robert L.; Tambley, Cristian; Gaete, Victor; Galvez, Matthieu E.; Smith, Eric; Peate, Ingrid Ukstins; Salazar, Carlos; Dawidowicz, G.; Majerowicz, J.</t>
  </si>
  <si>
    <t>The High-Lakes Project</t>
  </si>
  <si>
    <t>JOURNAL OF GEOPHYSICAL RESEARCH-BIOGEOSCIENCES</t>
  </si>
  <si>
    <t>ULTRAVIOLET-RADIATION; UV-RADIATION; VERTICAL-DISTRIBUTION; MICROBIAL DIVERSITY; MERIDIANI-PLANUM; ZOOPLANKTON; WATER; MARS; ALTIPLANO; RESPONSES</t>
  </si>
  <si>
    <t>The High Lakes Project is a multidisciplinary astrobiological investigation studying high-altitude lakes between 4200 m and 6000 m elevation in the Central Andes of Bolivia and Chile. Its primary objective is to understand the impact of increased environmental stress on the modification of lake habitability potential during rapid climate change as an analogy to early Mars. Their unique geophysical environment and mostly uncharted ecosystems have added new objectives to the project, including the assessment of the impact of low-ozone/high solar irradiance in nonpolar aquatic environments, the documentation of poorly known ecosystems, and the quantification of the impact of climate change on lake environment and ecosystem. Data from 2003 to 2007 show that UV flux is 165% that of sea level with maximum averaged UVB reaching 4 W/m(2). Short UV wavelengths (260-270 nm) were recorded and peaked at 14.6 mW/m(2). High solar irradiance occurs in an atmosphere permanently depleted in ozone falling below ozone hole definition for 33-36 days and between 30 and 35% depletion the rest of the year. The impact of strong UVB and UV erythemally weighted daily dose on life is compounded by broad daily temperature variations with sudden and sharp fluctuations. Lake habitat chemistry is highly dynamical with notable changes in yearly ion concentrations and pH resulting from low and variable yearly precipitation. The year-round combination of environmental variables define these lakes as end-members. In such an environment, they host ecosystems that include a significant fraction of previously undescribed species of zooplankton, cyanobacterial, and bacterial populations.</t>
  </si>
  <si>
    <t>[Cabrol, Nathalie A.; Grin, Edmond A.; Bebout, Leslie; Fleming, Erich; Lim, Darlene; Woosley, Clayton] NASA, Ames Res Ctr, Space Sci &amp; Astrobiol Div, Moffett Field, CA 94035 USA; [Cabrol, Nathalie A.; Grin, Edmond A.; Lim, Darlene; Woosley, Clayton; Morris, Robert L.] SETI Carl Sagan Ctr, Mountain View, CA 94043 USA; [Chong, Guillermo; Escudero, Lorena] Ctr Invest Cient &amp; Tecnol Mineria, Santiago, Chile; [Minkley, Edwin] Carnegie Mellon Univ, Dept Biol Sci, Pittsburgh, PA 15213 USA; [Hock, Andrew N.] Univ Calif Los Angeles, Dept Earth &amp; Space Sci, Los Angeles, CA 90095 USA; [Yu, Youngseob] Carnegie Mellon Univ, Dept Civil &amp; Environm Engn, Pittsburgh, PA 15213 USA; [Haeder, Donat P.] Univ Erlangen Nurnberg, Dept Bot, D-91058 Erlangen, Germany; [Demergasso, Cecilia; Dorador, Cristina] Univ Catolica Norte, Ctr Biotecnol, Antofagasta, Chile; [Gibson, John] Univ Tasmania, Tasmanian Aquaculture &amp; Fisheries Inst, Marine Res Labs, Hobart, Tas 7001, Australia; [Tambley, Cristian] CHEP, Santiago, Chile; [Gaete, Victor] Univ Catolica Norte, Dept Quim, Antofagasta, Chile; [Galvez, Matthieu E.] Ecole Normale Super, F-75005 Paris, France; [Smith, Eric] Discoverer Ketty Lund Explorat Vessel, Key West, FL 33040 USA; [Peate, Ingrid Ukstins] Univ Iowa, Dept Geosci, Iowa City, IA 52242 USA; [Salazar, Carlos] Clin Mutual Seguridad, Punta Arenas, Chile; [Dawidowicz, G.; Majerowicz, J.] ESRI, F-92190 Meudon, France</t>
  </si>
  <si>
    <t>National Aeronautics &amp; Space Administration (NASA); NASA Ames Research Center; Carnegie Mellon University; University of California System; University of California Los Angeles; Carnegie Mellon University; University of Erlangen Nuremberg; Universidad Catolica del Norte; University of Tasmania; Brambles Limited; Universidad Catolica del Norte; Universite PSL; Ecole Normale Superieure (ENS); University of Iowa</t>
  </si>
  <si>
    <t>Cabrol, NA (corresponding author), NASA, Ames Res Ctr, Space Sci &amp; Astrobiol Div, MS 245-3, Moffett Field, CA 94035 USA.</t>
  </si>
  <si>
    <t>nathalie.a.cabrol@nasa.gov</t>
  </si>
  <si>
    <t>Dorador, Cristina/C-3914-2009; Dorador, Cristina/M-9936-2019; Demergasso, Cecilia/A-7392-2013; smith, Eric/KGL-0324-2024</t>
  </si>
  <si>
    <t>Dorador, Cristina/0000-0002-7641-2154; Demergasso, Cecilia/0000-0003-4563-3066; Cabrol, Nathalie A./0000-0001-7520-4364; Ukstins, Ingrid/0000-0002-2315-9626; Galvez, Matthieu Emmanuel/0000-0001-8242-9190</t>
  </si>
  <si>
    <t>SERNAP; Direction of Park Rangers of the Reserva Eduardo Avaroa in Bolivia; CONAF; Universidad Catolica del Norte in Antofagasta in Chile; NASA Ames Extreme Environment Research Review Board; NASA Astrobiology Institute (NAI)/SETI team [NNA04CC05A]; NASA Ames Directorate Discretionary Funds (DDF); Graduate Student Researchers Program (GSRP); Planetary Biology Program (PBP); Lewis and Clark Foundation; National Geographic Research Grant; Wings WorldQuest; AquaLung; Specialized; Eventscope; ARISE</t>
  </si>
  <si>
    <t>SERNAP; Direction of Park Rangers of the Reserva Eduardo Avaroa in Bolivia; CONAF; Universidad Catolica del Norte in Antofagasta in Chile; NASA Ames Extreme Environment Research Review Board; NASA Astrobiology Institute (NAI)/SETI team; NASA Ames Directorate Discretionary Funds (DDF); Graduate Student Researchers Program (GSRP); Planetary Biology Program (PBP); Lewis and Clark Foundation; National Geographic Research Grant(National Geographic Society); Wings WorldQuest; AquaLung; Specialized; Eventscope; ARISE</t>
  </si>
  <si>
    <t>The authors thank SERNAP and the Direction of Park Rangers of the Reserva Eduardo Avaroa in Bolivia, CONAF and the Universidad Catolica del Norte in Antofagasta in Chile, and NASA Ames Extreme Environment Research Review Board for their support to this project. The High-Lakes Project is funded through the NASA Astrobiology Institute (NAI)/SETI team grant NNA04CC05A. Other financial support to the High Lakes Project has been provided over the years by the NASA Ames Directorate Discretionary Funds (DDF), Graduate Student Researchers Program (GSRP), Planetary Biology Program (PBP), the Lewis and Clark Foundation, the National Geographic Research Grant, Wings WorldQuest, AquaLung, Specialized, Eventscope (Carnegie Mellon University), and ARISE. Some of the data were collected using the GES-DISC Interactive Online Visualization ANd aNalysis Infrastructure (Giovanni) as part of the NASA's Goddard Earth Sciences (GES) Data and Information Services Center (DISC). The High Lakes Project is also particularly grateful to the Biological Sciences Division, British Antarctic Survey, Cambridge (UK) for allowing the use of their UV database for the Rother Research Station, Antarctica. Last but not least, the High Lakes Project team expresses its deepest gratitude to all those who made each of the high-altitude expeditions possible, including our guides, porters, the Laguna Blanca refuge personnel, and the logistical team in San Pedro de Atacama, Chile, and La Paz, Bolivia.</t>
  </si>
  <si>
    <t>2169-8953</t>
  </si>
  <si>
    <t>2169-8961</t>
  </si>
  <si>
    <t>J GEOPHYS RES-BIOGEO</t>
  </si>
  <si>
    <t>J. Geophys. Res.-Biogeosci.</t>
  </si>
  <si>
    <t>G00D06</t>
  </si>
  <si>
    <t>10.1029/2008JG000818</t>
  </si>
  <si>
    <t>Environmental Sciences; Geosciences, Multidisciplinary</t>
  </si>
  <si>
    <t>Environmental Sciences &amp; Ecology; Geology</t>
  </si>
  <si>
    <t>516ZA</t>
  </si>
  <si>
    <t>WOS:000271580900001</t>
  </si>
  <si>
    <t>Tam, RY; Rowley, CN; Petrov, I; Zhang, TY; Afagh, NA; Woo, TK; Ben, RN</t>
  </si>
  <si>
    <t>Tam, Roger Y.; Rowley, Christopher N.; Petrov, Ivan; Zhang, Tianyi; Afagh, Nicholas A.; Woo, Tom K.; Ben, Robert N.</t>
  </si>
  <si>
    <t>Solution Conformation of C-Linked Antifreeze Glycoprotein Analogues and Modulation of Ice Recrystallization</t>
  </si>
  <si>
    <t>JOURNAL OF THE AMERICAN CHEMICAL SOCIETY</t>
  </si>
  <si>
    <t>PROTEIN SECONDARY STRUCTURE; CIRCULAR-DICHROISM SPECTRA; SOLID-PHASE SYNTHESIS; POLAR FISH; TEMPERATURE-DEPENDENCE; MOLECULAR-DYNAMICS; ANTARCTIC FISHES; FREE-ENERGY; FREEZING RESISTANCE; THERMAL HYSTERESIS</t>
  </si>
  <si>
    <t>Antifreeze glycoproteins (AFGPs) are a unique class of proteins that are found in many organisms inhabiting subzero environments and ensure their survival by preventing ice growth in vivo. During the last several years, our laboratory has synthesized functional C-linked AFGP analogues (3 and 5) that possess custom-tailored antifreeze activity suitable for medical, commercial, and industrial applications. These compounds are potent inhibitors of ice recrystallization and do not,exhibit thermal hystersis. The current study explores how changes in the length of the amide-containing side chain between the carbohydrate moiety and the polypeptide backbone in 5 influences ice recrystallization inhibition (IRI) activity. Analogue 5 (n = 3, where n is the number of carbons in the side chain) was a potent inhibitor of ice recrystallization, while 4, 6, and 7 (n = 4, 2, and 1, respectively) exhibited no IRI activity. The solution conformation of the polypeptide backbone in C-linked AFGP analogues 4-7 was examined using circular dichroism (CD) spectroscopy. The results suggested that all of the analogues exhibit a random coil conformation in solution and that the dramatic increase in IRI activity observed with 5 is not due to a change in long-range solution conformation. Variable-temperature H-1 NMR studies on truncated analogues 26-28 failed to elucidate the presence of persistent intramolecular bonds between the amide in the side chain and the peptide backbone. Molecular dynamics simulations performed on these analogues also failed to show persistent intramolecular hydrogen bonds. However, the simulations did indicate that the side chain of IRI-active analogue 26 (n 3) adopts a unique short-range solution conformation in which it is folded back onto the peptide backbone, orienting the more hydrophilic face of the carbohydrate moiety away from the bulk solvent. In contrast, the solution conformation of IRI-inactive analogues 25, 27, and 28 had fully extended side chains, with the carbohydrate moiety being exposed to bulk solvent. These results illustrate how subtle changes in conformation and carbohydrate orientation dramatically influence IRI activity in C-linked AFGP analogues.</t>
  </si>
  <si>
    <t>[Tam, Roger Y.; Rowley, Christopher N.; Petrov, Ivan; Zhang, Tianyi; Afagh, Nicholas A.; Woo, Tom K.; Ben, Robert N.] Univ Ottawa, Dept Chem, Ottawa, ON K1N 6N5, Canada</t>
  </si>
  <si>
    <t>University of Ottawa</t>
  </si>
  <si>
    <t>Ben, RN (corresponding author), Univ Ottawa, Dept Chem, DIorio Hall,10 Marie Curie, Ottawa, ON K1N 6N5, Canada.</t>
  </si>
  <si>
    <t>rben@uottawa.ca</t>
  </si>
  <si>
    <t>Rowley, Christopher/A-1067-2009; Woo, Tom K/D-7701-2011</t>
  </si>
  <si>
    <t>Rowley, Christopher/0000-0002-0205-952X; Ben, Robert/0000-0002-4625-5389; Tam, Roger/0000-0002-8441-6681; Zhang, Tianyi/0000-0003-1201-9748</t>
  </si>
  <si>
    <t>Natural Sciences and Engineering Research Council (NSERC); Canadian Institutes of Health Research (CIHR); Canadian Foundation for Innovation (CFI); Ontario Research Fund; IBM Canada</t>
  </si>
  <si>
    <t>Natural Sciences and Engineering Research Council (NSERC)(Natural Sciences and Engineering Research Council of Canada (NSERC)); Canadian Institutes of Health Research (CIHR)(Canadian Institutes of Health Research (CIHR)); Canadian Foundation for Innovation (CFI)(Canada Foundation for Innovation); Ontario Research Fund; IBM Canada(International Business Machines (IBM))</t>
  </si>
  <si>
    <t>The authors acknowledge the Natural Sciences and Engineering Research Council (NSERC), Canadian Institutes of Health Research (CIHR), Canadian Foundation for Innovation (CFI), Ontario Research Fund, and IBM Canada for computing resources for financial support as well as Dr. Glenn Facey for assistance with the VT NMR experiments. T.K.W. holds a Tier 2 Canada Research Chair (CRC) in Catalysis Modeling and Computational Chemistry.</t>
  </si>
  <si>
    <t>0002-7863</t>
  </si>
  <si>
    <t>J AM CHEM SOC</t>
  </si>
  <si>
    <t>J. Am. Chem. Soc.</t>
  </si>
  <si>
    <t>NOV 4</t>
  </si>
  <si>
    <t>10.1021/ja904169a</t>
  </si>
  <si>
    <t>Chemistry, Multidisciplinary</t>
  </si>
  <si>
    <t>516AI</t>
  </si>
  <si>
    <t>WOS:000271513600045</t>
  </si>
  <si>
    <t>Kavanaugh, JL; Cuffey, KM; Morse, DL; Bliss, AK; Aciego, SM</t>
  </si>
  <si>
    <t>Kavanaugh, J. L.; Cuffey, K. M.; Morse, D. L.; Bliss, A. K.; Aciego, S. M.</t>
  </si>
  <si>
    <t>Dynamics and mass balance of Taylor Glacier, Antarctica: 3. State of mass balance</t>
  </si>
  <si>
    <t>MCMURDO DRY VALLEYS; ROSS EMBAYMENT; ICE-CORE; CLIMATE; DOME; HOLOCENE; HISTORY; CHRONOLOGY</t>
  </si>
  <si>
    <t>Taylor Glacier flows from the East Antarctic Ice Sheet and terminates in the McMurdo Dry Valleys, where it has left a geomorphologic record of past incursions. Here we use new data on the flow, thickness, and surface balance of Taylor Glacier to calculate ice fluxes and assess the current state of mass balance. Overall, the glacier is close to a state of zero net balance, and has largely adjusted to reduced snowfall on the Taylor Dome source region in the mid Holocene. One region of the upper ablation zone appears to be losing mass. Evidence from ice surface morphology and stable isotope profiles suggests that this mass loss is a long-term phenomenon, hence probably a lingering response to the earlier drying of Taylor Dome. Our data give a general indication of the size of ablation or accumulation changes needed for ice to advance far into Taylor Valley, as occurred 70 to 130 ka ago.</t>
  </si>
  <si>
    <t>[Kavanaugh, J. L.] Univ Alberta, Dept Earth &amp; Atmospher Sci, Edmonton, AB T6G 2E3, Canada; [Morse, D. L.] Univ Texas Austin, Inst Geophys, Austin, TX 78758 USA; [Cuffey, K. M.; Bliss, A. K.] Univ Calif Berkeley, Dept Geog, Berkeley, CA 94720 USA; [Aciego, S. M.] ETH Zentrum, Inst Isotope Geol &amp; Mineral Resources, CH-8092 Zurich, Switzerland</t>
  </si>
  <si>
    <t>University of Alberta; University of Texas System; University of Texas Austin; University of California System; University of California Berkeley; Swiss Federal Institutes of Technology Domain; ETH Zurich</t>
  </si>
  <si>
    <t>Kavanaugh, JL (corresponding author), Univ Alberta, Dept Earth &amp; Atmospher Sci, 1-26 Earth Sci Bldg, Edmonton, AB T6G 2E3, Canada.</t>
  </si>
  <si>
    <t>jeff.kavanaugh@ualberta.ca; kcuffey@berkeley.edu; andybliss@gmail.com; aciego@erdw.ethz.ch</t>
  </si>
  <si>
    <t>Bliss, Andrew/0000-0002-8637-1923</t>
  </si>
  <si>
    <t>U.S. National Science Foundation [OPP-0125579, OPP-0126202]; Hellman Family Faculty Fund</t>
  </si>
  <si>
    <t>U.S. National Science Foundation(National Science Foundation (NSF)); Hellman Family Faculty Fund</t>
  </si>
  <si>
    <t>This work was funded by the U.S. National Science Foundation, grants OPP-0125579 to K. C. and OPP-0126202 to D. M. We gratefully acknowledge additional support from the Hellman Family Faculty Fund to University of California, Berkeley. We thank A. Fountain, T. Nylen, and H. Basagic of Portland State University for valuable contributions over the last 5 years and especially H. Basagic for remeasuring heights of many of our poles in the summer of 2006/2007. We are indebted to H. Conway and E. Rignot for their contributions to other aspects of this project. G. Denton deserves credit for motivating studies of Taylor Glacier; and E. Waddington for initiating our (D. M. and K. C.) work on the system. We thank the anonymous reviewers and the Associate Editor for their thoughtful comments on this work.</t>
  </si>
  <si>
    <t>NOV 3</t>
  </si>
  <si>
    <t>F04012</t>
  </si>
  <si>
    <t>10.1029/2009JF001331</t>
  </si>
  <si>
    <t>516ZB</t>
  </si>
  <si>
    <t>WOS:000271581000004</t>
  </si>
  <si>
    <t>Kavanaugh, JL; Cuffey, KM; Morse, DL; Conway, H; Rignot, E</t>
  </si>
  <si>
    <t>Kavanaugh, J. L.; Cuffey, K. M.; Morse, D. L.; Conway, H.; Rignot, E.</t>
  </si>
  <si>
    <t>Dynamics and mass balance of Taylor Glacier, Antarctica: 1. Geometry and surface velocities</t>
  </si>
  <si>
    <t>ROSS EMBAYMENT; VICTORIA LAND; DRY VALLEYS; ICE-CORE; DOME; HOLOCENE; HISTORY; CLIMATE; CHRONOLOGY; ECOSYSTEM</t>
  </si>
  <si>
    <t>Taylor Glacier, Antarctica, exemplifies a little-studied type of outlet glacier, one that flows slowly through a region of rugged topography and dry climate. This glacier, in addition, connects the East Antarctic Ice Sheet with the McMurdo Dry Valleys, a region much studied for geomorphology, paleoclimate, and ecology. Here we report extensive new measurements of surface velocities, ice thicknesses, and surface elevations, acquired with InSAR, GPS, and GPR. The latter two were used to construct elevation models of the glacier's surface and bed. Ice velocities in 2002-2004 closely matched those in 2000 and the mid-1970s, indicating negligible interannual variations of flow. Comparing velocities with bed elevations shows that, along much of the glacier, flow concentrates in a narrow axis of relatively fast flowing ice that overlies a bedrock trough. The flow of the glacier over major undulations in its bed can be regarded as a cascade''; it speeds up over bedrock highs and through valley narrows and slows down over deep basins and in wide spots. This pattern is an expected consequence of mass conservation for a glacier near steady state. Neither theory nor data from this Taylor Glacier study support the alternative view, recently proposed, that an outlet glacier of this type trickles slowly over bedrock highs and flows fastest over deep basins.</t>
  </si>
  <si>
    <t>[Kavanaugh, J. L.] Univ Alberta, Dept Earth &amp; Atmospher Sci, Edmonton, AB T6G 2E3, Canada; [Conway, H.] Univ Washington, Dept Earth &amp; Space Sci, Seattle, WA 98195 USA; [Cuffey, K. M.] Univ Calif Berkeley, Dept Geog, Berkeley, CA 94720 USA; [Morse, D. L.] Univ Texas Austin, Inst Geophys, Austin, TX 78758 USA; [Rignot, E.] Univ Calif Irvine, Dept Earth Syst Sci, Irvine, CA 92697 USA</t>
  </si>
  <si>
    <t>University of Alberta; University of Washington; University of Washington Seattle; University of California System; University of California Berkeley; University of Texas System; University of Texas Austin; University of California System; University of California Irvine</t>
  </si>
  <si>
    <t>jeff.kavanaugh@ualberta.ca; kcuffey@berkeley.edu; conway@ess.washington.edu; erignot@uci.edu</t>
  </si>
  <si>
    <t>Rignot, Eric/A-4560-2014</t>
  </si>
  <si>
    <t>Rignot, Eric/0000-0002-3366-0481; Conway, Howard/0000-0003-4634-3474</t>
  </si>
  <si>
    <t>This work was funded by the U.S. National Science Foundation, grants OPP-0125579 to K. C. and OPP-0126202 to D. M. We gratefully acknowledge additional support from the Hellman Family Faculty Fund to University of California, Berkeley. We thank A. Fountain, T. Nylen, and H. Basagic of Portland State University for valuable contributions over the last 5 years; the personnel of the Byrd Field Center and Petroleum Helicopters Inc.; and colleagues at the University of Texas Institute for Geophysics who run the aerogeophysics program. We are grateful to A. Bliss, S. Aciego, and J. Sanders for their assistance in the field and to the anonymous reviewers and Associate Editor for their constructive and thoughtful comments.</t>
  </si>
  <si>
    <t>F04010</t>
  </si>
  <si>
    <t>10.1029/2009JF001309</t>
  </si>
  <si>
    <t>WOS:000271581000002</t>
  </si>
  <si>
    <t>Wang, QF; Hou, YH; Miao, JL; Li, GY</t>
  </si>
  <si>
    <t>Wang, Quan-fu; Hou, Yan-hua; Miao, Jin-lai; Li, Guang-you</t>
  </si>
  <si>
    <t>Effect of UV-B radiation on the growth and antioxidant enzymes of Antarctic sea ice microalgae Chlamydomonas sp ICE-L</t>
  </si>
  <si>
    <t>ACTA PHYSIOLOGIAE PLANTARUM</t>
  </si>
  <si>
    <t>Antioxidative enzymes; Reactive oxygen species; Antarctic; Microalgae; Chlamydomonas sp.</t>
  </si>
  <si>
    <t>ULTRAVIOLET-B; SYSTEMS; DIATOMS</t>
  </si>
  <si>
    <t>The effect of ultraviolet-B (UV-B) radiation on Antarctic phytoplankton has become an attractive ecological issue as a result of annual springtime ozone depletion. The effects of UV-B radiation on the growth and antioxidant enzymes were investigated using Antarctic sea ice microalgae Chlamydomonas sp. ICE-L as the material in this study. The results demonstrated that UV-B radiation could notably inhibit the growth, especially at high UV-B radiation intensity (70 mu W cm(-2)). Malondialdehyde and O-2 (center dot-) content in ICE-L increased rapidly in early days (1-3 days) exposed to UV-B radiation enhancement, then decreased rapidly. In the stress of UV-B radiation enhancement, the superoxide dismutase, peroxidase and Catalase activities of 1-4 days in ICE-L were obviously higher than those in the control, and their activities became higher at high UV-B radiation intensity (70 mu W cm(-2)). These enzymes activity of 7 days would kept stable at low UV-B radiation intensity (35 mu W cm(-2)), but kept high level at high UV-B radiation intensity (70 mu W cm(-2)). However, the ascorbate peroxidase activity in ICE-L kept stable under the stress of UV-B radiation enhancement. The above experimental results indicated that the antioxidant enzyme system played an important role in the adaptation of Antarctic ice microalgae under the UV-B radiation change of Antarctic ecosystems.</t>
  </si>
  <si>
    <t>[Miao, Jin-lai; Li, Guang-you] First Inst Oceanog, Key Lab Marine Bioact Subst, Qingdao 266061, Shandong, Peoples R China; [Wang, Quan-fu; Hou, Yan-hua] Harbin Inst Technol, Sch Ocean, Weihai 264209, Shandong, Peoples R China</t>
  </si>
  <si>
    <t>First Institute of Oceanography, Ministry of Natural Resources; Harbin Institute of Technology</t>
  </si>
  <si>
    <t>Miao, JL (corresponding author), First Inst Oceanog, Key Lab Marine Bioact Subst, Qingdao 266061, Shandong, Peoples R China.</t>
  </si>
  <si>
    <t>houyanhua2006@163.com; marry7718@163.com</t>
  </si>
  <si>
    <t>wang, quan fu/K-9703-2018</t>
  </si>
  <si>
    <t>wang, quan fu/0000-0002-3885-5464</t>
  </si>
  <si>
    <t>natural scientific research innovation foundation in Harbin Institute of Technology [2008-067]; Key Lab of Marine Bioactive Substances, SOA [MBS-2007-01]; Natural Science Foundation of Shandong Province [Y2007D58]; Science and Technology Development Project of Weihai [2008087]; National Natural Science Foundation of China [40876107]</t>
  </si>
  <si>
    <t>natural scientific research innovation foundation in Harbin Institute of Technology(Harbin Institute of Technology); Key Lab of Marine Bioactive Substances, SOA; Natural Science Foundation of Shandong Province(Natural Science Foundation of Shandong Province); Science and Technology Development Project of Weihai; National Natural Science Foundation of China(National Natural Science Foundation of China (NSFC))</t>
  </si>
  <si>
    <t>This study was supported by the natural scientific research innovation foundation in Harbin Institute of Technology (No. 2008-067), the Key Lab of Marine Bioactive Substances, SOA (No. MBS-2007-01), the Natural Science Foundation of Shandong Province (No. Y2007D58), Science and Technology Development Project of Weihai (No. 2008087) and the National Natural Science Foundation of China (No. 40876107).</t>
  </si>
  <si>
    <t>0137-5881</t>
  </si>
  <si>
    <t>1861-1664</t>
  </si>
  <si>
    <t>ACTA PHYSIOL PLANT</t>
  </si>
  <si>
    <t>Acta Physiol. Plant.</t>
  </si>
  <si>
    <t>NOV</t>
  </si>
  <si>
    <t>10.1007/s11738-009-0271-x</t>
  </si>
  <si>
    <t>510DJ</t>
  </si>
  <si>
    <t>WOS:000271067900001</t>
  </si>
  <si>
    <t>Gaston, KJ; Chown, SL; Calosi, P; Bernardo, J; Bilton, DT; Clarke, A; Clusella-Trullas, S; Ghalambor, CK; Konarzewski, M; Peck, LS; Porter, WP; Pörtner, HO; Rezende, EL; Schulte, PM; Spicer, JI; Stillman, JH; Terblanche, JS; van Kleunen, M</t>
  </si>
  <si>
    <t>Gaston, Kevin J.; Chown, Steven L.; Calosi, Piero; Bernardo, Joseph; Bilton, David T.; Clarke, Andrew; Clusella-Trullas, Susana; Ghalambor, Cameron K.; Konarzewski, Marek; Peck, Lloyd S.; Porter, Warren P.; Poertner, Hans O.; Rezende, Enrico L.; Schulte, Patricia M.; Spicer, John I.; Stillman, Jonathon H.; Terblanche, John S.; van Kleunen, Mark</t>
  </si>
  <si>
    <t>Macrophysiology: A Conceptual Reunification</t>
  </si>
  <si>
    <t>AMERICAN NATURALIST</t>
  </si>
  <si>
    <t>biogeography; evolution; geographic range; macroecology; patterns; physiology</t>
  </si>
  <si>
    <t>METABOLIC COLD ADAPTATION; TROPICAL HOUSE SPARROWS; THERMAL TOLERANCE; CLIMATE-CHANGE; PHYSIOLOGICAL VARIATION; PHENOTYPIC PLASTICITY; POPULATION DIFFERENTIATION; INTRASPECIFIC VARIATION; GEOGRAPHIC-VARIATION; GENE-EXPRESSION</t>
  </si>
  <si>
    <t>Widespread recognition of the importance of biological studies at large spatial and temporal scales, particularly in the face of many of the most pressing issues facing humanity, has fueled the argument that there is a need to reinvigorate such studies in physiological ecology through the establishment of a macrophysiology. Following a period when the fields of ecology and physiological ecology had been regarded as largely synonymous, studies of this kind were relatively commonplace in the first half of the twentieth century. However, such large-scale work subsequently became rather scarce as physiological studies concentrated on the biochemical and molecular mechanisms underlying the capacities and tolerances of species. In some sense, macrophysiology is thus an attempt at a conceptual reunification. In this article, we provide a conceptual framework for the continued development of macrophysiology. We subdivide this framework into three major components: the establishment of macrophysiological patterns, determining the form of those patterns (the very general ways in which they are shaped), and understanding the mechanisms that give rise to them. We suggest ways in which each of these components could be developed usefully.</t>
  </si>
  <si>
    <t>[Gaston, Kevin J.] Univ Sheffield, Dept Anim &amp; Plant Sci, Biodivers &amp; Macroecol Grp, Sheffield S10 2TN, S Yorkshire, England; [Chown, Steven L.; Clusella-Trullas, Susana] Univ Stellenbosch, Dept Bot &amp; Zool, Ctr Invas Biol, ZA-7602 Matieland, South Africa; [Calosi, Piero; Bilton, David T.; Spicer, John I.] Univ Plymouth, Sch Biol Sci, Marine Biol &amp; Ecol Res Ctr, Plymouth PL4 8AA, Devon, England; [Bernardo, Joseph] Cornell Univ, Dept Nat Resources, Ithaca, NY 14853 USA; [Bernardo, Joseph] So Appalachian Biodivers Inst, Roan Mt, TN 37687 USA; [Clarke, Andrew; Peck, Lloyd S.] British Antarctic Survey, Natl Environm Res Council, Cambridge CB3 0ET, England; [Ghalambor, Cameron K.] Colorado State Univ, Dept Biol, Ft Collins, CO 80523 USA; [Ghalambor, Cameron K.] Colorado State Univ, Grad Degree Program Ecol, Ft Collins, CO 80523 USA; [Konarzewski, Marek] Univ Bialystok, Inst Biol, PL-15950 Bialystok, Poland; [Porter, Warren P.] Univ Wisconsin, Dept Zool, Madison, WI 53706 USA; [Poertner, Hans O.] Alfred Wegener Inst, D-27570 Bremerhaven, Germany; [Rezende, Enrico L.] Univ Autonoma Barcelona, Fac Biociencias, Dept Genet &amp; Microbiol, Bellaterra 08193, Spain; [Schulte, Patricia M.] Univ British Columbia, Dept Zool, Vancouver, BC V6T 1Z4, Canada; [Stillman, Jonathon H.] San Francisco State Univ, Romberg Tiburon Ctr, Tiburon, CA 94920 USA; [Stillman, Jonathon H.] San Francisco State Univ, Dept Biol, Tiburon, CA 94920 USA; [Terblanche, John S.] Univ Stellenbosch, Dept Conservat Ecol &amp; Entomol, Fac AgriSci, ZA-7602 Matieland, South Africa; [van Kleunen, Mark] Univ Bern, Inst Plant Sci, CH-3013 Bern, Switzerland; [van Kleunen, Mark] Univ Bern, Oeschger Ctr, CH-3013 Bern, Switzerland</t>
  </si>
  <si>
    <t>University of Sheffield; Stellenbosch University; University of Plymouth; Cornell University; UK Research &amp; Innovation (UKRI); Natural Environment Research Council (NERC); NERC British Antarctic Survey; Colorado State University; Colorado State University; University of Bialystok; University of Wisconsin System; University of Wisconsin Madison; Helmholtz Association; Alfred Wegener Institute, Helmholtz Centre for Polar &amp; Marine Research; Autonomous University of Barcelona; University of British Columbia; California State University System; San Francisco State University; California State University System; San Francisco State University; Stellenbosch University; University of Bern; University of Bern</t>
  </si>
  <si>
    <t>Gaston, KJ (corresponding author), Univ Sheffield, Dept Anim &amp; Plant Sci, Biodivers &amp; Macroecol Grp, Sheffield S10 2TN, S Yorkshire, England.</t>
  </si>
  <si>
    <t>k.j.gaston@sheffield.ac.uk</t>
  </si>
  <si>
    <t>Pörtner, Hans-O./K-9429-2016; Chown, Steven/ABD-7646-2021; van Kleunen, Mark/B-3769-2009; Terblanche, John/AAB-4457-2020; Schulte, Patricia M./AAB-3934-2019; Ghalambor, Cameron/HGE-0411-2022; Porter, Warren/IXW-6999-2023; Rezende, Enrico L/B-8029-2012; Ghalambor, Cameron K/V-4486-2019; Konarzewski, Marek/AAR-9952-2020; Pörtner, Hans-O./ISU-9397-2023; Chown, Steven/H-3347-2011; Bernardo, Joseph/C-2403-2008</t>
  </si>
  <si>
    <t>Pörtner, Hans-O./0000-0001-6535-6575; van Kleunen, Mark/0000-0002-2861-3701; Rezende, Enrico L/0000-0002-6245-9605; Ghalambor, Cameron K/0000-0003-2515-4981; Konarzewski, Marek/0000-0001-7428-6521; Stillman, Jonathon/0000-0002-4783-3830; Bilton, David/0000-0003-1136-0848; Chown, Steven/0000-0001-6069-5105; Schulte, Patricia/0000-0002-5237-8836; Terblanche, John/0000-0001-9665-9405; Calosi, Piero/0000-0003-3378-2603; Bernardo, Joseph/0000-0002-5516-4710</t>
  </si>
  <si>
    <t>Marine Institute University of Plymouth; Company of Biologists; Society for Experimental Biology, Royal Entomological Society; British Ecological Society; Fisheries Society of the British Isles; Marine Biological Association of the United Kingdom; Royal Society-Wolfson Research Merit Award; National Research Foundation; Research Council, United Kingdom; Ministry of Science and Higher Education [N304 3902 33]; Ramon y Cajal; Spanish Ministry of Science and Innovation; National Science Foundation [ESS 0533920]; Natural Environment Research Council [bas0100025] Funding Source: researchfish; NERC [bas0100025] Funding Source: UKRI</t>
  </si>
  <si>
    <t>Marine Institute University of Plymouth; Company of Biologists; Society for Experimental Biology, Royal Entomological Society; British Ecological Society; Fisheries Society of the British Isles; Marine Biological Association of the United Kingdom; Royal Society-Wolfson Research Merit Award(Royal Society); National Research Foundation; Research Council, United Kingdom; Ministry of Science and Higher Education(Ministry of Science and Higher Education, Poland); Ramon y Cajal(Spanish Government); Spanish Ministry of Science and Innovation(Spanish Government); National Science Foundation(National Science Foundation (NSF)); Natural Environment Research Council(UK Research &amp; Innovation (UKRI)Natural Environment Research Council (NERC)); NERC(UK Research &amp; Innovation (UKRI)Natural Environment Research Council (NERC))</t>
  </si>
  <si>
    <t>We are grateful to the Marine Institute University of Plymouth, Company of Biologists, Society for Experimental Biology, Royal Entomological Society, British Ecological Society, Fisheries Society of the British Isles, and Marine Biological Association of the United Kingdom for support for the first meeting to address macrophysiology explicitly, which brought the authors together and sparked the writing of this manuscript. K.J.G. holds a Royal Society-Wolfson Research Merit Award; S. L. C. is a recipient of National Research Foundation incentive funding; P. C. is a research fellow of the Research Council, United Kingdom; M. K. is supported by Ministry of Science and Higher Education grant N304 3902 33; E. L. R. is a Ramon y Cajal Fellow supported by the Spanish Ministry of Science and Innovation; and J. H. S. is supported by National Science Foundation grant ESS 0533920. We are grateful to D. B. Miles and two anonymous reviewers for their comments on a previous version of the manuscript.</t>
  </si>
  <si>
    <t>UNIV CHICAGO PRESS</t>
  </si>
  <si>
    <t>CHICAGO</t>
  </si>
  <si>
    <t>1427 E 60TH ST, CHICAGO, IL 60637-2954 USA</t>
  </si>
  <si>
    <t>0003-0147</t>
  </si>
  <si>
    <t>1537-5323</t>
  </si>
  <si>
    <t>AM NAT</t>
  </si>
  <si>
    <t>Am. Nat.</t>
  </si>
  <si>
    <t>10.1086/605982</t>
  </si>
  <si>
    <t>Ecology; Evolutionary Biology</t>
  </si>
  <si>
    <t>Environmental Sciences &amp; Ecology; Evolutionary Biology</t>
  </si>
  <si>
    <t>509MM</t>
  </si>
  <si>
    <t>WOS:000271021900003</t>
  </si>
  <si>
    <t>Antony, R; Krishnan, KP; Thomas, S; Abraham, WP; Thamban, M</t>
  </si>
  <si>
    <t>Antony, Runa; Krishnan, K. P.; Thomas, Sabu; Abraham, Wilson Peter; Thamban, M.</t>
  </si>
  <si>
    <t>Phenotypic and molecular identification of Cellulosimicrobium cellulans isolated from Antarctic snow</t>
  </si>
  <si>
    <t>ANTONIE VAN LEEUWENHOEK INTERNATIONAL JOURNAL OF GENERAL AND MOLECULAR MICROBIOLOGY</t>
  </si>
  <si>
    <t>Cellulosimicrobium; Antarctica; Snow; Carbon utilization; Cold adaptation</t>
  </si>
  <si>
    <t>FATTY-ACID; LISTERIA-MONOCYTOGENES; LOW-TEMPERATURES; ISOLEUCINE; GROWTH; NOV.</t>
  </si>
  <si>
    <t>We report for the first time the isolation of Cellulosimicrobium cellulans from Antarctic snow. This strain demonstrated physiological traits that were markedly different from that of the mesophilic C. cellulans type strain DSM 43879(T). The dominant cell wall sugars in C. cellulans were glucose, galactose and mannitol whereas rhamnose was the only major sugar in the type strain. Cellular fatty acid patterns were dominated by 12-methyltetradecanoic acid (ai-C(15:0)), hexadecanoic acid (C(16:0)) and 14-methylhexadecanoic acid (ai-C(17:0)) but lacked iso fatty acids unlike the type strain. The ability of C. cellulans to survive in Antarctic snow could be due to these modified physiological properties that distinguish it from its mesophilic counterpart. Carbon utilization studies demonstrated that C. cellulans preferred complex carbon substrates over simple ones suggesting that it could play a potential role in carbon uptake in snow. Our study shows that this genus could be more cosmopolitan than hitherto thought of and is capable of living in extreme cold environments.</t>
  </si>
  <si>
    <t>[Antony, Runa; Krishnan, K. P.; Thamban, M.] Natl Ctr Antarctic &amp; Ocean Res, Vasco Da Gama 403804, Goa, India; [Thomas, Sabu; Abraham, Wilson Peter] Rajiv Gandhi Ctr Biotechnol, Trivandrum 695014, Kerala, India</t>
  </si>
  <si>
    <t>Ministry of Earth Sciences (MoES) - India; National Centre for Polar and Ocean Research (NCPOR); Department of Biotechnology (DBT) India; Rajiv Gandhi Centre for Biotechnology (RGCB)</t>
  </si>
  <si>
    <t>Antony, R (corresponding author), Natl Ctr Antarctic &amp; Ocean Res, Vasco Da Gama 403804, Goa, India.</t>
  </si>
  <si>
    <t>runa@ncaor.org</t>
  </si>
  <si>
    <t>P, Krishnan K/ABF-8783-2020</t>
  </si>
  <si>
    <t>, K. P. Krishnan/0000-0003-1101-657X; Antony, Runa/0000-0003-4829-4207; Thamban, Meloth/0000-0003-3379-8189</t>
  </si>
  <si>
    <t>0003-6072</t>
  </si>
  <si>
    <t>ANTON LEEUW INT J G</t>
  </si>
  <si>
    <t>Antonie Van Leeuwenhoek</t>
  </si>
  <si>
    <t>10.1007/s10482-009-9377-9</t>
  </si>
  <si>
    <t>508ZK</t>
  </si>
  <si>
    <t>WOS:000270979400023</t>
  </si>
  <si>
    <t>Hunter, MW; Dykstra, R; Lim, MH; Haskell, TG; Callaghan, PT</t>
  </si>
  <si>
    <t>Hunter, M. W.; Dykstra, R.; Lim, M. H.; Haskell, T. G.; Callaghan, P. T.</t>
  </si>
  <si>
    <t>Using Earth's Field NMR to Study Brine Content in Antarctic Sea Ice: Comparison with Salinity and Temperature Estimates</t>
  </si>
  <si>
    <t>APPLIED MAGNETIC RESONANCE</t>
  </si>
  <si>
    <t>NUCLEAR-MAGNETIC-RESONANCE; SPIN-ECHO; SELF-DIFFUSION; GRADIENT</t>
  </si>
  <si>
    <t>We report on the use in Antarctica of a portable nuclear magnetic resonance spectrometer which utilizes the Earth's magnetic field. We obtain estimates of brine content, in samples of sea ice extracted at different depths from the annual ice of McMurdo Sound, in the vicinity of Cape Evans, Ross Island. These measurements are correlated with estimates of brine content obtained from temperature and salinity measurements at each depth, using a knowledge of the phase diagram.</t>
  </si>
  <si>
    <t>[Hunter, M. W.; Dykstra, R.; Lim, M. H.; Haskell, T. G.; Callaghan, P. T.] Victoria Univ Wellington, Sch Chem &amp; Phys Sci, Wellington, New Zealand; [Lim, M. H.] Univ Otago, Dept Food Sci, Dunedin, New Zealand; [Haskell, T. G.] Ind Res Ltd, Lower Hutt, New Zealand</t>
  </si>
  <si>
    <t>Victoria University Wellington; University of Otago; Callaghan Innovation</t>
  </si>
  <si>
    <t>Callaghan, PT (corresponding author), Victoria Univ Wellington, Sch Chem &amp; Phys Sci, Wellington, New Zealand.</t>
  </si>
  <si>
    <t>paul.callaghan@vuw.ac.nz</t>
  </si>
  <si>
    <t>We acknowledge the New Zealand Antarctic Programme and the New Zealand Foundation for Research, Science and Technology for logistic and funding support. We are grateful to Dr Pat Langhorne for valuable advice and to Phillip Luey for technical assistance with equipment preparation.</t>
  </si>
  <si>
    <t>SPRINGER WIEN</t>
  </si>
  <si>
    <t>WIEN</t>
  </si>
  <si>
    <t>SACHSENPLATZ 4-6, PO BOX 89, A-1201 WIEN, AUSTRIA</t>
  </si>
  <si>
    <t>0937-9347</t>
  </si>
  <si>
    <t>1613-7507</t>
  </si>
  <si>
    <t>APPL MAGN RESON</t>
  </si>
  <si>
    <t>Appl. Magn. Reson.</t>
  </si>
  <si>
    <t>10.1007/s00723-009-0003-9</t>
  </si>
  <si>
    <t>Physics, Atomic, Molecular &amp; Chemical; Spectroscopy</t>
  </si>
  <si>
    <t>Physics; Spectroscopy</t>
  </si>
  <si>
    <t>510DN</t>
  </si>
  <si>
    <t>WOS:000271068300001</t>
  </si>
  <si>
    <t>Bialkowska, AM; Cieslinski, H; Nowakowska, KM; Kur, J; Turkiewicz, M</t>
  </si>
  <si>
    <t>Bialkowska, Aneta Monika; Cieslinski, Hubert; Nowakowska, Karolina Maria; Kur, Jozef; Turkiewicz, Marianna</t>
  </si>
  <si>
    <t>A new β-galactosidase with a low temperature optimum isolated from the Antarctic Arthrobacter sp 20B: gene cloning, purification and characterization</t>
  </si>
  <si>
    <t>ARCHIVES OF MICROBIOLOGY</t>
  </si>
  <si>
    <t>Cold-adapted enzymes; beta-Galactosidase; Arthrobacter sp.; Lactose hydrolysis; Psychrotrophic microorganisms</t>
  </si>
  <si>
    <t>PSYCHROPHILIC ENZYMES; COLD; BACTERIUM; SEQUENCE; PROTEASE; MICROORGANISMS; EXTREMOPHILES; ADAPTATION; PROTEINS</t>
  </si>
  <si>
    <t>A psychrotrophic bacterium producing a cold-adapted beta-galactosidase upon growth at low temperatures was classified as Arthrobacter sp. 20B. A genomic DNA library of strain 20B introduced into Escherichia coli TOP10F' and screening on X-Gal (5-bromo-4-chloro-3-indolyl-beta-d-galactopyranoside)-containing agar plates led to the isolation of beta-galactosidase gene. The beta-galactosidase gene (bgaS) encoding a protein of 1,053 amino acids, with a calculated molecular mass of 113,695 kDa. Analysis of the amino acid sequence of BgaS protein, deduced from the bgaS ORF, suggested that it is a member of the glycosyl hydrolase family 2. A native cold-adapted beta-galactosidase was purified to homogeneity and characterized. It is a homotetrameric enzyme, each subunit being approximately 116 kDa polypeptide as deduced from native and SDS-PAGE, respectively. The beta-galactosidase was optimally active at pH 6.0-8.0 and 25A degrees C. P-nitrophenyl-beta-d-galactopyranoside (PNPG) is its preferred substrate (three times higher activity than for ONPG-o-nitrophenyl-beta-d-galactopyranoside). The Arthrobacter sp. 20B beta-galactosidase is activated by thiol compounds (53% rise in activity in the presence of 10 mM 2-mercaptoethanol), some metal ions (activity increased by 50% for Na+, K+ and by 11% for Mn2+) and inactivated by pCMB (4-chloro-mercuribenzoic acid) and heavy metal ions (Pb2+, Zn2+, Cu2+).</t>
  </si>
  <si>
    <t>[Cieslinski, Hubert; Nowakowska, Karolina Maria; Kur, Jozef] Gdansk Univ Technol, Dept Microbiol, PL-80952 Gdansk, Poland</t>
  </si>
  <si>
    <t>Fahrenheit Universities; Gdansk University of Technology</t>
  </si>
  <si>
    <t>Bialkowska, AM (corresponding author), Tech Univ Lodz, Inst Tech Biochem, Stefanowskigo 4-10, PL-90924 Lodz, Poland.</t>
  </si>
  <si>
    <t>aneta.bialkowska@p.lodz.pl</t>
  </si>
  <si>
    <t>Białkowska, Aneta/P-4481-2019</t>
  </si>
  <si>
    <t>Białkowska, Aneta/0000-0001-7319-238X; Cieslinski, Hubert/0000-0003-0573-0830</t>
  </si>
  <si>
    <t>0302-8933</t>
  </si>
  <si>
    <t>1432-072X</t>
  </si>
  <si>
    <t>ARCH MICROBIOL</t>
  </si>
  <si>
    <t>Arch. Microbiol.</t>
  </si>
  <si>
    <t>10.1007/s00203-009-0509-4</t>
  </si>
  <si>
    <t>507QC</t>
  </si>
  <si>
    <t>WOS:000270868300004</t>
  </si>
  <si>
    <t>Betts, EF; Jones, JB</t>
  </si>
  <si>
    <t>Betts, Emma F.; Jones, Jeremy B., Jr.</t>
  </si>
  <si>
    <t>Impact of Wildfire on Stream Nutrient Chemistry and Ecosystem Metabolism in Boreal Forest Catchments of Interior Alaska</t>
  </si>
  <si>
    <t>ARCTIC ANTARCTIC AND ALPINE RESEARCH</t>
  </si>
  <si>
    <t>DISSOLVED ORGANIC-CARBON; NATIONAL-PARK; AQUATIC ECOSYSTEMS; WATER CHEMISTRY; GAS-EXCHANGE; WESTERN USA; FOOD WEBS; FIRE; PERMAFROST; PHOSPHORUS</t>
  </si>
  <si>
    <t>With climatic warming, wildfire occurrence is increasing in the boreal forest of interior Alaska. Loss of catchment vegetation during fire can impact streams directly through altered solute and debris inputs and changed light and temperature regimes. Over longer time scales, fire can accelerate permafrost degradation, altering catchment hydrology and stream nutrient dynamics. In 2004, the 217,000 ha Boundary Fire burned 65% of an established Study site in the Caribou-Poker Creeks Research Watershed. We used this opportunity to investigate the impact of wildfire on stream chemistry and metabolism in boreal forest catchments. Wildfire impacts on chemistry were evaluated by examining solute chemistry in four catchments from 2002 to 2007. Ecosystem metabolism was measured over the summer of 2005 in one burned and two unburned catchments. Wildfire led to stream nitrate concentration increasing up to threefold, whereas dissolved organic carbon (DOC) and dissolved organic nitrogen concentrations decreased post-fire. Average stream gross primary production in the burned catchment was double that of the unburned sites (2.4 and 1.2 g O-2 m(-2) day(-1), respectively). Respiration rate was also elevated in the burned stream (6.6 g O-2 m(-2) day(-1)) compared with the control streams (1.2 and 4.5 g O-2 m(-2) day(-1)). Climatic warming has the potential to impact boreal forest streams through permafrost thaw and increased fire frequency, leading to altered solute inputs and production and respiration rates.</t>
  </si>
  <si>
    <t>[Jones, Jeremy B., Jr.] Univ Alaska Fairbanks, Inst Arctic Biol, Fairbanks, AK 99775 USA; [Betts, Emma F.] Univ Canberra, Inst Appl Ecol, Canberra, ACT 2601, Australia</t>
  </si>
  <si>
    <t>University of Alaska System; University of Alaska Fairbanks; University of Canberra</t>
  </si>
  <si>
    <t>Jones, JB (corresponding author), Univ Alaska Fairbanks, Inst Arctic Biol, 311 Irving 1, Fairbanks, AK 99775 USA.</t>
  </si>
  <si>
    <t>Jay.Jones@Alaska.edu</t>
  </si>
  <si>
    <t>NSF [DEB-0423442]; USDA Forest Service [PNW01-JV11261952-231]</t>
  </si>
  <si>
    <t>NSF(National Science Foundation (NSF)); USDA Forest Service(United States Department of Agriculture (USDA)United States Forest Service)</t>
  </si>
  <si>
    <t>This research was part of the Bonanza Creek Long Term Ecological Research program (funded jointly by NSF grant DEB-0423442 and USDA Forest Service, Pacific Northwest Research Station grant PNW01-JV11261952-231). Additional assistance was provided by the Center for Global Change and Arctic Systems Research, University of Alaska Fairbanks.</t>
  </si>
  <si>
    <t>1523-0430</t>
  </si>
  <si>
    <t>1938-4246</t>
  </si>
  <si>
    <t>ARCT ANTARCT ALP RES</t>
  </si>
  <si>
    <t>Arct. Antarct. Alp. Res.</t>
  </si>
  <si>
    <t>10.1657/1938-4246-41.4.407</t>
  </si>
  <si>
    <t>Environmental Sciences; Geography, Physical</t>
  </si>
  <si>
    <t>Environmental Sciences &amp; Ecology; Physical Geography</t>
  </si>
  <si>
    <t>529GF</t>
  </si>
  <si>
    <t>WOS:000272503400001</t>
  </si>
  <si>
    <t>Blanken, PD</t>
  </si>
  <si>
    <t>Blanken, Peter D.</t>
  </si>
  <si>
    <t>Designing a Living Snow Fence for Snow Drift Control</t>
  </si>
  <si>
    <t>THRESHOLD WIND-SPEEDS; TRANSPORT; FORAGE</t>
  </si>
  <si>
    <t>Blowing and drifting snow continues to be a transportation and safety hazard with significant economic costs. Critical design criteria for the construction of a living (vegetated) snow fence are reviewed and presented using the most currently available design equations. Coupled with an analysis of climate and topographical data, the design criteria are applied to an area in Rocky Mountain National Park historically prone to snow drifting. The long-term average snow accumulation season (period beginning with the first blowing snow and ending with maximum drift density) was calculated from air temperature as between 4 November and 10 April, and these dates compared well with those based on nearby snow observations. Over the snow accumulation season, the potential for snow transport based on wind characteristics was 21.4 tonnes m(-1) (all wind directions), of which 21.0 tonnes m(-1) occurred along a mean drifting direction of 259 degrees (nearly perpendicular to the road at the study site). The potential for snow transport based on snow characteristics (754 tonnes m(-1)) exceeded the potential for snow transport based on wind characteristics, thus indicating that wind was the primary factor controlling drift formation. Using a snow transport of 23.9 tonnes m(-1), determined using the long-term average snow water equivalent plus one standard deviation (occurred in three out of 25 years of observations), the required snow fence height needs to be 1.61 m tall, set back 56.4 m from the road. The fence will have a trapping efficiency of 79% when an effective porosity of 50% is achieved. Comparisons of these design parameters to snow drift conditions created behind a structural fence indicated that living snow fence design parameters are likely appropriate and realistic.</t>
  </si>
  <si>
    <t>[Blanken, Peter D.] Univ Colorado, Dept Geog, Boulder, CO 80309 USA; [Blanken, Peter D.] Univ Colorado, Environm Studies Program, Boulder, CO 80309 USA</t>
  </si>
  <si>
    <t>University of Colorado System; University of Colorado Boulder; University of Colorado System; University of Colorado Boulder</t>
  </si>
  <si>
    <t>Blanken, PD (corresponding author), Univ Colorado, Dept Geog, 260 UCB, Boulder, CO 80309 USA.</t>
  </si>
  <si>
    <t>blanken@colorado.edu</t>
  </si>
  <si>
    <t>U.S. Department of Interior National Park Service [1537015]</t>
  </si>
  <si>
    <t>U.S. Department of Interior National Park Service</t>
  </si>
  <si>
    <t>This Study was funded by a research grant generously provided by the U.S. Department of Interior National Park Service, project no. 1537015. I thank the staff at Rocky Mountain National Park for their Support and assistance with this project, Ron Tabler for providing resources and advice on this topic, and both the reviewer and Bill Bowman for their constructive comments, all of which greatly improved this manuscript.</t>
  </si>
  <si>
    <t>INST ARCTIC ALPINE RES</t>
  </si>
  <si>
    <t>BOULDER</t>
  </si>
  <si>
    <t>UNIV COLORADO, BOULDER, CO 80309 USA</t>
  </si>
  <si>
    <t>10.1657/1938-4246-41.4.418</t>
  </si>
  <si>
    <t>WOS:000272503400002</t>
  </si>
  <si>
    <t>Campioli, M; Street, LE; Michelsen, A; Shaver, GR; Maere, T; Samson, R; Lemeur, R</t>
  </si>
  <si>
    <t>Campioli, Matteo; Street, Lorna E.; Michelsen, Anders; Shaver, Gaius R.; Maere, Thomas; Samson, Roeland; Lemeur, Raoul</t>
  </si>
  <si>
    <t>Determination of Leaf Area Index, Total Foliar N, and Normalized Difference Vegetation Index for Arctic Ecosystems Dominated by Cassiope tetragona</t>
  </si>
  <si>
    <t>ENVIRONMENTAL PERTURBATIONS; DWARF SHRUBS; CO2 FLUX; RESPONSES; NUTRIENT; EXCHANGE; GROWTH; PLANTS; PRODUCTIVITY; TEMPERATURE</t>
  </si>
  <si>
    <t>Leaf area index (LAI) and total foliar nitrogen (TFN) are important canopy characteristics and crucial variables needed to simulate photosynthesis and ecosystem CO(2) fluxes. Although plant communities dominated by Cassiope tetragona are widespread in the Arctic, LAI and TFN for this vegetation type have not been accurately quantified. We address this knowledge gap by (i) direct measurements of LAI and TFN for C tetragona, and (ii) determining TFN-LAI and LAI-normalized difference vegetation index (NDVI) relationships for typical C tetragona tundras in the subarctic (Sweden) and High Arctic (Greenland and Svalbard). Leaves of C tetragona are 2-6 mm long and closely appressed to their stems forming parallelepiped shoots. We determined the LAI of C tetragona by measuring the area of the leaves while still attached to the stem, then doubling the resulting one-sided area. TFN was determined from leaf N and biomass. The LAI-NDVI and TFN-LAI relationships showed high correlation and can be used to estimate indirectly LAI and TFN. The LAI-NDVI relationship for C tetragona vegetation differed from a generic LAI-NDVI relationship for arctic tundra, whereas the TFN-LAI relationship did not. Overall, the LAI of C tetragona tundra ranged from 0.4 to 1.1 m(2) m(-2) and TFN from 1.4 to 1.7 g N m(-2).</t>
  </si>
  <si>
    <t>[Campioli, Matteo; Lemeur, Raoul] Univ Ghent, Dept Appl Ecol &amp; Environm Biol, B-9000 Ghent, Belgium; [Street, Lorna E.] Univ Edinburgh, Sch Geosci, Edinburgh EH9 3JN, Midlothian, Scotland; [Michelsen, Anders] Univ Copenhagen, Dept Biol, DK-1353 Copenhagen, Denmark; [Campioli, Matteo; Shaver, Gaius R.] Marine Biol Lab, Ctr Ecosyst, Woods Hole, MA 02543 USA; [Maere, Thomas] Univ Ghent, BIOMATH, B-9000 Ghent, Belgium; [Samson, Roeland] Univ Antwerp, Dept Biosci Engn, B-2020 Antwerp, Belgium</t>
  </si>
  <si>
    <t>Ghent University; University of Edinburgh; University of Copenhagen; Marine Biological Laboratory - Woods Hole; Ghent University; University of Antwerp</t>
  </si>
  <si>
    <t>Campioli, M (corresponding author), Univ Antwerp, Res Grp Plant &amp; Vegetat Ecol, Univ Pl 1, B-2610 Antwerp, Belgium.</t>
  </si>
  <si>
    <t>matteo.campioli@ua.ac.be</t>
  </si>
  <si>
    <t>Campioli, Matteo/N-9380-2015; Maere, Thomas/D-7081-2014; Samson, Roeland/L-2109-2018; Michelsen, Anders/L-5279-2014</t>
  </si>
  <si>
    <t>Michelsen, Anders/0000-0002-9541-8658; Campioli, Matteo/0000-0002-3427-2368</t>
  </si>
  <si>
    <t>Ghent University [0111307004]; U.S. National Science Foundation [OPP-0352897]; Danish Research Council for Nature and Universe; EU [FP6 506004]</t>
  </si>
  <si>
    <t>Ghent University(Ghent University); U.S. National Science Foundation(National Science Foundation (NSF)); Danish Research Council for Nature and Universe; EU(European Union (EU))</t>
  </si>
  <si>
    <t>This work was supported by the Special Research Fund (BOF) of Ghent University through a PhD grant to the first author (0111307004), by the grant OPP-0352897 from the U.S. National Science Foundation to the Marine Biological Laboratory, by the Danish Research Council for Nature and Universe, and by the EU ATANS Grant (FP6 506004). Special thanks are due to the Abisko Scientific Research Station for logistic support. We thank Ana Prieto-Blanco for reflectance measurements at Abisko, Mark van Wijk for provision of published data sets, Andreas Demey for field assistance, Tommy Blommaert for the drawings in Figure I and William Bowman, Philip Wookey, and two anonymous reviewers for valuable and constructive comments on previous versions of the manuscript.</t>
  </si>
  <si>
    <t>10.1657/1938-4246-41.4.426</t>
  </si>
  <si>
    <t>WOS:000272503400003</t>
  </si>
  <si>
    <t>Deshaies, A; Boudreau, S; Harper, KA</t>
  </si>
  <si>
    <t>Deshaies, Alexis; Boudreau, Stephane; Harper, Karen A.</t>
  </si>
  <si>
    <t>Assisted Revegetation in a Subarctic Environment: Effects of Fertilization on the Performance of Three Indigenous Plant Species</t>
  </si>
  <si>
    <t>NO 1 PIPELINE; NITROGEN MINERALIZATION; LAND RECLAMATION; LEYMUS-ARENARIUS; VEHICLE TRACKS; COASTAL DUNES; SHRUB TUNDRA; BORROW PITS; ESTABLISHMENT; CARBON</t>
  </si>
  <si>
    <t>Assisted revegetation is particularly difficult in subarctic and arctic ecosystems where the impact of anthropogenic activities can be extensive and natural plant regeneration is slow. The construction of a military base in the 1950s at Kuujjuarapik-Whapmagoostui in northern Quebec destroyed most of the vegetation cover. Afterwards, other anthropogenic disturbances linked to the village expansion (housing, ATV traffic, pedestrian trampling) have slowed down the recovery process. To provide residents with low-cost but efficient assisted revegetation techniques, we evaluated the performance (seedling emergence, survival, and biomass production) of three indigenous plant species (Leymus mollis, Lathyrus japonicus, Trisetum spicatum) submitted to different levels of mineral and organic fertilizer additions in both a greenhouse experiment and a field plantation in the village. In the greenhouse experiment, moderate mineral fertilization had positive impacts on seedling emergence and both aboveground and belowground biomass of L. mollis. The magnitude of this impact on biomass was greater when mineral fertilization was combined with organic fertilization. The effects of mineral fertilization were negative on the other two species, especially at higher fertilization levels. However, after two growing seasons, a moderate level of mineral fertilizer in the Field plantation had positive effects on the cover and aboveground biomass of all three species. Overall, organic fertilization from the substrate of a nearby marsh did not enhance plant performance in either experiment. Planting seeds of L. mollis or T spicatum in combination with a moderate level of mineral fertilization at the time of planting provides a low-cost assisted revegetation treatment for subarctic villages.</t>
  </si>
  <si>
    <t>[Boudreau, Stephane] Univ Laval, Dept Biol, Ctr Etud Nord, No Res Chair Disturbance Ecol, Quebec City, PQ G1V 0A6, Canada</t>
  </si>
  <si>
    <t>Laval University</t>
  </si>
  <si>
    <t>Boudreau, S (corresponding author), Univ Laval, Dept Biol, Ctr Etud Nord, No Res Chair Disturbance Ecol, 1045 Av Med, Quebec City, PQ G1V 0A6, Canada.</t>
  </si>
  <si>
    <t>stephane.boudreau@bio.ulaval.ca</t>
  </si>
  <si>
    <t>Boudreau, Stephane/I-7838-2012; Harper, Karen/R-4735-2019</t>
  </si>
  <si>
    <t>Boudreau, Stephane/0000-0002-1035-6452; Harper, Karen/0000-0001-5390-0262</t>
  </si>
  <si>
    <t>Northern Ecosystems Initiative; Natural Sciences and Engineering Research Council of Canada (NSERC)</t>
  </si>
  <si>
    <t>Northern Ecosystems Initiative; Natural Sciences and Engineering Research Council of Canada (NSERC)(Natural Sciences and Engineering Research Council of Canada (NSERC))</t>
  </si>
  <si>
    <t>The authors would like to thank Ian Boucher, Francoise Cardou, Patrick Dick, Genevieve Dufour Tremblay, Julie Faure-Lacroix, Steve Inish, Peter Natashequan, Pascale Ropars, and Marie-Pascale Villeneuve Simard for their help in the field and in the laboratory. They would also like to thank the Cree Regional Authority (Ginette Lajoie and Cameron MacLean), the Whapmagoostui Band Council and its representative (Robert Wynne), and the Centre d'etudes nordiques. This project was financially supported by the Northern Ecosystems Initiative and the Natural Sciences and Engineering Research Council of Canada (NSERC) via the Northern Research Chair on Disturbance Ecology.</t>
  </si>
  <si>
    <t>10.1657/1938-4246-41.4.434</t>
  </si>
  <si>
    <t>Bronze, Green Submitted</t>
  </si>
  <si>
    <t>WOS:000272503400004</t>
  </si>
  <si>
    <t>Finkelstein, SA; Ross, JM; Adams, JK</t>
  </si>
  <si>
    <t>Finkelstein, S. A.; Ross, J. M.; Adams, J. K.</t>
  </si>
  <si>
    <t>Spatiotemporal Variability in Arctic Climates of the Past Millennium: Implications for the Study of Thule Culture on Melville Peninsula, Nunavut</t>
  </si>
  <si>
    <t>BAFFIN-ISLAND; ICE-AGE; ENVIRONMENTAL-CHANGE; HOLOCENE GLACIATION; DIATOM ASSEMBLAGES; BOOTHIA PENINSULA; SEA-ICE; CANADA; TEMPERATURE; LAKE</t>
  </si>
  <si>
    <t>During the last millennium, climatic fluctuations occurred in the Arctic that presumably affected ecosystems and people. Paleoclimatologists recognize that the impacts of these fluctuations were not consistent across space or time; however, archaeologists often cite climatic fluctuations as an impetus for Thule migration and more recent regionalization across the Arctic. An interdisciplinary International Polar Year project is examining possible correlations between climate and cultural changes on Melville Peninsula. To better evaluate the role climate played in cultural change on Melville Peninsula and to place emerging data in context, we present here new syntheses or paleoclimatic and archaeological data from adjacent regions to determine how the data sets articulate. A comparison of high-resolution paleoclimatic records suggests dissimilarities in climatic histories across this transitional area, with Little Ice Age cooling possibly occurring 1-2 centuries earlier west of Melville Peninsula than to the east. Although paleoclimates in the Baffin region to the east may have been more variable, the maritime climate may have contributed to a resource-rich environment, resulting in continuous human occupation. The more stable, and possibly cooler, continental climate to the west of Melville Peninsula could explain the relatively fewer Thule sites. This area, however, was relatively densely used throughout the coldest part of the past millennium and the historic period, likely owing to technological specialization and access to European material culture.</t>
  </si>
  <si>
    <t>[Finkelstein, S. A.; Adams, J. K.] Univ Toronto, Dept Geog, Toronto, ON M5S 3G3, Canada</t>
  </si>
  <si>
    <t>University of Toronto</t>
  </si>
  <si>
    <t>Finkelstein, SA (corresponding author), Univ Toronto, Dept Geog, 100 St George St,Room 5047, Toronto, ON M5S 3G3, Canada.</t>
  </si>
  <si>
    <t>Finkelstein@geog.utoronto.ca</t>
  </si>
  <si>
    <t>Finkelstein, Sarah/K-8202-2012; Ross, Jaime M/A-6893-2012</t>
  </si>
  <si>
    <t>Finkelstein, Sarah/0000-0002-8239-399X;</t>
  </si>
  <si>
    <t>Government of Canada Fund; Polar Continental Shelf Project (Natural Resources Canada); Natural Sciences and Engineering Research Council of Canada</t>
  </si>
  <si>
    <t>Government of Canada Fund; Polar Continental Shelf Project (Natural Resources Canada)(Natural Resources Canada); Natural Sciences and Engineering Research Council of Canada(Natural Sciences and Engineering Research Council of Canada (NSERC)CGIAR)</t>
  </si>
  <si>
    <t>Our research is funded by the Government of Canada Fund for International Polar Year, the Polar Continental Shelf Project (Natural Resources Canada), and the Natural Sciences and Engineering Research Council of Canada. We thank these funding agencies, the community of Hall Beach for ongoing support of our work, and Foxe-Main DEW Line station for permission to access archaeological sites. We also thank the Inuit Heritage Trust for supporting archaeological research and teaching on Melville Peninsula, Steve Perry for cartography, the contributors to publicly available paleoclimate and archaeological databases, Konrad Gajewski and Scott Lamoureux for providing additional data, and the two anonymous reviewers whose comments assisted us in improving this paper.</t>
  </si>
  <si>
    <t>10.1657/1938-4246-41.4.442</t>
  </si>
  <si>
    <t>Science Citation Index Expanded (SCI-EXPANDED); Social Science Citation Index (SSCI)</t>
  </si>
  <si>
    <t>WOS:000272503400005</t>
  </si>
  <si>
    <t>Hughes, PD</t>
  </si>
  <si>
    <t>Hughes, Philip D.</t>
  </si>
  <si>
    <t>Twenty-first Century Glaciers and Climate in the Prokletije Mountains, Albania</t>
  </si>
  <si>
    <t>EQUILIBRIUM-LINE ALTITUDES; MASS-BALANCE; ICE-AGE; RECONSTRUCTION; TEMPERATURE; BEHAVIOR; RANGE</t>
  </si>
  <si>
    <t>At least four active glaciers are present in the Prokletije Mountains of northern Albania. These glaciers exist at altitudes between 1980 and 2420 ill a.s.l.-well below the regional equilibrium line altitude-on shaded northeast-facing slopes prone to avalanche. Glacier-climate modeling suggests that these glaciers require annual accumulation of between 4137 and 5531 mill (water equivalent) to balance melting. A significant proportion of this accumulation is likely to be sourced from windblown snow and, in particular, avalanching snow. It is estimated that the total accumulation needed to balance melting is potentially up to twice the value received from direct precipitation. The presence of these glaciers-some of the southernmost in Europe-at altitudes well below the regional equilibrium line altitude, highlights the importance of local controls on glacier development.</t>
  </si>
  <si>
    <t>Univ Manchester, Sch Environm &amp; Dev, Manchester M13 9PL, Greater Manches, England</t>
  </si>
  <si>
    <t>University of Manchester</t>
  </si>
  <si>
    <t>Hughes, PD (corresponding author), Univ Manchester, Sch Environm &amp; Dev, Oxford Rd, Manchester M13 9PL, Greater Manches, England.</t>
  </si>
  <si>
    <t>philip.hughes@manchester.ac.uk</t>
  </si>
  <si>
    <t>Hughes, Philip/0000-0002-8284-0219</t>
  </si>
  <si>
    <t>Royal Geographical Society</t>
  </si>
  <si>
    <t>This research was funded by a Peter Fleming Award from the Royal Geographical Society (with IBG). I would like to thank Milovan Milivojevic of the Geographical Institute Jovan Cvijic, Serbian Academy of Sciences and Arts, Belgrade, for interesting and helpful discussion regarding the glaciers and geomorphology of the Prokletije. I would also like to thank Mark Meier, Roger Braithwaite, and anonymous reviewers for very helpful comments on a draft of this manuscript.</t>
  </si>
  <si>
    <t>10.1657/1938-4246-41.4.455</t>
  </si>
  <si>
    <t>WOS:000272503400006</t>
  </si>
  <si>
    <t>Kononov, YM; Friedrich, M; Boettger, T</t>
  </si>
  <si>
    <t>Kononov, Yu. M.; Friedrich, M.; Boettger, T.</t>
  </si>
  <si>
    <t>Regional Summer Temperature Reconstruction in the Khibiny Low Mountains (Kola Peninsula, NW Russia) by Means of Tree-ring Width during the Last Four Centuries</t>
  </si>
  <si>
    <t>NORTHERN-HEMISPHERE TEMPERATURES; PINUS-SYLVESTRIS; CLIMATE; CHRONOLOGY; RECORD; DENDROCLIMATOLOGY; VARIABILITY; IRRADIANCE; MILLENNIUM; RESOLUTION</t>
  </si>
  <si>
    <t>This study presents a new pine (Pinus sylvestris L.) ring-width chronology and a summer temperature reconstruction for the last 400 years from the Khibiny Low Mountains (Kola Peninsula, NW Russia). Pine trees from sites at the altitudinal timberline of Khibiny Mountains show pronounced climatic signals in tree-ring width. We found a strong positive correlation with summer temperature of July-August (r = 0.58). The reconstruction shows lower summer temperatures from A.D. 1630 to 1840, a subsequent warming up to the mid-20th century and a cooling trend afterwards. According to our data, a temperature increase is observed during the past decade. The good coherence of multi-decadal to secular trends of our reconstruction and series of observed solar activity indicate that solar activity may have been one major driving factor of past climate on Kola Peninsula.</t>
  </si>
  <si>
    <t>[Boettger, T.] UFZ Helmholtz Ctr Environm Res, Dept Isotope Hydrol, D-06120 Halle, Germany; [Kononov, Yu. M.] Russian Acad Sci, Inst Geog, Moscow 119017, Russia; [Friedrich, M.] Univ Hohenheim, Inst Bot 210, D-70593 Stuttgart, Germany; [Friedrich, M.] Heidelberg Acad Sci, D-69117 Heidelberg, Germany</t>
  </si>
  <si>
    <t>Helmholtz Association; Helmholtz Center for Environmental Research (UFZ); Institute of Geography, Russian Academy of Sciences; Russian Academy of Sciences; University Hohenheim</t>
  </si>
  <si>
    <t>Boettger, T (corresponding author), UFZ Helmholtz Ctr Environm Res, Dept Isotope Hydrol, Theodor Lieser Str 4, D-06120 Halle, Germany.</t>
  </si>
  <si>
    <t>tatjana.boettger@ufz.de</t>
  </si>
  <si>
    <t>Kononov, Yury/J-2916-2018</t>
  </si>
  <si>
    <t>Kononov, Yury/0000-0003-1900-6501; Friedrich, Michael/0000-0003-1614-0959</t>
  </si>
  <si>
    <t>EC [017008]; Saxon Ministry of Science and the Arts in Germany [4-7531.50-04-86006/1]; German Ministry of Education and Research [PROSIMUL-O1LD0002]</t>
  </si>
  <si>
    <t>EC(European Union (EU)European Commission Joint Research Centre); Saxon Ministry of Science and the Arts in Germany; German Ministry of Education and Research(Federal Ministry of Education &amp; Research (BMBF))</t>
  </si>
  <si>
    <t>This work was supported by EC integrated project MillenniUM (Contract No 017008; GOCE), the Saxon Ministry of Science and the Arts in Germany (Project-Nr. 4-7531.50-04-86006/1) and partly by German Ministry of Education and Research (BMBF, DEKLIM program, Project PROSIMUL-O1LD0002). Our special thanks go to the initiator of our Khibiny research and participant in field work, Dr. Konstantin Kremenetsky (University of California, Los Angeles). We would like to thank the heads of the scientific and the education station of Lomonossow Moscow State University (Russia) in Khibiny, Dr. S. K. Konyaev and V. N. Sapunov, for kind support and for field assistance. We thank Mauri Timonen, Finnish Forest Research Institute, Rovaniemi, Finland, for initial crosscheck with the Finnish pine chronology. We are grateful to the technical assistance of S. Remmele, S. Papenful3, and A. Trebing-Niyazi, Institute of Botany, Hohenheim University, for accurate tree-ring measurements. We thank Dr. Reiner Zimmermann, Hohenheirn University, for helpful comments and for improving the English. We are grateful to two anonymous reviewers and to the journal editors Brian Luckman and Bill Bowman for very helpful comments.</t>
  </si>
  <si>
    <t>10.1657/1938-4246-41.4.460</t>
  </si>
  <si>
    <t>WOS:000272503400007</t>
  </si>
  <si>
    <t>Ma, MJ; Du, GZ; Zhou, XH</t>
  </si>
  <si>
    <t>Ma, Miaojun; Du, Guozhen; Zhou, Xianhui</t>
  </si>
  <si>
    <t>Role of the Soil Seed Bank during Succession in a Subalpine Meadow on the Tibetan Plateau</t>
  </si>
  <si>
    <t>BURIED VIABLE SEEDS; CALCAREOUS GRASSLAND; STANDING VEGETATION; SPECIES COMPOSITION; SWISS ALPS; DYNAMICS; FIELD; RESTORATION; RAIN; SIZE</t>
  </si>
  <si>
    <t>We studied the seed bank of abandoned Fields in four Successional stages (habitat A: I year; habitat B: 10 years; habitat C: 20 years; and habitat D: mature meadow) in eastern Tibetan Plateau. The seed density in seed banks decreased with successional age, but species richness and diversity increased, and the highest species diversity and species richness appeared in habitat C. Similarity between the seed bank and vegetation decreased gradually with succession in the whole. The vegetation is more similar to the seed bank in the shallow layer than to the seed bank in the deeper soil, which shows that the vegetation contributes less to the seed batik as soil depth increases. The seed bank was mainly composed of First Successional species during the whole successional range. Species of the later successional stages contributed little to the seed batik. Most of species from early successional stage produced longer-lived seeds, which stayed viable in the soil for a long period (more than 20 years). Hypotheses about changes in seed bank during Succession, predicting decreasing species richness and seed diversity, were not confirmed. The hypothesis that density of buried seeds declined during Succession was confirmed. We conclude that seed bank plays an important role on vegetation in the early Succession stage. In the later Succession stages, seed bank's role becomes weaker and weaker, and which likely relies on vegetative reproduction and dispersal.</t>
  </si>
  <si>
    <t>[Ma, Miaojun; Du, Guozhen; Zhou, Xianhui] Lanzhou Univ, Minist Educ, Key Lab Arid &amp; Grassland Ecol, Lanzhou 730000, Peoples R China</t>
  </si>
  <si>
    <t>Lanzhou University</t>
  </si>
  <si>
    <t>Du, GZ (corresponding author), Lanzhou Univ, Minist Educ, Key Lab Arid &amp; Grassland Ecol, Lanzhou 730000, Peoples R China.</t>
  </si>
  <si>
    <t>mamjun04@lzu.cn; guozdu@lzu.edu.cn; zhouxianh@lzu.edu.cn</t>
  </si>
  <si>
    <t>zhou, xian/JYQ-9844-2024; Ma, Miaojun/E-1320-2012</t>
  </si>
  <si>
    <t>Ma, Miaojun/0000-0001-7046-9574</t>
  </si>
  <si>
    <t>National Natural Science Foundation of China [30470307]</t>
  </si>
  <si>
    <t>National Natural Science Foundation of China(National Natural Science Foundation of China (NSFC))</t>
  </si>
  <si>
    <t>We thank Dr. Xuelin Chen, Dr. YiFeng Wang, Dr. Wei Qi, Dr. Zhengwei Rcn, Dr. Hui Guo, Dr. Peng Jia, and Dr. Longchong Zhang at the Laboratory of Ecology for their help with identification of many seedlings and field assistance. We particularly thank Dr. Mary Leck and Dr. Pel Milberg for critically reviewing the initial draft of this manuscript and many constructive comments. The study was supported by the Key Project of the National Natural Science Foundation of China granted to Guozhen Du, No. 30470307.</t>
  </si>
  <si>
    <t>10.1657/1938-4246-41.4.999</t>
  </si>
  <si>
    <t>WOS:000272503400008</t>
  </si>
  <si>
    <t>Pajunen, AM</t>
  </si>
  <si>
    <t>Pajunen, Anu Marjukka</t>
  </si>
  <si>
    <t>Environmental and Biotic Determinants of Growth and Height of Arctic Willow Shrubs along a Latitudinal Gradient</t>
  </si>
  <si>
    <t>PLANT COMMUNITY RESPONSES; FOREST-TUNDRA; TREE GROWTH; PERMAFROST; VEGETATION; TEMPERATURE; CLIMATE; ALASKA; SNOW; PRODUCTIVITY</t>
  </si>
  <si>
    <t>Ecological factors determining the growth of arctic shrubs remain poorly understood, thereby obscuring the current predictions about climate change effects. I conducted a study on the Yamal Peninsula, West Siberia, to find out which factors determine the growth and height of upright willows (Sali.-V glauca and S. lanata). I sampled willow thickets at different slope positions at 13 sites along a 300-km-long north-south transect. The measurements included the height of willow shrubs and the length and diameter of shoots. The length and diameter of willow shoots increased southwards and with increasing distance from the sea. At the top of the slope and in areas with shallow thaw, the height and growth of willow were low compared to other slope positions and to areas with deep thaw. An increasing level of reindeer (Rangifer tarandus) grazing intensity was associated with decreased height and growth of willow and also associated with reduced foraging activity of willow grouse (Lagopus lagopus). The results show that even though increasing summer warmth is likely to enhance willow growth, there are other factors such as distance from the sea that also affect the growth and height of willow. The results suggest that reindeer grazing may locally counteract the effects of climate change.</t>
  </si>
  <si>
    <t>Univ Lapland, Arctic Ctr, FI-96101 Rovaniemi, Finland</t>
  </si>
  <si>
    <t>University of Lapland</t>
  </si>
  <si>
    <t>Pajunen, AM (corresponding author), Univ Lapland, Arctic Ctr, Box 122, FI-96101 Rovaniemi, Finland.</t>
  </si>
  <si>
    <t>anu.pajunen@oulu.fi</t>
  </si>
  <si>
    <t>10.1657/1938-4246-41.4.478</t>
  </si>
  <si>
    <t>WOS:000272503400009</t>
  </si>
  <si>
    <t>Pisaric, MFJ; St-Onge, SM; Kokelj, SV</t>
  </si>
  <si>
    <t>Pisaric, Michael F. J.; St-Onge, Sonia M.; Kokelj, Steven V.</t>
  </si>
  <si>
    <t>Tree-ring Reconstruction of Early-growing Season Precipitation from Yellowknife, Northwest Territories, Canada</t>
  </si>
  <si>
    <t>WHITE SPRUCE; DENDROCLIMATIC RECONSTRUCTION; RIVER FLOW; DROUGHT; TEMPERATURE; VARIABILITY; PACIFIC; ENSO; TELECONNECTIONS; OSCILLATION</t>
  </si>
  <si>
    <t>Twelve jack pine (Pinus banksiana) tree-ring chronologies were developed from sites on rock outcrops near Yellowknife, Northwest Territories, Canada. The average chronology length is approximately 180 years spanning the period 1825-2005. The longest extends to 1679, whereas the shortest covers the period 1936-2005. All of the site chronologies are significantly correlated with June, total May-July, June-July, and June-August precipitation, although relations with the single month of June are strongest. June precipitation was reconstructed using a regionally averaged tree-ring chronology. The reconstruction captures 42% of the variance in the instrumental climate record and based on Rbar and EPS statistics is considered robust from 1819 to 2005. Periods of lower June precipitation occurred in 1927-1979, 1880-1893, 1842-1865, 1801-1821, 1776-1796, and 1698-1739. Positive June precipitation anomalies are reconstructed for 1980-1995, 1890-1926, 1822-1841, 1756-1775, and 1687-1697. Throughout the period of reconstruction, there is strong multi-decadal agreement between June precipitation in Yellowknife and other dendrohydrological records from western North America and records of Pacific climate variability. This suggests that large-scale atmospheric patterns influenced by sea surface temperatures (SSTs) in the Pacific basin have controlled continental-scale precipitation patterns at decadal time scales in the Yellowknife region over the past three centuries or more.</t>
  </si>
  <si>
    <t>[Pisaric, Michael F. J.; St-Onge, Sonia M.] Carleton Univ, Dept Geog &amp; Environm Studies, Ottawa, ON K1S 5B6, Canada; [Kokelj, Steven V.] Dept Indian Affairs &amp; No Dev, Yellowknife, NT X1A 2R3, Canada</t>
  </si>
  <si>
    <t>Carleton University</t>
  </si>
  <si>
    <t>Pisaric, MFJ (corresponding author), Carleton Univ, Dept Geog &amp; Environm Studies, 1125 Colonel Dr, Ottawa, ON K1S 5B6, Canada.</t>
  </si>
  <si>
    <t>michael-pisaric@carleton.ca</t>
  </si>
  <si>
    <t>NSERC; Northern Scientific Training Program (NSTP); Indian and Northern Affairs Canada (INAC) through the Northern Water Research Studies Program (NWRSP)</t>
  </si>
  <si>
    <t>NSERC(Natural Sciences and Engineering Research Council of Canada (NSERC)); Northern Scientific Training Program (NSTP); Indian and Northern Affairs Canada (INAC) through the Northern Water Research Studies Program (NWRSP)</t>
  </si>
  <si>
    <t>This research was supported by an NSERC Discovery Grant to M. Pisaric and a Northern Scientific Training Program (NSTP) grant to S. St-Onge. The Aurora Research Institute graciously provided funding for field assistance. Additional support was also provided by Indian and Northern Affairs Canada (INAC) through the Northern Water Research Studies Program (NWRSP). Assistance in the field was provided by C. St-Oncge, N. Bastedo, M. Lacasse, Dr. Shi Qiang Ye and M. Palmer. M. Downey and J. Dorzinsky provided assistance with cross dating and measuring of samples in the laboratory. The thoughtful comments of Don Youngblut and Greg Pederson significantly improved this manuscript.</t>
  </si>
  <si>
    <t>10.1657/1938-4246-41.4.486</t>
  </si>
  <si>
    <t>WOS:000272503400010</t>
  </si>
  <si>
    <t>Porter, TJ; Pisaric, MFJ; Kokelj, SV; Edwards, TWD</t>
  </si>
  <si>
    <t>Porter, Trevor J.; Pisaric, Michael F. J.; Kokelj, Steven V.; Edwards, Thomas W. D.</t>
  </si>
  <si>
    <t>Climatic signals in δ13C and δ18O of Tree-rings from White Spruce in the Mackenzie Delta Region, Northern Canada</t>
  </si>
  <si>
    <t>OXYGEN-ISOTOPE RATIOS; NORTHWEST-TERRITORIES; STABLE-ISOTOPES; PAST MILLENNIUM; CELLULOSE; TEMPERATURE; PRECIPITATION; GROWTH; FORESTS; FINLAND</t>
  </si>
  <si>
    <t>Here we present the First tree-ring series (1850-2003) of stable carbon (delta C-13) and oxygen (delta O-18) isotope ratios from a high-latitude treeline site in northwestern Canada. Both delta C-13 and delta O-18 were measured at annual resolution from whole-ring-alpha-cellulose of three white spruce trees (Picea glauca [Moench] Voss) growing in the Mackenzie Delta. There is a strong positive association between delta C-13 and maximum summer temperatures. This relation likely results from the influence of temperature-induced drought stress on stomatal conductance. Mean summer relative humidity is also significantly correlated, inversely, with delta C-13 reflecting its direct influence on stomatal conductance. The delta O-18 record is strongly and positively correlated with early-spring to mid-summer minimum temperatures likely owing to the temperature dependence of delta O-18 in precipitation and uptake of this water during the growing season. Mean summer relative humidity is also significantly and inversely correlated with delta O-18 due to leaf water evaporative enrichment. Our delta C-13 and delta O-18 records contain a large amount of climate-driven variability indicating their considerable potential to infer past climate changes in the Mackenzie Delta region.</t>
  </si>
  <si>
    <t>[Porter, Trevor J.; Pisaric, Michael F. J.] Carleton Univ, Dept Geog &amp; Environm Studies, Ottawa, ON K1S 5B6, Canada; [Kokelj, Steven V.] Dept Indian Affairs &amp; No Dev, Yellowknife, NT X1A 2R3, Canada; [Edwards, Thomas W. D.] Univ Waterloo, Dept Earth &amp; Environm Sci, Waterloo, ON N2L 3G1, Canada</t>
  </si>
  <si>
    <t>Carleton University; University of Waterloo</t>
  </si>
  <si>
    <t>michael_pisaric@carleton.ca</t>
  </si>
  <si>
    <t>Pisaric, Michael/0000-0003-3806-8986; Porter, Trevor/0000-0002-5916-1998</t>
  </si>
  <si>
    <t>Indian and Northern Affairs Canada: Water Resources Division; Natural Sciences and Engineering Research Council of Canada (NSERC)</t>
  </si>
  <si>
    <t>Indian and Northern Affairs Canada: Water Resources Division; Natural Sciences and Engineering Research Council of Canada (NSERC)(Natural Sciences and Engineering Research Council of Canada (NSERC))</t>
  </si>
  <si>
    <t>Financial support was provided by Indian and Northern Affairs Canada: Water Resources Division and a Natural Sciences and Engineering Research Council of Canada (NSERC) Discovery Grant to Pisaric. Field and laboratory support from J. Bailey, R. Jenkins, P. Morse, and M. Palmer is gratefully acknowledged. We also thank M. Gagen, P. Sullivan, and One anonymous reviewer for their useful comments oil earlier versions of this paper.</t>
  </si>
  <si>
    <t>10.1657/1938-4246-41.4.497</t>
  </si>
  <si>
    <t>WOS:000272503400011</t>
  </si>
  <si>
    <t>Ryberg, M; Larsson, E; Molau, U</t>
  </si>
  <si>
    <t>Ryberg, Martin; Larsson, Ellen; Molau, Ulf</t>
  </si>
  <si>
    <t>Ectomycorrhizal Diversity on Dryas octopetala and Salix reticulata in an Alpine Cliff Ecosystem</t>
  </si>
  <si>
    <t>MOLECULAR-IDENTIFICATION; SEQUENCE DATA; FUNGI; COMMUNITIES; AGARICALES; SUCCESSION; INOCYBE; GENBANK; TAXA</t>
  </si>
  <si>
    <t>The ectomycorrhizal communities in alpine habitats have been relatively little studied. As global change is predicted to have a large impact in Arctic and alpine environments, it is important to document the fungi of these climatic regions to monitor changes and to understand upcoming successions. This study investigates the ectomycorrhizal community or Dryas octopetala and Salix reticulata on cliff ledges in a mid-alpine setting using the internal transcribed spacer region of nuclear ribosomal DNA for the identification of the fungal component of ectomycorrhizal root tips. It is shown that the community is relatively species rich, with 74 molecular operational taxonomic units (MOTUs)/species, and that it is dominated by Cenococcum geophilum, Thelephoraceae spp., Cortinarius spp., and Sebacinales spp. Furthermore, the dominating species have low specificity regarding the tested hosts and seem likely to be able to facilitate the succession of the alpine tundra to subalpine forest by serving as mycorrhizal partners for establishing pioneer trees.</t>
  </si>
  <si>
    <t>[Ryberg, Martin; Larsson, Ellen; Molau, Ulf] Univ Gothenburg, Dept Plant &amp; Environm Sci, S-40530 Gothenburg, Sweden</t>
  </si>
  <si>
    <t>University of Gothenburg</t>
  </si>
  <si>
    <t>Ryberg, M (corresponding author), Univ Tennessee, Dept Ecol &amp; Evolutionary Biol, Knoxville, TN 37996 USA.</t>
  </si>
  <si>
    <t>kryberg@utk.edu</t>
  </si>
  <si>
    <t>Ryberg, Martin/AHA-1804-2022</t>
  </si>
  <si>
    <t>Ryberg, Martin/0000-0002-6795-4349</t>
  </si>
  <si>
    <t>Helge Axson Johnsons foundation; Adlerbertska research foundation; Kapten Carl Stcnholms donationsfond; Research Council for Environmental, Agricultural Sciences and Spatial Planning (Formas)</t>
  </si>
  <si>
    <t>Helge Axson Johnsons foundation; Adlerbertska research foundation; Kapten Carl Stcnholms donationsfond; Research Council for Environmental, Agricultural Sciences and Spatial Planning (Formas)(Swedish Research Council Formas)</t>
  </si>
  <si>
    <t>Abisko Scientific Research Station and the Royal Swedish Academy of Sciences are gratefully acknowledged for hosting the field work. Financial support was received from the Helge Ax:son Johnsons foundation, the Adlerbertska research foundation, Kapten Carl Stcnholms donationsfond, and the Research Council for Environmental, Agricultural Sciences and Spatial Planning (Formas). We arc also grateful to Kare Liimatainen for help in inferring the identity of Telanionia sequences, Ursula Eberhardt and Henry Beker for help with the identity of the Hebelonia sequences, and to Henrik Nilsson and Josephine Rodriguez for providing input on the manuscript.</t>
  </si>
  <si>
    <t>10.1657/1938-4246-41.4.506</t>
  </si>
  <si>
    <t>WOS:000272503400012</t>
  </si>
  <si>
    <t>Yang, Y; Sun, H</t>
  </si>
  <si>
    <t>Yang, Yang; Sun, Hang</t>
  </si>
  <si>
    <t>The Bracts of Saussurea velutina (Asteraceae) Protect Inflorescences from Fluctuating Weather at High Elevations of the Hengduan Mountains, Southwestern China</t>
  </si>
  <si>
    <t>NOBILE HOOK-F; ECOLOGICAL SIGNIFICANCE; TRANSLUCENT BRACTS; GLASSHOUSE PLANT; ALPINE; POLYGONACEAE; POLLINATION; PUBESCENCE; FLOWERS; YUNNAN</t>
  </si>
  <si>
    <t>Several members of the subgenus Amphilaena (Saussurea; Asteraceae) growing at high elevations in the Himalayan region have semi-translucent bracts covering their inflorescences, the function of which is not fully understood. We investigated the thermal benefits of these bracts in Saussurea velutina in situ in the Hengduan Mountains, SW China, and compared the reflectance spectra and anatomical characters of bracts and rosette leaves in the laboratory. After removal of bracts in the field the average inflorescence daytime temperature was 2.5 degrees C colder than in control plants with intact bracts. Manually opened treatment inflorescences grew slower and set significantly fewer seeds than control inflorescences with bracts intact. The mesophyll of bracts is a single cell layer with a lower reflectance in the infrared range than rosette leaves. We show that the semi-translucent bracts in S. velutina function to ensure warmer temperatures for floral and seed development at high elevations in the Hengduan Mountains.</t>
  </si>
  <si>
    <t>[Yang, Yang; Sun, Hang] Chinese Acad Sci, Kunming Inst Bot, Key Lab Biodivers &amp; Biogeog, Yunnan 650204, Peoples R China; [Yang, Yang] Chinese Acad Sci, Grad Sch, Beijing 100039, Peoples R China</t>
  </si>
  <si>
    <t>Chinese Academy of Sciences; Kunming Institute of Botany, CAS; Chinese Academy of Sciences; University of Chinese Academy of Sciences, CAS</t>
  </si>
  <si>
    <t>Sun, H (corresponding author), Chinese Acad Sci, Kunming Inst Bot, Key Lab Biodivers &amp; Biogeog, 132 Lanhei Rd, Yunnan 650204, Peoples R China.</t>
  </si>
  <si>
    <t>hsun@mail.kib.ac.cn</t>
  </si>
  <si>
    <t>Yunnan Natural Science Foundation [2008CC013]; Natural Science Foundation of China [30625004, 40930209, 30900084]</t>
  </si>
  <si>
    <t>Yunnan Natural Science Foundation(Natural Science Foundation of Yunnan Province); Natural Science Foundation of China(National Natural Science Foundation of China (NSFC))</t>
  </si>
  <si>
    <t>This research was supported by Yunnan Natural Science Foundation (2008CC013) and Natural Science Foundation of China (30625004, 40930209 to Sun, 30900084 to Yang). We thank R. Turkington (Vancouver) and 1. Taylor (Vancouver) for their help in editing and improving the English of this manuscript. We are indebted to Ch. K6rner (Base]) who provided constructive suggestions for the improvement of this manuscript. P. Wookey (Stirling), W. D. Bowman (Boulder), and two anonymous reviewers are thanked for their helpful comments on our writing and the experimental design. We are also grateful to K. F. Cao and Y. J. Jiang (Xishuangbanna) for their help with the spectral characterization of'bracts and leaves, and to M. Yang (Kunming) for his help in assessing the anatomical characters of' bracts and leaves.</t>
  </si>
  <si>
    <t>10.1657/1938-4246-41.4.515</t>
  </si>
  <si>
    <t>WOS:000272503400013</t>
  </si>
  <si>
    <t>Préndez, M; Wachter, J; Vega, C; Flocchini, RG; Wakayabashi, P; Morales, JR</t>
  </si>
  <si>
    <t>Prendez, M.; Wachter, J.; Vega, C.; Flocchini, R. G.; Wakayabashi, P.; Morales, J. R.</t>
  </si>
  <si>
    <t>PM2.5 aerosols collected in the Antarctic Peninsula with a solar powered sampler during austral summer periods</t>
  </si>
  <si>
    <t>ATMOSPHERIC ENVIRONMENT</t>
  </si>
  <si>
    <t>Atmospheric aerosols; Antarctica; Non-sea sulfur; Solar powered aerosol sampler</t>
  </si>
  <si>
    <t>MARINE BOUNDARY-LAYER; SEA-SALT PARTICLES; TERRA-NOVA BAY; SULFATE AEROSOL; TRACE-METALS; STATION; ENRICHMENT; RELEASE; PM10</t>
  </si>
  <si>
    <t>Collection of PM2.5 particles was carried out in Antarctica in the summer periods of years 2006 and 2007 using solar panels to operate the sampling unit. The unit was installed 2.5 km from the B. O'Higgins Chilean base to avoid possible air contamination from oil or gas burning electric power stations. The aerosols were analyzed by XRF identifying twenty elements between Na and Sr. Results showed the presence of elements of typical Earth crust and seawater origins. In addition, considerable amounts of non-sea sulfur together with traces of Pb and Se from probable long distant anthropogenic activities were observed. (C) 2009 Elsevier Ltd. All rights reserved.</t>
  </si>
  <si>
    <t>[Prendez, M.; Vega, C.] Univ Chile, Fac Ciencias Quim &amp; Farmaceut, Dept Quim Organ &amp; Fis Quim, Santiago, Chile; [Wachter, J.; Morales, J. R.] Univ Chile, Fac Ciencias, Dept Fis, Santiago, Chile; [Flocchini, R. G.; Wakayabashi, P.] Univ Calif Davis, Crocker Nucl Lab, Davis, CA 95616 USA</t>
  </si>
  <si>
    <t>Universidad de Chile; Universidad de Chile; University of California System; University of California Davis</t>
  </si>
  <si>
    <t>Préndez, M (corresponding author), Univ Chile, Fac Ciencias Quim &amp; Farmaceut, Dept Quim Organ &amp; Fis Quim, Santiago, Chile.</t>
  </si>
  <si>
    <t>mprendez@ciq.uchile.cl</t>
  </si>
  <si>
    <t>Aerosols project; PIA Program; University of Chile; Antarctic Command of Chilean Army; [INACH 04/03]; [T02_07]</t>
  </si>
  <si>
    <t>Aerosols project; PIA Program; University of Chile; Antarctic Command of Chilean Army; ;</t>
  </si>
  <si>
    <t>The authors acknowledge the support of INACH 04/03 and T02_07 projects, the Aerosols project, PIA Program, University of Chile and the Antarctic Command of Chilean Army during sample collection.</t>
  </si>
  <si>
    <t>1352-2310</t>
  </si>
  <si>
    <t>ATMOS ENVIRON</t>
  </si>
  <si>
    <t>Atmos. Environ.</t>
  </si>
  <si>
    <t>10.1016/j.atmosenv.2009.07.030</t>
  </si>
  <si>
    <t>Environmental Sciences; Meteorology &amp; Atmospheric Sciences</t>
  </si>
  <si>
    <t>Environmental Sciences &amp; Ecology; Meteorology &amp; Atmospheric Sciences</t>
  </si>
  <si>
    <t>515AU</t>
  </si>
  <si>
    <t>WOS:000271439400016</t>
  </si>
  <si>
    <t>Clark, MS; Peck, LS</t>
  </si>
  <si>
    <t>Clark, Melody S.; Peck, Lloyd S.</t>
  </si>
  <si>
    <t>Triggers of the HSP70 stress response: environmental responses and laboratory manipulation in an Antarctic marine invertebrate (Nacella concinna)</t>
  </si>
  <si>
    <t>CELL STRESS &amp; CHAPERONES</t>
  </si>
  <si>
    <t>Environmental change; Chronic stress; Acute stress; Inter-tidal; Macrophysiology</t>
  </si>
  <si>
    <t>HEAT-SHOCK RESPONSE; GENE-EXPRESSION; PROTEIN EXPRESSION; MYTILUS-CALIFORNIANUS; LIMPET; STREBEL; TEMPERATURE; GROWTH; METABOLISM; TOLERANCE</t>
  </si>
  <si>
    <t>The Antarctic limpet, Nacella concinna, exhibits the classical heat shock response, with up-regulation of duplicated forms of the inducible heat shock protein 70 (HSP70) gene in response to experimental manipulation of seawater temperatures. However, this response only occurs in the laboratory at temperatures well in excess of any experienced in the field. Subsequent environmental sampling of inter-tidal animals also showed up-regulation of these genes, but at temperature thresholds much lower than those required to elicit a response in the laboratory. It was hypothesised that this was a reflection of the complexity of the stresses encountered in the inter-tidal region. Here, we describe a further series of experiments comprising both laboratory manipulation and environmental sampling of N. concinna. We investigate the expression of HSP70 gene family members (HSP70A, HSP70B, GRP78 and HSC70) in response to a further suite of environmental stressors: seasonal and experimental cold, freshwater, desiccation, chronic heat and periodic emersion. Lowered temperatures (-1.9A degrees C and -1.6A degrees C), generally produced a down-regulation of all HSP70 family members, with some up-regulation of HSC70 when emerging from the winter period and increasing sea temperatures. There was no significant response to freshwater immersion. In response to acute and chronic heat treatments plus simulated tidal cycles, the data showed a clear pattern. HSP70A showed a strong but very short-term response to heat whilst the duplicated HSP70B also showed heat to be a trigger, but had a more sustained response to complex stresses. GRP78 expression indicates that it was acting as a generalised stress response under the experimental conditions described here. HSC70 was the major chaperone invoked in response to long-term stresses of varying types. These results provide intriguing clues not only to the complexity of HSP70 gene expression in response to environmental change but also insights into the stress response of a non-model species.</t>
  </si>
  <si>
    <t>[Clark, Melody S.; Peck, Lloyd S.] British Antarctic Survey, NERC, Div Biol Sci, Cambridge CB3 0ET, England</t>
  </si>
  <si>
    <t>Clark, MS (corresponding author), British Antarctic Survey, NERC, Div Biol Sci, High Cross,Madingley Rd, Cambridge CB3 0ET, England.</t>
  </si>
  <si>
    <t>mscl@bas.ac.uk</t>
  </si>
  <si>
    <t>Clark, Melody/D-7371-2014</t>
  </si>
  <si>
    <t>Clark, Melody/0000-0002-3442-3824</t>
  </si>
  <si>
    <t>NERC [dml011000, bas010015] Funding Source: UKRI; Natural Environment Research Council [dml011000, bas010015] Funding Source: researchfish</t>
  </si>
  <si>
    <t>1355-8145</t>
  </si>
  <si>
    <t>1466-1268</t>
  </si>
  <si>
    <t>CELL STRESS CHAPERON</t>
  </si>
  <si>
    <t>Cell Stress Chaperones</t>
  </si>
  <si>
    <t>10.1007/s12192-009-0117-x</t>
  </si>
  <si>
    <t>Cell Biology</t>
  </si>
  <si>
    <t>516FQ</t>
  </si>
  <si>
    <t>WOS:000271527800010</t>
  </si>
  <si>
    <t>Bai, YY; Guan, ZY; Zhang, Y</t>
  </si>
  <si>
    <t>Bai Ying-Ying; Guan Zhao-Yong; Zhang Yan</t>
  </si>
  <si>
    <t>Vertical structure of zonal-mean circulation anomalies in the Southern Hemisphere in austral summer and its relationship with AAO and ENSO</t>
  </si>
  <si>
    <t>Austral summer; Zonal-mean; AAO; ENSO</t>
  </si>
  <si>
    <t>VARIABILITY; FREQUENCY; RAINFALL</t>
  </si>
  <si>
    <t>The NCEP/NCAR reanalysis data have been employed to diagnose variations of the zonal-mean zonal flow in the Southern Hemisphere in austral summer. Only is one leading EOF mode (EOF1) found to dominate the spatial and temporal changes of the austral summertime (12 similar to 2 month) zonal-mean zonal winds in the troposphere. Variations of [u] as shown by EOF1 is found to be relate to AAO and ENSO. In order to further understand the influences of AAO and ENSO on the Southern zonal-mean zonal flow, we have performed the EOF analysis for the zonal mean zonal wind anomalies after the Nino3 signals has been removed from the wind anomalies using the regression method, by which the leading EOF mode (AEOF1) yields. This EOF1 is statistically independent of ENSO. However, the AEOF1 displays a structure of the zonal-mean zonal flow that closely relates to Antarctic Oscillation (AAO). To examine the ENSO related component in zonal flow, the EOF analysis has been performed for the Southern zonal-mean flow from which the AEOF1 has been removed. The new leading EOF mode (SEOF1) has hence been obtained,: which is highly correlated with Nino3 index (correlation coefficient: 0. 9). The SEOF1 shown that the eastlies in the tropics and the westlies in middle latitudes be weakened (strengthened) in the Southern Hemisphere during the El Nino (La Nina) years. Interestingly, the long term trend is observed in the leading mode of the zonal mean zonal flow, showing that the westlies over polar and subtropical regions had been weakening during the past 30 years. However, the westlies oven subpolar regions and eastlies in tropical regions had been simultaneously strengthening during, the same period of time.</t>
  </si>
  <si>
    <t>[Bai Ying-Ying] Chongqing Inst Meterol Sci, Chongqing 401147, Peoples R China; [Bai Ying-Ying; Guan Zhao-Yong] Nanjing Univ Informat Sci &amp; Technol, Inst Atmospher Sci, Nanjing 210044, Peoples R China; [Zhang Yan] Chongqing Meteorol Off, Chongqing 401147, Peoples R China</t>
  </si>
  <si>
    <t>Nanjing University of Information Science &amp; Technology</t>
  </si>
  <si>
    <t>Bai, YY (corresponding author), Chongqing Inst Meterol Sci, Chongqing 401147, Peoples R China.</t>
  </si>
  <si>
    <t>byying113@126.com; guanzy@nuist.edu.cn</t>
  </si>
  <si>
    <t>bai, ying/HPG-4797-2023; Bai, Yingjie/JTD-1837-2023</t>
  </si>
  <si>
    <t>10.3969/j.issn.0001-5733.2009.11.002</t>
  </si>
  <si>
    <t>526WA</t>
  </si>
  <si>
    <t>WOS:000272324900002</t>
  </si>
  <si>
    <t>Park, H; Ahn, IY; Kim, H; Lee, J; Shin, SC</t>
  </si>
  <si>
    <t>Park, Hyun; Ahn, In-Young; Kim, Hakjun; Lee, Jiyeon; Shin, Seung Chul</t>
  </si>
  <si>
    <t>Glutathione S-transferase as a biomarker in the Antarctic bivalve Laternula elliptica after exposure to the polychlorinated biphenyl mixture Aroclor 1254</t>
  </si>
  <si>
    <t>COMPARATIVE BIOCHEMISTRY AND PHYSIOLOGY C-TOXICOLOGY &amp; PHARMACOLOGY</t>
  </si>
  <si>
    <t>Antarctic; Laternula elliptica; Glutathione S-transferases; Induction; Polychlorinated biphenyls</t>
  </si>
  <si>
    <t>GENE-EXPRESSION; MYTILUS-GALLOPROVINCIALIS; PI-CLASS; CLONING; CLASSIFICATION; IDENTIFICATION; PESTICIDES; POLLUTION; EVOLUTION; PROTEINS</t>
  </si>
  <si>
    <t>Glutathione S-transferases (GSTs) are a family of multifunctional enzymes involved in cellular detoxification that catalyze the attachment of electrophilic substrates to glutathione. Two classes of GSTs related to the rho and sigma classes of enzymes in Antarctic bivalves have been cloned from Laternula elliptica. The full-length cDNA of rho class GST (leGSTr) is 1530 by in length and contains an open reading frame (ORF) of 672 by encoding 223 amino acid residues. The deduced amino acid sequences of this gene have 41% and 40% identity to rho class GSTs from Ctenopharyngodon idella and Pleuronectes platessa, respectively. The sigma class GST (leGSTs) cDNA, however, is 1127 by in length and contains an ORF of 696 by encoding 231 amino acid residues. The deduced amino acid sequences share only 22% identity with sigma class GST from Xenopus laevis. The transcriptional expression of leGSTr, leGSTs, and leGSTp cloned in our previous study were examined using real-time polymerase chain reaction in response to exposure to a polychlorinated biphenyl (PCB) mixture. The expressions of these three GST transcripts were rapidly upregulated, although they showed different expression levels and patterns within each isoform. Moreover, leGSTs was the most upregulated in the gill and digestive gland in response to PCB exposure. The recombinant GSTs were highly expressed in transformed Escherichia coli, and their kinetic properties were studied with various substrates. As a result, the three classes of GSTs were found to have diverse biological functions and were responsible for different enzymatic features. (C) 2009 Elsevier wInc. All rights reserved.</t>
  </si>
  <si>
    <t>[Park, Hyun; Ahn, In-Young; Kim, Hakjun; Lee, Jiyeon] Korea Polar Res Inst, Inchon 406840, South Korea; [Lee, Jiyeon] Korea Univ, Coll Life Sci &amp; Biotechnol, Seoul 136701, South Korea; [Shin, Seung Chul] Yonsei Univ, Brain Korea Project Med Sci 21, Seoul 120752, South Korea</t>
  </si>
  <si>
    <t>Korea Polar Research Institute (KOPRI); Korea Institute of Ocean Science &amp; Technology (KIOST); Korea University; Yonsei University</t>
  </si>
  <si>
    <t>Park, H (corresponding author), Korea Polar Res Inst, Songdo Dong 7-50, Inchon 406840, South Korea.</t>
  </si>
  <si>
    <t>hpark@kopri.re.kr</t>
  </si>
  <si>
    <t>Park, Hyun/0000-0002-8055-2010</t>
  </si>
  <si>
    <t>Korea Polar Research Institute (KOPRI) [(PE09040]</t>
  </si>
  <si>
    <t>This study was supported by studies on polar organisms and ecosystem changes grant (PE09040) funded by the Korea Polar Research Institute (KOPRI).</t>
  </si>
  <si>
    <t>1532-0456</t>
  </si>
  <si>
    <t>1878-1659</t>
  </si>
  <si>
    <t>COMP BIOCHEM PHYS C</t>
  </si>
  <si>
    <t>Comp. Biochem. Physiol. C-Toxicol. Pharmacol.</t>
  </si>
  <si>
    <t>10.1016/j.cbpc.2009.07.008</t>
  </si>
  <si>
    <t>Biochemistry &amp; Molecular Biology; Endocrinology &amp; Metabolism; Toxicology; Zoology</t>
  </si>
  <si>
    <t>506IF</t>
  </si>
  <si>
    <t>WOS:000270767800015</t>
  </si>
  <si>
    <t>Léveillé, R</t>
  </si>
  <si>
    <t>Leveille, Richard</t>
  </si>
  <si>
    <t>Validation of astrobiology technologies and instrument operations in terrestrial analogue environments</t>
  </si>
  <si>
    <t>COMPTES RENDUS PALEVOL</t>
  </si>
  <si>
    <t>Analogue environments; Planetary exploration; Missions; Life detection; Mars; Astrobiology</t>
  </si>
  <si>
    <t>HAUGHTON IMPACT STRUCTURE; ANTARCTIC DRY VALLEYS; MARS; LIFE; EXPLORATION; WATER; COMMUNITIES; SYSTEMS; SEARCH; ROCKS</t>
  </si>
  <si>
    <t>Terrestrial analogue environments are places on Earth that present geological or environmental conditions that are similar to those found on an extraterrestrial body. Analogue environments serve four functions: (1) learn about planetary processes on Earth and elsewhere; (2) test technologies, methodologies, and protocols; (3) train highly-qualified personnel, as well as science and operations teams; (4) engage the public, space agencies, media, and educators. Analogue studies also enable the development and validation of biosignatures and detection techniques. Analogue programs include the Canadian Space Agency's Canadian Analogue Research Network, NASA's Astrobiology Science and Technology for Exploring Planets, and NASA's Analog Missions. Examples of technology and instrument testing and validation in analogue environments include the Haughton-Mars Project Research Station, the Arctic Mars Analog Svalbard Expedition (AMASE), the Rio Tinto basin, and NASA's Field Integrated Design and Operations (FIDO). To cite this article: R. Leveille, C. R. Palevol 8 (2009). (C) 2009 Academic des sciences. Published by Elsevier Masson SAS. All rights reserved.</t>
  </si>
  <si>
    <t>Canadian Space Agcy, St Hubert, PQ J3Y 8Y9, Canada</t>
  </si>
  <si>
    <t>Canadian Space Agency</t>
  </si>
  <si>
    <t>Léveillé, R (corresponding author), Canadian Space Agcy, 6767,Route Aeroport, St Hubert, PQ J3Y 8Y9, Canada.</t>
  </si>
  <si>
    <t>richard.leveille@asc-csa.gc.ca</t>
  </si>
  <si>
    <t>ELSEVIER FRANCE-EDITIONS SCIENTIFIQUES MEDICALES ELSEVIER</t>
  </si>
  <si>
    <t>ISSY-LES-MOULINEAUX</t>
  </si>
  <si>
    <t>65 RUE CAMILLE DESMOULINS, CS50083, 92442 ISSY-LES-MOULINEAUX, FRANCE</t>
  </si>
  <si>
    <t>1631-0683</t>
  </si>
  <si>
    <t>1777-571X</t>
  </si>
  <si>
    <t>CR PALEVOL</t>
  </si>
  <si>
    <t>C. R. Palevol</t>
  </si>
  <si>
    <t>10.1016/j.crpv.2009.03.005</t>
  </si>
  <si>
    <t>539QI</t>
  </si>
  <si>
    <t>WOS:000273271900005</t>
  </si>
  <si>
    <t>Zidarova, R; Van de Vijver, B; Mataloni, G; Kopalová, K; Nedbalová, L</t>
  </si>
  <si>
    <t>Zidarova, Ralitsa; Van de Vijver, Bart; Mataloni, Gabriela; Kopalova, Katerina; Nedbalova, Linda</t>
  </si>
  <si>
    <t>Four new freshwater diatom species (Bacillariophyceae) from Antarctica</t>
  </si>
  <si>
    <t>CRYPTOGAMIE ALGOLOGIE</t>
  </si>
  <si>
    <t>Antarctica; diatoms; James Ross Island; new species; South Georgia; South Shetland Islands</t>
  </si>
  <si>
    <t>JAMES-ROSS-ISLAND; SP NOV.; PENINSULA</t>
  </si>
  <si>
    <t>Four new diatom species belonging to the genera Achnanthidium, Placoneis, Geissleria and Stauroneis were observed during a survey of the non-marine diatom flora of several islands in the Maritime Antarctica and South Georgia. Based oil light- and scanning electron microscopical observations, the following species are described as new: Achnanthidium lailae Van de Vijver sp. nov., Placoneis australis Van de Vijver et Zidarova sp. nov., Geissleria gabrielae Van de Vijver et Zidarova sp. nov. and Stauroneis nikolayi Zidarova sp. nov. The new species are compared to other morphologically similar species from Europe, South America and the (sub-)Antarctic region. Data oil their ecology and biogeoaraphy are also given.</t>
  </si>
  <si>
    <t>[Van de Vijver, Bart] Natl Bot Garden Belgium, Dept Bryophyta &amp; Thallophyta, B-1860 Meise, Belgium; [Zidarova, Ralitsa] BASc, Cent Lab Gen Ecol, Sofia 1113, Bulgaria; [Mataloni, Gabriela] UBA Pab 2, Fac Cs Exactas &amp; Nat, Depto Ecol Genet &amp; Evoluc, Lab Limnol, Buenos Aires, DF, Argentina; [Kopalova, Katerina; Nedbalova, Linda] Charles Univ Prague, Fac Sci, Dept Ecol, CR-12844 Prague 2, Czech Republic; [Nedbalova, Linda] Acad Sci Czech Republ, Inst Bot, Sect Plant Ecol, CS-37982 Trebon, Czech Republic</t>
  </si>
  <si>
    <t>Bulgarian Academy of Sciences; Charles University Prague; Czech Academy of Sciences; Institute of Botany of the Czech Academy of Sciences</t>
  </si>
  <si>
    <t>Van de Vijver, B (corresponding author), Natl Bot Garden Belgium, Dept Bryophyta &amp; Thallophyta, B-1860 Meise, Belgium.</t>
  </si>
  <si>
    <t>vandevijver@br.fgov.be</t>
  </si>
  <si>
    <t>Zidarova, Ralitsa/I-3793-2017; Kopalová, Kateřina/H-1598-2014; Nedbalová, Linda/AAF-1001-2022; Nedbalová, Linda/AFF-8321-2022; Kopalova, Katerina/M-6207-2017</t>
  </si>
  <si>
    <t>Nedbalová, Linda/0000-0003-1800-714X; Nedbalová, Linda/0000-0003-1800-714X; Kopalova, Katerina/0000-0002-7905-4268; Mataloni, Gabriela/0000-0002-6852-6143; Zidarova, Ralitsa/0000-0002-6451-0099</t>
  </si>
  <si>
    <t>SYNTHESYS [MSMT 0021620828]</t>
  </si>
  <si>
    <t>SYNTHESYS</t>
  </si>
  <si>
    <t>We are grateful to Dr. Roumiana Metcheva (Institute of Zoology, BASc) who collected the sample containing Stauroneis nikolayi, and to Dr. Rayna Natcheva (Institute of Botany, BASc) for the collection of the sample with Placoneis australis. This study was made possible with the financial support of SYNTHESYS and partly the MSMT 0021620828 project.</t>
  </si>
  <si>
    <t>ADAC-CRYPTOGAMIE</t>
  </si>
  <si>
    <t>PARIS</t>
  </si>
  <si>
    <t>12 RUE DE BUFFON, 75005 PARIS, FRANCE</t>
  </si>
  <si>
    <t>0181-1568</t>
  </si>
  <si>
    <t>1776-0984</t>
  </si>
  <si>
    <t>CRYPTOGAMIE ALGOL</t>
  </si>
  <si>
    <t>Cryptogam. Algol.</t>
  </si>
  <si>
    <t>532IL</t>
  </si>
  <si>
    <t>WOS:000272740400002</t>
  </si>
  <si>
    <t>López, NI; Pettinari, MJ; Stackebrandt, E; Tribelli, PM; Potter, M; Steinbüchel, A; Méndez, BS</t>
  </si>
  <si>
    <t>Lopez, Nancy I.; Julia Pettinari, M.; Stackebrandt, Erko; Tribelli, Paula M.; Potter, Markus; Steinbuechel, Alexander; Mendez, Beatriz S.</t>
  </si>
  <si>
    <t>Pseudomonas extremaustralis sp nov., a Poly(3-hydroxybutyrate) Producer Isolated from an Antarctic Environment</t>
  </si>
  <si>
    <t>CURRENT MICROBIOLOGY</t>
  </si>
  <si>
    <t>POLY-BETA-HYDROXYBUTYRATE; FLUORESCENT PSEUDOMONADS; RENATURATION RATES; SEQUENCE ALIGNMENT; DNA HYBRIDIZATION; ACID; BACTERIUM; GENE</t>
  </si>
  <si>
    <t>A Gram-negative, mobile, rod-shaped, non-spore-forming bacterium (strain 14-3(T)) was isolated from a temporary pond in Antarctica. On the basis of 16S rRNA gene sequence similarity, strain 14-3(T) was shown to belong to the genus Pseudomonas sensu stricto. Physiological and biochemical tests supported the phylogenetic affiliation. Strain 14-3(T) is closely related to Pseudomonas veronii DSM 11331(T), sharing 99.7% sequence similarity. DNA-DNA hybridization experiments between the two strains showed only moderate reassociation similarity (35.1%). Tests for arginine dihydrolase and nitrate reduction were positive, while those for denitrification, indol production, glucose acidification, urease, beta-galactosidase, esculin, caseine and gelatin hydrolysis were negative. Growth of this bacterium occurred in a range from 4 to 37 degrees C but not at 42 degrees C. It accumulated poly(3-hydroxybutyrate) when grown on sodium octanoate medium. Strain 14-3(T) therefore represents the type strain of a new species, for which the name Pseudomonas extremaustralis sp. nov. is proposed. The type strain 14-3(T) has been deposited as DSM 17835 T and as CIP 109839(T).</t>
  </si>
  <si>
    <t>[Lopez, Nancy I.; Julia Pettinari, M.; Tribelli, Paula M.; Mendez, Beatriz S.] Univ Buenos Aires, Fac Ciencias Exactas &amp; Nat, Dpto Qca Biol, Buenos Aires, DF, Argentina; [Stackebrandt, Erko] Deutsch Sammlung Mikroorganism Zellkultur GmbH, Braunschweig, Germany; [Potter, Markus; Steinbuechel, Alexander] Univ Munster, Inst Mol Mikrobiol &amp; Biotechnol, Munster, Germany</t>
  </si>
  <si>
    <t>University of Buenos Aires; Leibniz Institut fur Deutsche Sammlung von Mikroorganismen und Zellkulturen (DSMZ); University of Munster</t>
  </si>
  <si>
    <t>López, NI (corresponding author), Univ Buenos Aires, Fac Ciencias Exactas &amp; Nat, Dpto Qca Biol, Buenos Aires, DF, Argentina.</t>
  </si>
  <si>
    <t>nan@qb.fcen.uba.ar</t>
  </si>
  <si>
    <t>Pettinari, M. Julia/B-7404-2011</t>
  </si>
  <si>
    <t>Tribelli, Paula Maria/0000-0001-9558-6275; Stackebrandt, Erko/0000-0002-6130-760X; Pettinari, Julia/0000-0002-6130-4740; Lopez, Nancy/0000-0002-2966-3014</t>
  </si>
  <si>
    <t>UBA; CONICET</t>
  </si>
  <si>
    <t>UBA(University of Buenos Aires); CONICET(Consejo Nacional de Investigaciones Cientificas y Tecnicas (CONICET))</t>
  </si>
  <si>
    <t>We thank Dr. Ruben Quintana for collecting Antarctic samples, Sandra Kohaus for technical assistance and Frank Reinecke for help during phylogenetic tree analysis. This work was supported by grants from UBA and CONICET. M.J.P., N.I.L. and B. S. M. are career investigators from CONICET. P. M. T. has a graduate student fellowship from CONICET.</t>
  </si>
  <si>
    <t>0343-8651</t>
  </si>
  <si>
    <t>1432-0991</t>
  </si>
  <si>
    <t>CURR MICROBIOL</t>
  </si>
  <si>
    <t>Curr. Microbiol.</t>
  </si>
  <si>
    <t>10.1007/s00284-009-9469-9</t>
  </si>
  <si>
    <t>505DF</t>
  </si>
  <si>
    <t>WOS:000270668200005</t>
  </si>
  <si>
    <t>Srinivas, TNR; Rao, SSSN; Reddy, PVV; Pratibha, MS; Sailaja, B; Kavya, B; Kishore, KH; Begum, Z; Singh, SM; Shivaji, S</t>
  </si>
  <si>
    <t>Srinivas, T. N. R.; Rao, S. S. S. Nageswara; Reddy, P. Vishnu Vardhan; Pratibha, M. S.; Sailaja, B.; Kavya, B.; Kishore, K. Hara; Begum, Z.; Singh, S. M.; Shivaji, S.</t>
  </si>
  <si>
    <t>Bacterial Diversity and Bioprospecting for Cold-Active Lipases, Amylases and Proteases, from Culturable Bacteria of Kongsfjorden and Ny-Alesund, Svalbard, Arctic</t>
  </si>
  <si>
    <t>MICROCOCCUS-ROSEUS STRAIN; MAJOR CAROTENOID PIGMENT; SP-NOV.; SEDIMENTS SVALBARD; MARINE-SEDIMENTS; PSYCHROTOLERANT; ADAPTATION; STRATEGIES; MEMBRANES; ECOSYSTEM</t>
  </si>
  <si>
    <t>Culturable bacterial diversity of seven marine sediment samples of Kongsfjorden and a sediment and a soil sample from Ny-Alesund, Svalbard, Arctic was studied. The bacterial abundance in the marine sediments of Kongsfjorden varied marginally (0.5 x 10(3)-1.3 x 10(4) cfu/g sediment) and the bacterial number in the two samples collected from the shore of Ny-Alesund also was very similar (0.6 x 10(4) and 3.4 x 10(4), respectively). From the nine samples a total of 103 bacterial isolates were obtained and these isolates could be grouped in to 47 phylotypes based on the 16S rRNA gene sequence belonging to 4 phyla namely Actinobacteria, Bacilli, Bacteroidetes and Proteobacteria. Representatives of the 47 phylotypes varied in their growth temperature range (4-37 degrees C), in their tolerance to NaCl (0.3-2 M NaCl) and growth pH range (2-11). Representatives of 26 phylotypes exhibited amylase and lipase activity either at 5 or 20 degrees C or at both the temperatures. A few of the representatives exhibited amylase and/or lipase activity only at 5 degrees C. None of the phylotypes exhibited protease activity. Most of the phylotypes (38) were pigmented. Fatty acid profile studies indicated that short chain fatty acids, unsaturated fatty acids, branched fatty acids, the cyclic and the cis fatty acids are predominant in the psychrophilic bacteria.</t>
  </si>
  <si>
    <t>[Srinivas, T. N. R.; Rao, S. S. S. Nageswara; Reddy, P. Vishnu Vardhan; Pratibha, M. S.; Sailaja, B.; Kavya, B.; Kishore, K. Hara; Begum, Z.; Shivaji, S.] Ctr Cellular &amp; Mol Biol, Hyderabad 500007, Andhra Pradesh, India; [Singh, S. M.] Natl Ctr Antarctic &amp; Ocean Res, Vasco Da Gama, Goa, India</t>
  </si>
  <si>
    <t>Council of Scientific &amp; Industrial Research (CSIR) - India; CSIR - Centre for Cellular &amp; Molecular Biology (CCMB); Ministry of Earth Sciences (MoES) - India; National Centre for Polar and Ocean Research (NCPOR)</t>
  </si>
  <si>
    <t>Shivaji, S (corresponding author), Ctr Cellular &amp; Mol Biol, Uppal Rd, Hyderabad 500007, Andhra Pradesh, India.</t>
  </si>
  <si>
    <t>msriv@ccmb.res.in; shivagenetech@gmail.com; pvishnu@ccmb.res.in; msprati@ccmb.res.in; bsailaja@ccmb.res.in; nature_kavya@yahoo.com; hara_kishore@yahoo.co.in; zareena@ccmb.res.in; drsmsingh@yahoo.com; shivas@ccmb.res.in</t>
  </si>
  <si>
    <t>TANUKU, SRINIVAS N R/F-1029-2013</t>
  </si>
  <si>
    <t>shivaji, sisinthy/0000-0003-0376-4658</t>
  </si>
  <si>
    <t>Department of Biotechnology and Council of Scientific and Industrial Research, Government of India; NCAOR; Ministry of Earth Sciences, Government of India</t>
  </si>
  <si>
    <t>Department of Biotechnology and Council of Scientific and Industrial Research, Government of India(Council of Scientific &amp; Industrial Research (CSIR) - IndiaDepartment of Biotechnology (DBT) India); NCAOR; Ministry of Earth Sciences, Government of India(Ministry of Earth Science (MoES), Government of India)</t>
  </si>
  <si>
    <t>We would like to thank the Department of Biotechnology and Council of Scientific and Industrial Research, Government of India for financial support to SS. SS would also like to thank NCAOR and Ministry of Earth Sciences, Government of India, for providing the financial and logistic support for the trip to Arctic.</t>
  </si>
  <si>
    <t>10.1007/s00284-009-9473-0</t>
  </si>
  <si>
    <t>WOS:000270668200009</t>
  </si>
  <si>
    <t>Núñez-Riboni, I; Fahrbach, E</t>
  </si>
  <si>
    <t>Nunez-Riboni, Ismael; Fahrbach, Eberhard</t>
  </si>
  <si>
    <t>Seasonal variability of the Antarctic Coastal Current and its driving mechanisms in the Weddell Sea</t>
  </si>
  <si>
    <t>Seasonal variability; Time series; Antarctic Coastal Current; Driving mechanisms; Harmonic analysis</t>
  </si>
  <si>
    <t>BOTTOM WATER FORMATION; PART I; ZONE; DEEP</t>
  </si>
  <si>
    <t>Insight into the dynamics of the Antarctic Coastal Current (ACoC) is achieved by quantifying the contributions of its driving mechanisms to the seasonal variability of its barotropic and baroclinic components. These mechanisms are sought out in the local wind, the sea-ice concentration, wind curl of the Weddell Gyre (Sverdrup transport) and the thermohaline forcing related to warming/cooling and ice melting and freezing. These driving mechanisms induce most of the seasonal variability of both the barotropic and baroclinic components of the ACoC by deepening the pycnocline towards the coast and sharpening the baroclinic profile following thermal wind balance. The resulting coastal current has mainly a barotropic transport (82%) and a major annual cycle, which explains 37% of this component's variability (tides and other high-frequency events generate 40%). The wind contributes with 58% of the seasonal variability of the barotropic component and 23% of the baroclinic; the sea-ice concentration contributes with 8% and 18%, respectively; Sverdrup transport with 4% and 30% and the thermohaline forcing with 30% and 29%. The results of this study are obtained with analysis of fifteen CTD sections (potential density and geostrophic velocities) of RV-Polarstern obtained between 1992 and 2005, as well as composite, spectral and harmonic analyses of 9 years of time series from moored instruments (current speed and temperature), wind speed, atmospheric pressure and sea-ice concentration of satellite imagery. (C) 2009 Elsevier Ltd. All rights reserved.</t>
  </si>
  <si>
    <t>[Nunez-Riboni, Ismael; Fahrbach, Eberhard] Alfred Wegener Inst Polar &amp; Marine Res, D-27570 Bremerhaven, Germany</t>
  </si>
  <si>
    <t>Núñez-Riboni, I (corresponding author), Max Planck Inst Meteorol, Bundesstr 53, D-20146 Hamburg, Germany.</t>
  </si>
  <si>
    <t>ismael.nunez-riboni@zmaw.de</t>
  </si>
  <si>
    <t>Nunez-Riboni, Ismael/HGB-9167-2022</t>
  </si>
  <si>
    <t>Deutsche Forschungsgemeinschaft (DFG) [FA 436/1-3]</t>
  </si>
  <si>
    <t>Deutsche Forschungsgemeinschaft (DFG)(German Research Foundation (DFG))</t>
  </si>
  <si>
    <t>The kind cooperation of various AWI colleagues is highly appreciated: Gerd Rohardt, Olaf Klatt, Dmitry Sidorenko, Gert Konig-Langlo, Ulrike Wacker, Wolfgang Dierking, Christof Lupkens, Harmut Hellmer, Malte Thoma, Boris Cisewski, Rudiger Gerdes, Daniel Steinhage and Anna Akimova. Discussions with Angelika Humbert (from Technische Universitat Darmstadt) were very helpful. The ECMWF wind data were obtained by the Alfred Wegener Institute (Wolfgang Cohrs), while the ERA40 reanalysis data have been obtained from the ECMWF data server (http://data.ecmwf.int/data/). The authors thank the Deutsche Forschungsgemeinschaft (DFG) for the provided Grant (FA 436/1-3), the officers, crew and members of the mooring and CTD groups of RV-Polarstern, as well as three anonymous reviewers whose comments improved this paper substantially.</t>
  </si>
  <si>
    <t>10.1016/j.dsr.2009.06.005</t>
  </si>
  <si>
    <t>518IA</t>
  </si>
  <si>
    <t>WOS:000271683200002</t>
  </si>
  <si>
    <t>Crosta, X</t>
  </si>
  <si>
    <t>Crosta, Xavier</t>
  </si>
  <si>
    <t>Holocene size variations in two diatom species off East Antarctica: Productivity vs environmental conditions</t>
  </si>
  <si>
    <t>Diatoms; Cell cycle; Productivity; Sea ice; Southern Ocean</t>
  </si>
  <si>
    <t>SOUTHERN-OCEAN SEDIMENTS; MERTZ GLACIER REGION; ROSS SEA; FRAGILARIOPSIS-KERGUELENSIS; SEXUAL REPRODUCTION; COMMUNITY STRUCTURE; PELAGIC ECOSYSTEMS; ADELIE LAND; POLAR FRONT; LIFE-CYCLE</t>
  </si>
  <si>
    <t>I here present a biometric investigation on two diatom species, Fragilariopsis kerguelensis (O'Meara) Hustedt and Fragilariopsis curta (Van Heurck) Hustedt, in Holocene samples from sediment core MD03-2601 from the Antarctic Continental Shelf off Adelie Land, East Antarctica. Apical valve length measurements of the two species are compared to their respective absolute and relative abundances as a proxy for the species productivity. Fragilariopsis kerguelensis valves were longer and more abundant during the warmer Mid-Holocene period and smaller and less abundant during the colder Late-Holocene period. Conversely, F. curta valves were smaller and less abundant during the warmer Mid-Holocene period and longer and more abundant during the colder Late-Holocene period. Mean apical valve length variations even follow centennial-to-millennial oscillations in the species abundances. Maximal valve length and minimal valve length were also larger during the warmer Mid-Holocene period and during the colder Late-Holocene period for F. keguelensis and F curta, respectively. The observed positive size-abundance relationships are linked to the environmental conditions at the core location that stands today at the lower ecological limit for E kerguelensis and upper ecological limit for F curta. More favourable environmental conditions (warmer, less icy for F kerguelensis and colder, icier for E curta) allowed for sexual reproduction at the upper range of the sexually inducible size window and subsequent restoration of larger initial cells which, in turn, resulted in overall bigger size of the species populations, though vegetative multiplication was more frequent. (C) 2009 Elsevier Ltd. All rights reserved.</t>
  </si>
  <si>
    <t>Univ Bordeaux 1, UMR 5805, CNRS, EPOC, F-33405 Talence, France</t>
  </si>
  <si>
    <t>Centre National de la Recherche Scientifique (CNRS); CNRS - National Institute for Earth Sciences &amp; Astronomy (INSU); Universite de Bordeaux</t>
  </si>
  <si>
    <t>Crosta, X (corresponding author), Univ Bordeaux 1, UMR 5805, CNRS, EPOC, Ave Fac, F-33405 Talence, France.</t>
  </si>
  <si>
    <t>x.crosta@epoc.u-bordeaux1.fr</t>
  </si>
  <si>
    <t>TARDHOL through the national EVE-LEFE program (INSU-CNRS)</t>
  </si>
  <si>
    <t>Many thanks to Philip Assmy, Pascal Claquin, France Girault, Shinya Sato, Mark Hildebrand and Leanne Armand for constructive discussions. Extended thanks go to Peppe Cortese and two anomymous reviewers for helpful comments that improved the manuscript. Additional thanks go to Michael Bacon for editing support and to Xavier de Montaudouin for statistical assistance. Logistical support was provided by IPEV-TAAF. Financial support for this study was provided by the project TARDHOL through the national EVE-LEFE program (INSU-CNRS). This is an EPOC contribution no. 1746.</t>
  </si>
  <si>
    <t>10.1016/j.dsr.2009.06.009</t>
  </si>
  <si>
    <t>WOS:000271683200006</t>
  </si>
  <si>
    <t>Tarling, GA; Klevjer, T; Fielding, S; Watkins, J; Atkinson, A; Murphy, E; Korb, R; Whitehouse, M; Leaper, R</t>
  </si>
  <si>
    <t>Tarling, Geraint A.; Klevjer, Thor; Fielding, Sophie; Watkins, Jon; Atkinson, Angus; Murphy, Eugene; Korb, Rebecca; Whitehouse, Mick; Leaper, Russell</t>
  </si>
  <si>
    <t>Variability and predictability of Antarctic krill swarm structure</t>
  </si>
  <si>
    <t>Ecosystem; Status; Behaviour; Euphausia superba; Scotia Sea; Southern Ocean; Acoustics</t>
  </si>
  <si>
    <t>NATURAL GROWTH-RATES; EUPHAUSIA-SUPERBA; VERTICAL MIGRATION; SCOTIA SEA; TARGET-STRENGTH; SOUTHERN-OCEAN; AGGREGATION CHARACTERISTICS; ACOUSTIC OBSERVATIONS; SPATIAL-DISTRIBUTION; BEHAVIOR</t>
  </si>
  <si>
    <t>Swarming is a fundamental part of the life of Euphausia superba, yet we still know very little about what drives the considerable variability in swarm shape, size and biomass. We examined swarms across the Scotia Sea in January and February 2003 using a Simrad EK60 (38 and 120 kHz) echosounder, concurrent with net sampling. The acoustic data were analysed through applying a swarm-identification algorithm and then filtering out all non-krill targets. The area, length, height, depth, packing-concentration and inter-swarm distance of 4525 swarms was derived by this method. Hierarchical clustering revealed 2 principal swarm types, which differed in both their dimensions and packing-concentrations. Type 1 swarms were generally small (&lt;50 m long) and were not very tightly packed (&lt;10 in.m(-3)), whereas type 2 swarms were an order of magnitude larger and had packing concentrations up to 10 times greater. Further subdivisions of these types identified small and standard swarms within the type 1 group and large and superswarms within the type 2 group. A minor group (swarm type 3) was also found, containing swarms that were isolated (&gt;100 km away from the next swarm). The distribution of swarm types over the survey grid was examined with respect to a number of potential explanatory variables describing both the environment and the internal-state of krill (namely maturity, body length, body condition). Most variables were spatially averaged over scales of similar to 100 km and so mainly had a mesoscale perspective. The exception was the level of light (photosynthetically active radiation (PAR)) for which measurements were specific to each swarm. A binary logistic model was constructed from four variables found to have significant explanatory power (P &lt; 0.05): surface fluorescence, PAR, krill maturity and krill body length. Larger (type 2) swarms were more commonly found during nighttime or when it was overcast during the day, when surface fluorescence was low, and when the krill were small and immature. A strong pattern of diel vertical migration was not observed although the larger and denser swarms tended to occur more often at night than during the day. The vast majority of krill were contained within a minor fraction of the total number of swarms. These krill-rich swarms were more common in areas dominated by small and immature krill. We propose that, at the mesoscale level, the structure of swarms switches from being predominantly large and tightly packed to smaller and more diffuse as krill grow and mature. This pattern is further modulated according to feeding conditions and then level of light. (C) 2009 Elsevier Ltd. All rights reserved.</t>
  </si>
  <si>
    <t>[Tarling, Geraint A.; Fielding, Sophie; Watkins, Jon; Atkinson, Angus; Murphy, Eugene; Korb, Rebecca; Whitehouse, Mick] British Antarctic Survey, Nat Environm Res Council, Cambridge CB3 0ET, England; [Klevjer, Thor] Univ Oslo, Dept Biol, N-0316 Oslo, Norway; [Leaper, Russell] Int Fund Anim Welfare, London SE1 7UD, England</t>
  </si>
  <si>
    <t>UK Research &amp; Innovation (UKRI); Natural Environment Research Council (NERC); NERC British Antarctic Survey; University of Oslo</t>
  </si>
  <si>
    <t>Tarling, GA (corresponding author), British Antarctic Survey, Nat Environm Res Council, Madingley Rd, Cambridge CB3 0ET, England.</t>
  </si>
  <si>
    <t>gant@bas.ac.uk</t>
  </si>
  <si>
    <t>Atkinson, Angus/HOH-3417-2023; Fielding, Sophie/E-5137-2012; murphy, eugene/GZL-1620-2022</t>
  </si>
  <si>
    <t>Norwegian Research Council, NARE, University of Oslo; NERC [bas0100025] Funding Source: UKRI; Natural Environment Research Council [bas0100025] Funding Source: researchfish</t>
  </si>
  <si>
    <t>Norwegian Research Council, NARE, University of Oslo(Research Council of Norway); NERC(UK Research &amp; Innovation (UKRI)Natural Environment Research Council (NERC)); Natural Environment Research Council(UK Research &amp; Innovation (UKRI)Natural Environment Research Council (NERC))</t>
  </si>
  <si>
    <t>We thank the crew and scientists aboard the RRS James Clark Ross during the cruises JR82 for their assistance in collecting material. We also thank Doug Bone for assembling and maintaining the net gear and Nathan Cunningham for organising and retrieving data. We are grateful to the three anonymous referees who made considerable efforts to improve this manuscript. This work was carried out as part of the FLEXICON programme at the British Antarctic Survey. The contribution of T.K. was funded by the Norwegian Research Council as part of the NARE programme, University of Oslo.</t>
  </si>
  <si>
    <t>10.1016/j.dsr.2009.07.004</t>
  </si>
  <si>
    <t>WOS:000271683200007</t>
  </si>
  <si>
    <t>Brandt, A; Linse, K; Schüller, M</t>
  </si>
  <si>
    <t>Brandt, Angelika; Linse, Katrin; Schueller, Myriarn</t>
  </si>
  <si>
    <t>Bathymetric distribution patterns of Southern Ocean macrofaunal taxa: Bivalvia, Gastropoda, Isopoda and Polychaeta</t>
  </si>
  <si>
    <t>Bivalves; Depth distribution; Gastropods; Isopods; Polychaetes; Southern Ocean</t>
  </si>
  <si>
    <t>DEEP-SEA; DIVERSITY GRADIENT; BENTHIC DIVERSITY; ABYSSAL-PLAIN; 1ST INSIGHTS; WEDDELL SEA; ROSS SEA; ATLANTIC; BIODIVERSITY; CRUSTACEA</t>
  </si>
  <si>
    <t>The aim of this study is to compare the depth distributions of four major Southern Ocean macrobenthic epi- and infaunal taxa, the Bivalvia, Gastropoda, Isopoda, and Polychaeta, from subtidal to abyssal depth. All literature data up to summer 2008, as well as the unpublished data from the most recent ANDEEP I-III (Antarctic benthic deep-sea biodiversity: colonisation history and recent community patterns) expeditions to the Southern Ocean deep sea are included in the analysis. Benthic invertebrates in the Southern Ocean are known for their wide bathymetric ranges. We analysed the distributions of four of the most abundant and species-rich taxa from intertidal to abyssal (5200 m) depths in depth zones of 100 m. The depth distributions of three macrofaunal classes (Bivalvia, Gastropoda, Polychaeta) and one order (Isopoda) showed distinct differences. In the case of bivalves, gastropods and polychaetes, the number of species per depth zone decreased from the shelf to the slope at around 1000 m depth and then showed stable low numbers. The isopods showed the opposite trend; they were less species rich in the upper 1000 m but increased in species numbers from the slope to bathyal and abyssal depths. Depth ranges of families of the studied taxa (Bivalvia: 31 families, Gastropoda: 60, Isopoda: 32, and Polychaeta: 46 families) were compiled and illustrated. At present vast areas of the deep sea in the Southern Ocean remain unexplored and species accumulation curves showed that only a fraction of the species have been discovered to date. We anticipate that further investigations will greatly increase the number of species known in the Southern Ocean deep sea. (C) 2009 Published by Elsevier Ltd.</t>
  </si>
  <si>
    <t>[Brandt, Angelika] Inst Zool, D-20146 Hamburg, Germany; [Brandt, Angelika] Zool Museum, D-20146 Hamburg, Germany; [Linse, Katrin] British Antarctic Survey, Nat Environm Res Council, Cambridge CB3 0ET, England; [Schueller, Myriarn] Ruhr Univ Bochum, Lehrstuhl Evolut Okol &amp; Biodiversitat Tiere, D-44780 Bochum, Germany</t>
  </si>
  <si>
    <t>UK Research &amp; Innovation (UKRI); Natural Environment Research Council (NERC); NERC British Antarctic Survey; Ruhr University Bochum</t>
  </si>
  <si>
    <t>Brandt, A (corresponding author), Inst Zool, Martin Luther King Pl 3, D-20146 Hamburg, Germany.</t>
  </si>
  <si>
    <t>abrandt@zoologie.uni-hamburg.de; kl@bas.ac.uk; myriam.schueller@freenet.de</t>
  </si>
  <si>
    <t>Brandt, Angelika/C-1630-2018</t>
  </si>
  <si>
    <t>Linse, Katrin/0000-0003-3477-3047</t>
  </si>
  <si>
    <t>German Science Foundation [Br 1121/20,1-3, Br 1121/26,1-3]; DZMB; [436 RUS 17/91103]; [436 RUS 17/19/04]; [436 RUS 17/103/05]; [436 RUS 17/58106]; NERC [bas010015] Funding Source: UKRI; Natural Environment Research Council [bas010015] Funding Source: researchfish</t>
  </si>
  <si>
    <t>German Science Foundation(German Research Foundation (DFG)); DZMB; ; ; ; ; NERC(UK Research &amp; Innovation (UKRI)Natural Environment Research Council (NERC)); Natural Environment Research Council(UK Research &amp; Innovation (UKRI)Natural Environment Research Council (NERC))</t>
  </si>
  <si>
    <t>Financial support for the ANDEEP I-III expeditions was provided by the German Science Foundation Br 1121/20,1-3 and Br 1121/26,1-3; 436 RUS 17/91103; 436 RUS 17/19/04; 436 RUS 17/103/05: 436 RUS 17/58106. We are grateful to Prof. D. Futterer, chief scientist on Polarstern cruise ANT XIX/3-4, and Dr. E. Fahrbach, chief scientist on Polarstern cruise ANT XXII/3, and to the captains and crew of RV Polarstern, for help on board. Drs. S. Brix, W. Brokeland, M. Malyutina, S. Kaiser, M. Choudhury, and G. Poore are thanked for help with the identification of the deep-sea Isopoda. The DZMB is thanked for financial support of sorting and for a research grant for Dr. Fiona Kavanagh, who kindly identified the ANDEEP III Ischnomesidae (Isopoda) and compared these with those species from ANDEEP I and II. We are grateful to many colleagues for constant help on board, helpful and stimulating discussions. The reviewer's comments improved the manuscript. Dr. Andy Gooday is especially thanked for kindly editing the manuscript. Huw Griffiths provided the bathymetry range map of the Southern Ocean. The authors are grateful to Dr. B. Ebbe for discussions of an earlier draft of the manuscript.</t>
  </si>
  <si>
    <t>10.1016/j.dsr.2009.06.007</t>
  </si>
  <si>
    <t>WOS:000271683200008</t>
  </si>
  <si>
    <t>Olney, MP; Bohaty, SM; Harwood, DM; Scherer, RP</t>
  </si>
  <si>
    <t>Olney, Matthew P.; Bohaty, Steven M.; Harwood, David M.; Scherer, Reed P.</t>
  </si>
  <si>
    <t>CREANIA LACYAE GEN. NOV ET SP NOV AND SYNEDROPSIS CHEETHAMII SP NOV., FOSSIL INDICATORS OF ANTARCTIC SEA ICE?</t>
  </si>
  <si>
    <t>DIATOM RESEARCH</t>
  </si>
  <si>
    <t>SOUTHERN-OCEAN; FINE-STRUCTURE; EARLY MIOCENE; DIATOM; BACILLARIOPHYTA; SEDIMENTS; TAXONOMY; FRAGILARIACEAE; BENEATH; SHELF</t>
  </si>
  <si>
    <t>A new fossil araphid genus and species, Creania lacyae, and a new fossil araphid species, Synedropsis cheethamii are described from Oligocene to lower Miocene sediments recovered from the Victoria Land Basin, Antarctica. The new genus Creania possesses round, uniseriate areolae, a central sternum and apical fields composed of a row of short rectangular openings. Presence of two distinctive rimoportulae per valve, and the shape and number of apical field openings are the primary features that distinguish the genus. The genus is (at present) monospecific. The new species Synedropsis cheethamii is closely related to the modern species Synedropsis lata and S. lato var. angustata but is distinguished by its less dense stria, the shape and position of the rimoportula and the shape and structure of the apical slit field. The presence of Synedropsis in upper Oligocene sediments marks the earliest Occurrence of this genus which is commonly associated with sea-ice. We Postulate that both Synedropsis cheethamii and Creania lacyae may be utilized as paleo sea-ice indicators. New taxa formally proposed here are: Synedropsis cheethamii Olney sp. nov., Creania Olney gen. nov. and Creania lacyae Olney sp. nov.</t>
  </si>
  <si>
    <t>[Olney, Matthew P.] Univ S Florida, Dept Geol, Tampa, FL 33619 USA; [Bohaty, Steven M.] Univ Southampton, Natl Oceanog Ctr, Southampton SO14 3ZH, Hants, England; [Harwood, David M.] Univ Nebraska, Dept Geosci, Lincoln, NE 68588 USA; [Scherer, Reed P.] No Illinois Univ, Dept Geol &amp; Environm Geosci, De Kalb, IL 60115 USA</t>
  </si>
  <si>
    <t>State University System of Florida; University of South Florida; NERC National Oceanography Centre; University of Southampton; University of Nebraska System; University of Nebraska Lincoln; Northern Illinois University</t>
  </si>
  <si>
    <t>Olney, MP (corresponding author), Univ S Florida, Dept Geol, 4202 E Fowler Ave,SCA 528, Tampa, FL 33619 USA.</t>
  </si>
  <si>
    <t>molney@cas.usf.edu; S.Bohaty@noc.soton.ac.uk; dharwood1@unl.edu; reed@geol.niu.edu</t>
  </si>
  <si>
    <t>NSF [OPP-0230722]</t>
  </si>
  <si>
    <t>Funding for this research was provided by NSF grant OPP-0230722 to Dr Reed Scherer. We are indebted to the staff at the Alfred-Wegener-Institute for Polar and Marine Research (AWI), Bremerhaven, Germany, especially Dr Hannes Grobe for core curation. We would also like to thank: Jonathan Warnock for lab assistance and slide preparation and Robert Bailey for SEM and laboratory assistance at Northern Illinois University. We also acknowledge the assistance of the staff at the ANDRILL Science Management Office, University of Nebraska-Lincoln and all those involved in the original collection and curation of the CRP, RISP and CIROS material. Dr A.K.S.K. Prasad at Florida State University and an anonymous reviewer provided useful discussion and comments on an earlier version of this manuscript.</t>
  </si>
  <si>
    <t>0269-249X</t>
  </si>
  <si>
    <t>2159-8347</t>
  </si>
  <si>
    <t>DIATOM RES</t>
  </si>
  <si>
    <t>Diatom Res.</t>
  </si>
  <si>
    <t>513BH</t>
  </si>
  <si>
    <t>WOS:000271296500007</t>
  </si>
  <si>
    <t>Riaux-Gobin, C; Romero, OE; Al-Handal, AY</t>
  </si>
  <si>
    <t>Riaux-Gobin, Catherine; Romero, Oscar E.; Al-Handal, Adil Y.</t>
  </si>
  <si>
    <t>COCCONEIS COSTATA VAR. SUBANTARCTICA VAR. NOV., A NEW MARINE DIATOM OFF KERGUELEN ARCHIPELAGO (SOUTHERN OCEAN, INDIAN SECTOR)</t>
  </si>
  <si>
    <t>Cocconeis; Kerguelen Archipelago; Southern Ocean; Subantarctic</t>
  </si>
  <si>
    <t>GENUS COCCONEIS; AUSTRAL OCEAN; BACILLARIOPHYTA; MORPHOLOGY; EHRENBERG; PSAMMOCOCCONEIS; VARIETIES; GENERA; ISLAND</t>
  </si>
  <si>
    <t>Cocconeis costata var. subantarctica var. nov., a rare taxon from the Kerguelen Archipelago (Southern Ocean, Indian sector), is described using light and scanning electron microscope observations and was compared to related taxa. Apart from the wide-elliptical central area devoid of striae, the raphe valve features highly resemble those of the C. costata complex: the open crista marginalis is similar to the one Occurring in other varieties of C. costata, whereas the slightly dissymmetric and hook-like central raphe endings are a distinctive feature. This Subantarctic diatom has a two-layered sternum valve, with alveolate striae consisting of elongated chambers internally open through marginal elliptical wide and regular foramina. On the external side, striae of the sternum valve vary from biseriate to triseriate near the margin, and are not restricted to the foramina location. The resemblance of our new taxon with C. costata var. pacifica and C. barleyi, which also possess more or less extended SV chambers, is discussed. The epizoic diatom genera Bennettella and Epipellis, previously assigned to the genus Cocconeis Ehrenberg, also show such alveolate-chambered striae, but are associated with several other very specific features. Several small sized Cocconeis taxa from Antarctic and subantarctic environments, Such as C. costata var. antarctica and C. melchiori, show a certain morphological similarity to Cocconeis costata var. subantarctica var. nov., but they have marginal short striae oil the sternum valve and lack a two-layered sternum valve or chambers.</t>
  </si>
  <si>
    <t>[Riaux-Gobin, Catherine] UPMC Paris6, CNRS, Lab Oceanog Biol, UMR7621, FR-66650 Banyuls Sur Mer, France; [Romero, Oscar E.] Univ Granada, Fac Ciencias, CSIC, IACT, ES-18002 Granada, Spain; [Al-Handal, Adil Y.] Univ Gothenburg, Inst Marin Ekol, SE-40530 Gothenburg, Sweden</t>
  </si>
  <si>
    <t>Centre National de la Recherche Scientifique (CNRS); CNRS - National Institute for Earth Sciences &amp; Astronomy (INSU); Sorbonne Universite; University of Granada; Consejo Superior de Investigaciones Cientificas (CSIC); CSIC - Instituto Andaluz de Ciencias de la Tierra (IACT); University of Gothenburg</t>
  </si>
  <si>
    <t>Riaux-Gobin, C (corresponding author), UPMC Paris6, CNRS, Lab Oceanog Biol, UMR7621, FR-66650 Banyuls Sur Mer, France.</t>
  </si>
  <si>
    <t>Catherine.riaux-gobin@obs-banyuls.fr; oromero@ugr.es; Adil.yousif@marecol.gu.se</t>
  </si>
  <si>
    <t>Terres Australes et Antarctiques Francaises (TAAF); Naturalia and Biologia; Centre National de la Recherche Scientifique (CNRS)</t>
  </si>
  <si>
    <t>Terres Australes et Antarctiques Francaises (TAAF); Naturalia and Biologia; Centre National de la Recherche Scientifique (CNRS)(Centre National de la Recherche Scientifique (CNRS))</t>
  </si>
  <si>
    <t>Funds and logistic assistance in the field were supported by the Terres Australes et Antarctiques Francaises (TAAF). C. R.-G. thanks Naturalia and Biologia and the Centre National de la Recherche Scientifique (CNRS) for funding diatom Studies in the Kerguelen Islands. We thank the overwintering team members and crew of the RV La Japonaise for field support during the campaigns Microphythobenthos 85-92 to the Kerguelen Islands. We are grateful to Pierre Compere (Jardin Botanique National de Belgique, B-Meise) for helping LIS with the bibliographic research and revision of the manuscript, Dimitri Gorand for SEM assistance (C2M, Via Domitia University, F-Perpignan), to Karen Serieyssol for improving the English, to Sigurd von Boletzky (UMR 7628, F-Banyuls-sur-Mer) for the Latin diagnosis improvement, and Michel Poulin (Canadian Museum of Nature, Can-Ottawa) and all anonymous referee for their comments and for improving the English. We acknowledge Bibliotheca Diatomologica and J. Cramer for giving permission to reproduce figures 9 and 15 which appeared in volume 47.</t>
  </si>
  <si>
    <t>BIOPRESS LIMITED</t>
  </si>
  <si>
    <t>THE ORCHARD, CLANAGE RD, BRISTOL BS3 2JX, ENGLAND</t>
  </si>
  <si>
    <t>WOS:000271296500009</t>
  </si>
  <si>
    <t>Van de Vijver, B; Agius, JT; Gibson, JAE; Quesada, A</t>
  </si>
  <si>
    <t>Van de Vijver, Bart; Agius, Janelle T.; Gibson, John A. E.; Quesada, Antonio</t>
  </si>
  <si>
    <t>AN UNUSUAL SPINE-BEARING PINNULARIA SPECIES FROM THE ANTARCTIC LIVINGSTON ISLAND (SOUTH SHETLAND ISLANDS)</t>
  </si>
  <si>
    <t>DECEPTION ISLAND</t>
  </si>
  <si>
    <t>A new spine-bearing Pinnularia Species, Pinnularia gemella sp. nov., is described from a sediment core taken oil the Antarctic Livingston Island (South Shetland Islands, southern Atlantic Ocean). The morphology of this species was examined Using Scanning electron microscopy. The species is easily recognizable by the presence of a continuous row of small, spathulate spines on one side of the valve. Using these interlocking spines, the species forms small colonies with the frustules lying ill juxtaposition. The morphology and colonial florin of the new species is compared to all other spine-bearing species such LIS P. sofia Van de Vijver &amp; Le Win and/or colonial species such as P. cardinaliculus (A. Schmidt) Cleve. The ecology of the new species is derived from the ecological preferences of the associated flora.</t>
  </si>
  <si>
    <t>[Van de Vijver, Bart] Natl Bot Garden Belgium, Dept Bryophytes &amp; Thallophytes, B-1860 Domein Van Bouchout, Meise, Belgium; [Agius, Janelle T.] Univ Tasmania, Inst Antarctic &amp; So Ocean Studies, Hobart, Tas 7001, Australia; [Gibson, John A. E.] Univ Tasmania, Tasmanian Aquaculture &amp; Fisheries Inst, Marine Res Labs, Hobart, Tas 7001, Australia; [Quesada, Antonio] Univ Autonoma Madrid, Dept Biol, E-28049 Madrid, Spain</t>
  </si>
  <si>
    <t>University of Tasmania; University of Tasmania; Autonomous University of Madrid</t>
  </si>
  <si>
    <t>Van de Vijver, B (corresponding author), Natl Bot Garden Belgium, Dept Bryophytes &amp; Thallophytes, B-1860 Domein Van Bouchout, Meise, Belgium.</t>
  </si>
  <si>
    <t>Quesada, Antonio/L-2430-2013</t>
  </si>
  <si>
    <t>Quesada, Antonio/0000-0002-8913-5993</t>
  </si>
  <si>
    <t>Ministerio de Educacion y Ciencia of Spain [CGL2005-06549-CO2-01]</t>
  </si>
  <si>
    <t>Ministerio de Educacion y Ciencia of Spain(Spanish Government)</t>
  </si>
  <si>
    <t>The author wishes to thank Ing. Marcel Verhaegen for his technical assistance using the scanning electron microscope. Dr Christine Cocquyt and Mr Pierre Compere are thanked for stimulating discussions. The LIMNOPOLAR project has been funded by the grant CGL2005-06549-CO2-01 from the Ministerio de Educacion y Ciencia of Spain.</t>
  </si>
  <si>
    <t>WOS:000271296500012</t>
  </si>
  <si>
    <t>Rodríguez, A; Negro, JJ; Bustamante, J; Fox, JW; Afanasyev, V</t>
  </si>
  <si>
    <t>Rodriguez, Airam; Negro, Juan J.; Bustamante, Javier; Fox, James W.; Afanasyev, Vsevolod</t>
  </si>
  <si>
    <t>Geolocators map the wintering grounds of threatened Lesser Kestrels in Africa</t>
  </si>
  <si>
    <t>DIVERSITY AND DISTRIBUTIONS</t>
  </si>
  <si>
    <t>Conservation; geolocator; Lesser Kestrels; migration; sub-Saharan region; wintering quarters</t>
  </si>
  <si>
    <t>AUTUMN MIGRATION; BIRD MIGRATION; SATELLITE; ROUTINES; TRACKING; STOPOVER</t>
  </si>
  <si>
    <t>Aim To identify the wintering grounds of the threatened western European Lesser Kestrels to focus conservation efforts in those areas. Location Huelva Province, southern Spain, as breeding range, and western Africa (Senegal and Mauritania), as wintering range. Methods We used archival light level geolocators (1.5 g) to map the wintering areas and determine some characteristics of the migratory journeys of 20 adult Lesser Kestrels from the Iberian Peninsula tagged in 2007. Results Thirteen geolocators were recovered the following breeding season (2008) after attachment in 2007. Four recovered geolocators provided useful data. According to kernel density analyses, kestrels wintered near the Senegal River (border between Mauritania and Senegal). Pre-nuptial migration took longer than the post-nuptial migration, which may be the consequence of a loop migration. Main conclusions Geolocators have solved a crucial conservation question (i.e. the winter destination of western European Lesser kestrels), and these devices have thus proved useful to determine the location of the winter quarters of small sized migratory species. Our data indicate that European Lesser Kestrels winter in West Africa, in accordance with previous suggestions based on scattered observations during the winter months. This valuable information should serve to focus conservation efforts both in northern Senegal and southern Mauritania. Large roosts gathering thousands of lesser kestrels had been recorded in these areas over the years, but there was no previous confirmation of individuals staying all winter long. Specific and sustained protection of the roost sites, where the birds may be most vulnerable, should be sought in conjunction with local authorities.</t>
  </si>
  <si>
    <t>[Rodriguez, Airam; Negro, Juan J.] CSIC, Dept Evolutionary Ecol, Estac Biol Donana, Seville 41092, Spain; [Bustamante, Javier] CSIC, Dept Wetland Ecol, Estac Biol Donana, Seville 41092, Spain; [Bustamante, Javier] CSIC, Remote Sensing &amp; GIS Lab LAST EBD, Estac Biol Donana, Seville 41092, Spain; [Fox, James W.; Afanasyev, Vsevolod] British Antarctic Survey, Nat Environm Res Council, Cambridge CB3 0ET, England</t>
  </si>
  <si>
    <t>Consejo Superior de Investigaciones Cientificas (CSIC); CSIC - Estacion Biologica de Donana (EBD); Consejo Superior de Investigaciones Cientificas (CSIC); CSIC - Estacion Biologica de Donana (EBD); Consejo Superior de Investigaciones Cientificas (CSIC); CSIC - Estacion Biologica de Donana (EBD); UK Research &amp; Innovation (UKRI); Natural Environment Research Council (NERC); NERC British Antarctic Survey</t>
  </si>
  <si>
    <t>Negro, JJ (corresponding author), CSIC, Dept Evolutionary Ecol, Estac Biol Donana, Avda Amer Vespucio S-N, Seville 41092, Spain.</t>
  </si>
  <si>
    <t>negro@ebd.csic.es</t>
  </si>
  <si>
    <t>Bustamante, Javier/AAA-7273-2019; Rodríguez, Airam/D-5110-2011; Negro, juan/I-2653-2015</t>
  </si>
  <si>
    <t>Bustamante, Javier/0000-0001-7515-0677; Rodríguez, Airam/0000-0001-7882-135X; Fox, James W./0000-0002-3107-696X; Negro, juan/0000-0002-8697-5647</t>
  </si>
  <si>
    <t>Spanish National Research Council (CSIC); Proyecto de Excelencia de la Junta de Andalucia [P06-RNM-01712]; Natural Environment Research Council [bas0100025, bas010013] Funding Source: researchfish; NERC [bas0100025, bas010013] Funding Source: UKRI</t>
  </si>
  <si>
    <t>Spanish National Research Council (CSIC); Proyecto de Excelencia de la Junta de Andalucia(Junta de Andalucia); Natural Environment Research Council(UK Research &amp; Innovation (UKRI)Natural Environment Research Council (NERC)); NERC(UK Research &amp; Innovation (UKRI)Natural Environment Research Council (NERC))</t>
  </si>
  <si>
    <t>Thanks to M. de la Riva for his valuable advices about attachment methods. F. Pacios and D. Aragones from LAST-EBD helped us to use GIS programs. P. Pilard shared unpublished information on the lesser kestrel wintering population he surveyed in Senegal. Ring recovery data belong to Oficina de Especies Migratorias, Direccion General para la Biodiversidad (Spanish Ministry of Environment) and EURING and SAFRING Data Banks. A.R. was supported by an I3P pre-doctoral fellowship from the Spanish National Research Council (CSIC). This study was partially funded by a Proyecto de Excelencia de la Junta de Andalucia, HORUS Project # P06-RNM-01712.</t>
  </si>
  <si>
    <t>1366-9516</t>
  </si>
  <si>
    <t>DIVERS DISTRIB</t>
  </si>
  <si>
    <t>Divers. Distrib.</t>
  </si>
  <si>
    <t>10.1111/j.1472-4642.2009.00600.x</t>
  </si>
  <si>
    <t>505XN</t>
  </si>
  <si>
    <t>WOS:000270735000009</t>
  </si>
  <si>
    <t>Potter, PE; Szatmari, P</t>
  </si>
  <si>
    <t>Potter, Paul Edwin; Szatmari, Peter</t>
  </si>
  <si>
    <t>Global Miocene tectonics and the modern world</t>
  </si>
  <si>
    <t>EARTH-SCIENCE REVIEWS</t>
  </si>
  <si>
    <t>Miocene; modern world; tectonics; climate change; superplumes</t>
  </si>
  <si>
    <t>LATE CENOZOIC UPLIFT; ATACAMA DESERT; NORTHERN CHILE; CLIMATE-CHANGE; LATE TERTIARY; SEA-LEVEL; EVOLUTION; HISTORY; AFRICA; NEOGENE</t>
  </si>
  <si>
    <t>An amazing congruence of seemingly unrelated, diverse global events began in the Middle and Upper Miocene and established our modem world. Two global orogenic belts were active, mostly in the Middle and Upper Miocene, while backarc basins formed along the eastern margin of Asia. Coincident with these events global temperatures cooled in both the ocean and atmosphere, desertification occurred from Central Asia into and across most of northern Africa and also in Australia, and in southern South America. Coincident with the expansion of the Antarctic ice cap at 14 Ma, there was initial widespread deep sea erosion and changes in patterns of deep sea sedimentation. Muddy pelagic sedimentation increased six-fold in the North and Central Atlantic and Pacific Oceans and global changes in circulation lead to more diatomites in the Pacific and fewer in the Atlantic. By the end of the Miocene most of the Mediterranean Sea had evaporated. Broadly coincident with these events, many old, large river systems were destroyed and new ones formed as much of the world's landscape changed. Collectively, these global on-shore tectonic and ocean-atmospheric events provide the foundation for our modern world-a mixture of new and rejuvenated orogenic belts and their far-field effects (distant epiorogenic uplift, rain-shadow deserts, large alluvial aprons, and distant deltas) as inherited Gondwanan landscapes persisted remote from plate boundaries. Thus at the end of the Miocene much of the world's landscape, except for that changed by Pleistocene continental glaciation, would be recognizable to us today. We argue that all of these events had the same ultimate common cause-an internal Earth engine-that drove plate motions in two broad ways: first, the opening and closing of seven key gateways to deep-water oceanic currents radically altered global heat transfer and changed a lingering Greenhouse to an Icehouse world; secondly, these events were in part coincident with renewed heatflow in the African and Pacific Superplumes that energized global plate motions in the Middle and Upper Miocene. We hope this global synthesis will stimulate more research on the many global events of the Miocene-to understand better both our modem world and earlier global orogenies. (C) 2009 Elsevier B.V. All rights reserved.</t>
  </si>
  <si>
    <t>[Szatmari, Peter] CENPES PDEXP GEOTEC, Petrobras Res Ctr, Rio De Janeiro, Brazil; [Potter, Paul Edwin] Univ Cincinnati, Dept Geol, Cincinnati, OH 45221 USA</t>
  </si>
  <si>
    <t>Petrobras; University System of Ohio; University of Cincinnati</t>
  </si>
  <si>
    <t>Szatmari, P (corresponding author), Av Atlantica 290,Apt 1005, Rio De Janeiro, Brazil.</t>
  </si>
  <si>
    <t>szatmari@petrobras.com.br</t>
  </si>
  <si>
    <t>University of Cincinnati; University of PETROBRAS</t>
  </si>
  <si>
    <t>University of Cincinnati; University of PETROBRAS(Petrobras)</t>
  </si>
  <si>
    <t>We are most indebted to the following for their insightful commentaries on the text and help with the widely scattered literature of the global Miocene: John Armentrout of Cascade Stratigraphics, Damascus, OR. USA; Kevin Bohacs of Exxon Mobile Upstream, Houston, TX; Nickolas and Carolyn Eyles of Claremont, Ontario, Canada; Edison Milani of PETROBRAS, Rio de Janeiro, RJ, Brazil; and Arnold Miller, Thomas Lowell, Lewis Owen, Austin Hendy, and Timothy Phillips (illustrator) of the University of Cincinnati, Cincinnati, OH. Robert N. Ginsburg, University of Miami, Miami, Fl, provided early important encouragement. Sarah Harper,June Taylor, and others of the interlibrary loan staff of the University of Cincinnati Library secured many hard-toobtain references; Alice McDade prepared the manuscript. We are especially indebted to the insightful reviews of Arthur R. Green and an unnamed reviewer, and the sustained support of both the University of Cincinnati and PETROBRAS.</t>
  </si>
  <si>
    <t>0012-8252</t>
  </si>
  <si>
    <t>1872-6828</t>
  </si>
  <si>
    <t>EARTH-SCI REV</t>
  </si>
  <si>
    <t>Earth-Sci. Rev.</t>
  </si>
  <si>
    <t>10.1016/j.earscirev.2009.07.003</t>
  </si>
  <si>
    <t>526JV</t>
  </si>
  <si>
    <t>WOS:000272285300004</t>
  </si>
  <si>
    <t>Wakefield, ED; Phillips, RA; Matthiopoulos, J; Fukuda, A; Higuchi, H; Marshall, GJ; Trathan, PN</t>
  </si>
  <si>
    <t>Wakefield, Ewan D.; Phillips, Richard A.; Matthiopoulos, Jason; Fukuda, Akira; Higuchi, Hiroyoshi; Marshall, Gareth J.; Trathan, Philip N.</t>
  </si>
  <si>
    <t>Wind field and sex constrain the flight speeds of central-place foraging albatrosses</t>
  </si>
  <si>
    <t>ECOLOGICAL MONOGRAPHS</t>
  </si>
  <si>
    <t>albatrosses; ARGOS errors; central-place foraging; dynamic or gust soaring; flight speed; habitat preference; niche specialization; platform terminal transmitters, PTT; satellite tracking; seabird; sexual segregation; South Georgia</t>
  </si>
  <si>
    <t>WANDERING ALBATROSSES; THALASSARCHE-CHRYSOSTOMA; PROVISIONING STRATEGIES; SATELLITE-TRACKING; LOCATION ACCURACY; ACTIVITY PATTERN; BREEDING-SEASON; MARINE PREDATOR; SOUTH-GEORGIA; HABITAT USE</t>
  </si>
  <si>
    <t>By extracting energy from the highly dynamic wind and wave fields that typify pelagic habitats, albatrosses are able to proceed almost exclusively by gliding flight. Although energetic costs of gliding are low, enabling breeding albatrosses to forage hundreds to thousands of kilometers from their colonies, these and time costs vary with relative wind direction. This causes albatrosses in some areas to route provisioning trips to avoid headwind flight, potentially limiting habitat accessibility during the breeding season. In addition, because female albatrosses have lower wing loadings than males, it has been argued that they are better adapted to flight in light winds, leading to sexual segregation of foraging areas. We used satellite telemetry and immersion logger data to quantify the effects of relative wind speed, sex, breeding stage, and trip stage on the ground speeds (V-g) of four species of Southern Ocean albatrosses breeding at South Georgia. V-g was linearly related to the wind speed component in the direction of flight (V-wf), its effect being greatest on Wandering Albatrosses Diomedea exulans, followed by Black-browed Albatrosses Thalassarche melanophrys, Light-mantled Sooty Albatrosses Phoebatria palpebrata, and Gray-headed Albatrosses T. chrysostoma. Ground speeds at V-wf = 0 were similar to airspeeds predicted by aerodynamic theory and were higher in males than in females. However, we found no evidence that this led to sexual segregation, as males and females experienced comparable wind speeds during foraging trips. Black-browed, Gray-headed, and Light-mantled Sooty Albatrosses did not engage in direct, uninterrupted bouts of flight on moonless nights, but Wandering Albatrosses attained comparable V-g night and day, regardless of lunar phase. Relative flight direction was more important in determining V-g than absolute wind speed. When birds were less constrained in the middle stage of foraging trips, all species flew predominantly across the wind. However, in some instances, commuting birds encountered headwinds during outward trips and tail winds on their return, with the result that V-g was 1.0-3.4 m/s faster during return trips. This, we hypothesize, could result from constraints imposed by the location of prey resources relative to the colony at South Georgia or could represent an energy optimization strategy.</t>
  </si>
  <si>
    <t>[Wakefield, Ewan D.; Phillips, Richard A.; Marshall, Gareth J.; Trathan, Philip N.] British Antarctic Survey, Div Biol Sci, Cambridge CB3 0ET, England; [Matthiopoulos, Jason] Univ St Andrews, Gatty Marine Lab, NERC Sea Mammal Res Unit, St Andrews KY16 8LB, Fife, Scotland; [Fukuda, Akira] Shizuoka Univ, Grad Sch Sci &amp; Technol, Informat Sect, Hamamatsu, Shizuoka 4328561, Japan; [Higuchi, Hiroyoshi] Univ Tokyo, Sch Agr &amp; Life Sci, Lab Biodivers Sci, Tokyo 1138657, Japan</t>
  </si>
  <si>
    <t>UK Research &amp; Innovation (UKRI); Natural Environment Research Council (NERC); NERC British Antarctic Survey; University of St Andrews; Shizuoka University; University of Tokyo</t>
  </si>
  <si>
    <t>Wakefield, ED (corresponding author), British Antarctic Survey, Div Biol Sci, Madingley Rd, Cambridge CB3 0ET, England.</t>
  </si>
  <si>
    <t>ewdw@bas.ac.uk</t>
  </si>
  <si>
    <t>Matthiopoulos, Jason/N-9808-2013</t>
  </si>
  <si>
    <t>Matthiopoulos, Jason/0000-0003-3639-8172</t>
  </si>
  <si>
    <t>U. K. Natural Environment Research Council [NER/S/A/2005/13648]; British Antarctic Survey; NERC [bas0100025] Funding Source: UKRI; Natural Environment Research Council [bas0100025] Funding Source: researchfish</t>
  </si>
  <si>
    <t>U. K. Natural Environment Research Council(UK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</si>
  <si>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This study was carried out while the first author was in receipt of a U. K. Natural Environment Research Council CASE studentship (NER/S/A/2005/13648) in partnership with the British Antarctic Survey. We thank the many fieldworkers, particularly Paulo Catry, Isaac Forster, Ben Phalan, and Dafydd Roberts, who assisted with instrument deployments at Bird Island, Dirk Briggs and Andy Wood for technical support, and John Croxall for general guidance and support. Colin Pennycuick generously provided advice on data analysis and interpretation. Henri Weimerskirch and another anonymous reviewer provided very helpful comments and suggestions on an earlier draft of this manuscript. We thank the ECMWF for making the operational wind data available to us.</t>
  </si>
  <si>
    <t>0012-9615</t>
  </si>
  <si>
    <t>1557-7015</t>
  </si>
  <si>
    <t>ECOL MONOGR</t>
  </si>
  <si>
    <t>Ecol. Monogr.</t>
  </si>
  <si>
    <t>10.1890/07-2111.1</t>
  </si>
  <si>
    <t>Ecology</t>
  </si>
  <si>
    <t>508ED</t>
  </si>
  <si>
    <t>WOS:000270909900007</t>
  </si>
  <si>
    <t>Erikstad, KE; Sandvik, H; Fauchald, P; Tveraa, T</t>
  </si>
  <si>
    <t>Erikstad, Kjell Einar; Sandvik, Hanno; Fauchald, Per; Tveraa, Torkild</t>
  </si>
  <si>
    <t>Short- and long-term consequences of reproductive decisions: an experimental study in the puffin</t>
  </si>
  <si>
    <t>ECOLOGY</t>
  </si>
  <si>
    <t>Atlantic Puffin; cost of reproduction; Fratercula arctica; Hornoya, Norway; individual quality; manipulation experiment; parental effort; state-dependent breeding investment</t>
  </si>
  <si>
    <t>SEABIRD LIFE-HISTORIES; PARENTAL EFFORT; LIVED SEABIRD; POPULATION-GROWTH; ANTARCTIC PETREL; PELAGIC SEABIRD; BODY CONDITION; FRATERCULA-ARCTICA; TEMPORAL VARIATION; CLUTCH-SIZE</t>
  </si>
  <si>
    <t>The purpose of the present study was to inspect the response of the Atlantic Puffin (Fratercula arctica) to an experimental manipulation of the investment needed to successfully raise an offspring. We achieved this by replacing an old offspring with a younger chick, and vice versa, thereby prolonging and shortening the chick-rearing period. To examine any costs of reproduction we then followed the breeding success, the recruitment of young to the population, and the survival of parents for 11 years following the manipulation. Parents in the prolonged and shortened category had a lower breeding success than controls mainly because parents deserted their chick shortly after swapping. Among those that raised their chick, the age and body mass of foster chicks at. edging were the same in all three categories even though the parents had raised chicks for different lengths of time. The recruitment of young to the breeding population was high and independent of treatment. Likewise, the survival of adults was independent of treatment. For the 11 years after the experiment, however, the resighting rate of those that deserted their chick was clearly lower than among those that accepted their foster chick. For parents that raised their foster chick, the survival to the following year was positively related to their body mass. The results support the hypothesis that puffins have a highly flexible parental investment, which they adjust according to their own individual quality and the survival prospects of the chick.</t>
  </si>
  <si>
    <t>[Erikstad, Kjell Einar; Fauchald, Per; Tveraa, Torkild] Norwegian Inst Nat Res NINA, Div Arctic Ecol, Polar Environm Ctr, N-9296 Tromso, Norway; [Sandvik, Hanno] Norwegian Univ Sci &amp; Technol NTNU, Ctr Conservat Biol, N-7491 Trondheim, Norway</t>
  </si>
  <si>
    <t>Norwegian Institute Nature Research; Norwegian University of Science &amp; Technology (NTNU)</t>
  </si>
  <si>
    <t>Erikstad, KE (corresponding author), Norwegian Inst Nat Res NINA, Div Arctic Ecol, Polar Environm Ctr, N-9296 Tromso, Norway.</t>
  </si>
  <si>
    <t>kjell.e.erikstad@nina.no</t>
  </si>
  <si>
    <t>Fauchald, Per/AAV-4242-2021; Sandvik, Hanno/B-5118-2008</t>
  </si>
  <si>
    <t>Sandvik, Hanno/0000-0002-5889-1606; Tveraa, Torkild/0000-0002-7501-3696</t>
  </si>
  <si>
    <t>Norwegian Research Council; Norwegian Institute for Nature Research; Norwegian Directorate for Nature Management</t>
  </si>
  <si>
    <t>Norwegian Research Council(Research Council of Norway); Norwegian Institute for Nature Research(Bioforsk); Norwegian Directorate for Nature Management</t>
  </si>
  <si>
    <t>The study was funded by the Norwegian Research Council, Norwegian Institute for Nature Research, and the Norwegian Directorate for Nature Management. We thank Laila Dalhaug and Magne Asheim for their enormous efforts during the field experiments, and the large number of students who helped with reading color rings over the years. The comments of Sveinn Are Hanssen and two anonymous reviewers on the manuscript were much appreciated. The experiment conducted was in accordance with institutional guidelines.</t>
  </si>
  <si>
    <t>0012-9658</t>
  </si>
  <si>
    <t>1939-9170</t>
  </si>
  <si>
    <t>10.1890/08-1778.1</t>
  </si>
  <si>
    <t>515GY</t>
  </si>
  <si>
    <t>WOS:000271457300023</t>
  </si>
  <si>
    <t>Evans, C; Pearce, I; Brussaard, CPD</t>
  </si>
  <si>
    <t>Evans, Claire; Pearce, Imojen; Brussaard, Corina P. D.</t>
  </si>
  <si>
    <t>Viral-mediated lysis of microbes and carbon release in the sub-Antarctic and Polar Frontal zones of the Australian Southern Ocean</t>
  </si>
  <si>
    <t>MARINE VIRUSES; VIRIOPLANKTON PRODUCTION; AQUATIC ENVIRONMENTS; GROWTH EFFICIENCY; BACTERIAL-GROWTH; SEA; PHYTOPLANKTON; DYNAMICS; ABUNDANCE; PLANKTON</t>
  </si>
  <si>
    <t>P&gt;Viral production was determined in the sub-Antarctic zone (SAZ) to the southwest and southeast of Tasmania and in the Polar Frontal zone (PFZ) of the Australian sector of the Southern Ocean during Austral summer (January-February 2007). Concentrations of viruses were the lowest (6.6 x 109 particles l-1) in the PFZ and the highest (2.1 x 1010 particles l-1) in the eastern SAZ where nutrient input from the East Australian Current (EAC) sustained higher concentrations of bacteria and bacterial production relative to the west. Rates of viral production in the PFZ (1.8 x 1010 viruses l-1 day-1) were lower than those in the western SAZ (2.5 x 1010 viruses l-1 day-1). Viral production in the eastern SAZ (2.2 x 1011 viruses l-1 day-1) was the highest recorded and was approximately one order of magnitude higher than at the other sites. In the western SAZ and PFZ, the percentage of available bacterial biomass lysed by viruses was similar (23.5% and 23% respectively) equating to the release of 3.3 and 2.3 mu g carbon l-1 day-1 respectively (assuming a burst size of 50 viruses host-1). In the eastern SAZ the potential bacterial biomass lysed was higher (on average 40%) and corresponded to the release of 26.5 mu g carbon l-1 day-1. These findings suggest the importance of the viral shunt in carbon cycling within these regions.</t>
  </si>
  <si>
    <t>[Evans, Claire; Brussaard, Corina P. D.] Royal Netherlands Inst Sea Res, Dept Biol Oceanog, NL-1790 AB Den Burg, Texel, Netherlands; [Pearce, Imojen] Australian Antarctic Div, Kingston, Tas 7050, Australia</t>
  </si>
  <si>
    <t>Utrecht University; Royal Netherlands Institute for Sea Research (NIOZ); Australian Antarctic Division</t>
  </si>
  <si>
    <t>Evans, C (corresponding author), Royal Netherlands Inst Sea Res, Dept Biol Oceanog, POB 59, NL-1790 AB Den Burg, Texel, Netherlands.</t>
  </si>
  <si>
    <t>claire.evans@nioz.nl</t>
  </si>
  <si>
    <t>Natural Environment Research Council (NERC); Earth Observation Data Acquisition and Analysis Service (NEODAAS); Plymouth Marine Laboratory (PML)</t>
  </si>
  <si>
    <t>Natural Environment Research Council (NERC)(UK Research &amp; Innovation (UKRI)Natural Environment Research Council (NERC)); Earth Observation Data Acquisition and Analysis Service (NEODAAS); Plymouth Marine Laboratory (PML)(UK Research &amp; Innovation (UKRI)Natural Environment Research Council (NERC))</t>
  </si>
  <si>
    <t>The authors wish to thank the captain and crew of RV Aurora Australis for their assistance at sea. The chief scientist, Brain Griffiths (CSIRO), is gratefully acknowledged for his dedicated leadership. We are also grateful to Mark Rosenburg, Neile Johnston and all others involved in the collection and processing of physical and nutrient data. We also thank Joost Brandsma and Peter Walker for their assistance with the production of figures and Andrew Davidson and two anonymous reviewers who provided comments that improved this manuscript. The satellite image is courtesy of The Natural Environment Research Council (NERC) Earth Observation Data Acquisition and Analysis Service (NEODAAS) (http://www.neodaas.ac.uk/) at the Plymouth Marine Laboratory (PML).</t>
  </si>
  <si>
    <t>10.1111/j.1462-2920.2009.02050.x</t>
  </si>
  <si>
    <t>512JQ</t>
  </si>
  <si>
    <t>WOS:000271244800015</t>
  </si>
  <si>
    <t>Lu, YD; Chi, XY; Yang, QL; Li, ZX; Liu, SF; Gan, QH; Qin, S</t>
  </si>
  <si>
    <t>Lu, Yandu; Chi, Xiaoyuan; Yang, Qingli; Li, Zhaoxin; Liu, Shaofang; Gan, Qinhua; Qin, Song</t>
  </si>
  <si>
    <t>Molecular cloning and stress-dependent expression of a gene encoding Δ12-fatty acid desaturase in the Antarctic microalga Chlorella vulgaris NJ-7</t>
  </si>
  <si>
    <t>EXTREMOPHILES</t>
  </si>
  <si>
    <t>Cold stress; High salinity stress; Antarctic; Delta(12) fatty acid desaturases</t>
  </si>
  <si>
    <t>MULTIPLE SEQUENCE ALIGNMENT; FUNCTIONAL-CHARACTERIZATION; MEMBRANE-FLUIDITY; SPLICE SITES; IDENTIFICATION; CHLOROPHYTA; PREDICTION; DELTA-12; ELONGASE; ENZYME</t>
  </si>
  <si>
    <t>The psychrotrophic Antarctic alga, Chlorella vulgaris NJ-7, grows under an extreme environment of low temperature and high salinity. In an effort to better understand the correlation between fatty acid metabolism and acclimation to Antarctic environment, we analyzed its fatty acid compositions. An extremely high amount of Delta(12) unsaturated fatty acids was identified which prompted us to speculate about the involvement of Delta(12) fatty acid desaturase in the process of acclimation. A full-length cDNA sequence, designated CvFAD2, was isolated from C. vulgaris NJ-7 via reverse transcription polymerase chain reaction (RT-PCR) and RACE methods. Sequence alignment and phylogenetic analysis showed that the gene was homologous to known microsomal Delta(12)-FADs with the conserved histidine motifs. Heterologous expression in yeast was used to confirm the regioselectivity and the function of CvFAD2. Linoleic acid (18:2), normally not present in wild-type yeast cells, was detected in transformants of CvFAD2. The induction of CvFAD2 at an mRNA level under cold stress and high salinity is detected by real-time PCR. The results showed that both temperature and salinity motivated the upregulation of CvFAD2 expression. The accumulation of CvFAD2 increased 2.2-fold at 15A degrees C and 3.9-fold at 4A degrees C compared to the alga at 25A degrees C. Meanwhile a 1.7- and 8.5-fold increase at 3 and 6% NaCl was detected. These data suggest that CvFAD2 is the enzyme responsible for the Delta(12) fatty acids desaturation involved in the adaption to cold and high salinity for Antarctic C. vugaris NJ-7.</t>
  </si>
  <si>
    <t>[Lu, Yandu; Qin, Song] Chinese Acad Sci, Yantai Inst Coastal Zone Res Sustainable Dev, Yantai 264003, Peoples R China; [Lu, Yandu; Liu, Shaofang] Chinese Acad Sci, Inst Oceanol, Qingdao 266071, Peoples R China; [Lu, Yandu; Liu, Shaofang] Chinese Acad Sci, Grad Sch, Beijing 100049, Peoples R China; [Chi, Xiaoyuan; Yang, Qingli] Shandong Peanut Res Inst, Qingdao 266100, Peoples R China; [Li, Zhaoxin] Chinese Acad Fishery Sci, Yellow Sea Fisheries Res Inst, Qingdao 266071, Peoples R China; [Gan, Qinhua] Shandong Entry Exit Inspect &amp; Quarantine Bur, Qingdao 266001, Peoples R China</t>
  </si>
  <si>
    <t>Chinese Academy of Sciences; Yantai Institute of Coastal Zone Research, CAS; Chinese Academy of Sciences; Institute of Oceanology, CAS; Chinese Academy of Sciences; University of Chinese Academy of Sciences, CAS; Shandong Academy of Agricultural Sciences; Chinese Academy of Fishery Sciences; Yellow Sea Fisheries Research Institute, CAFS</t>
  </si>
  <si>
    <t>Qin, S (corresponding author), Chinese Acad Sci, Yantai Inst Coastal Zone Res Sustainable Dev, Yantai 264003, Peoples R China.</t>
  </si>
  <si>
    <t>luyandu@webmail.hzau.edu.cn; sqin@ms.qdio.ac.cn</t>
  </si>
  <si>
    <t>Lu, Yandu/ABF-1912-2020; LU, Yandu/M-4973-2016</t>
  </si>
  <si>
    <t>Lu, Yandu/0000-0002-0136-2252; Gan, Qinhua/0000-0002-7164-5135</t>
  </si>
  <si>
    <t>National High-Tech Research and Development Plan of China [2006AA10A114]; National Key Basic Research and Development Project of China [2007CB116212]; Key Innovative Project of Chinese Academy of Science [KSCX2-YW-G-002, KZCX2-YW-225]; National Natural Science Foundation of China [30670165, 40876082]; Key Technology Research Project of Qingdao [07-1-4-16-nsh]</t>
  </si>
  <si>
    <t>National High-Tech Research and Development Plan of China(National High Technology Research and Development Program of China); National Key Basic Research and Development Project of China(National Basic Research Program of China); Key Innovative Project of Chinese Academy of Science(Chinese Academy of Sciences); National Natural Science Foundation of China(National Natural Science Foundation of China (NSFC)); Key Technology Research Project of Qingdao</t>
  </si>
  <si>
    <t>We thank Prof. Xu Xudong (Institute of Hydrobiology, Chinese Academy of Sciences) for providing the Antarctic microalga strain C. vulgaris NJ-7. This work was supported by the National High-Tech Research and Development Plan of China (No. 2006AA10A114), the National Key Basic Research and Development Project of China (No. 2007CB116212), the Key Innovative Project of Chinese Academy of Science (KSCX2-YW-G-002, KZCX2-YW-225), the National Natural Science Foundation of China (30670165, 40876082) and the Key Technology Research Project of Qingdao (No. 07-1-4-16-nsh).</t>
  </si>
  <si>
    <t>SPRINGER JAPAN KK</t>
  </si>
  <si>
    <t>TOKYO</t>
  </si>
  <si>
    <t>SHIROYAMA TRUST TOWER 5F, 4-3-1 TORANOMON, MINATO-KU, TOKYO, 105-6005, JAPAN</t>
  </si>
  <si>
    <t>1431-0651</t>
  </si>
  <si>
    <t>1433-4909</t>
  </si>
  <si>
    <t>Extremophiles</t>
  </si>
  <si>
    <t>10.1007/s00792-009-0275-x</t>
  </si>
  <si>
    <t>Biochemistry &amp; Molecular Biology; Microbiology</t>
  </si>
  <si>
    <t>511VO</t>
  </si>
  <si>
    <t>WOS:000271199500003</t>
  </si>
  <si>
    <t>Matsukura, R; Yasuma, H; Murase, H; Yonezaki, S; Funamoto, T; Honda, S; Miyashita, K</t>
  </si>
  <si>
    <t>Matsukura, Ryuichi; Yasuma, Hiroki; Murase, Hiroto; Yonezaki, Shiroh; Funamoto, Tetsuichiro; Honda, Satoshi; Miyashita, Kazushi</t>
  </si>
  <si>
    <t>Measurements of density contrast and sound-speed contrast for target strength estimation of Neocalanus copepods (Neocalanus cristatus and Neocalanus plumchrus) in the North Pacific Ocean</t>
  </si>
  <si>
    <t>FISHERIES SCIENCE</t>
  </si>
  <si>
    <t>Copepod; Density contrast; Neocalanus cristatus; Neocalanus plumchrus; Signal-to-noise ratio; Sound-speed contrast; Target strength</t>
  </si>
  <si>
    <t>SUB-ARCTIC PACIFIC; EUPHAUSIA-PACIFICA; ACOUSTIC SCATTERING; REGIONAL-VARIATIONS; ANTARCTIC KRILL; OYASHIO REGION; ISADA KRILL; LIFE-CYCLE; 120 KHZ; ZOOPLANKTON</t>
  </si>
  <si>
    <t>The mass density and sound-speed contrasts against surrounding seawater (g and h, respectively) of Neocalanus copepods (N. cristatus and N. plumchrus) were measured in 2006 and 2007 to compute the theoretical target strength (TS). The values of g ranged from 0.997 to 1.009 in N. cristatus and from 0.995 to 1.009 in N. plumchrus. There were no correlations between prosome length (PL) and g. The values of h ranged from 1.006 to 1.021 in N. cristatus and from 1.013 to 1.025 in N. plumchrus and varied with changes in temperature. TS was estimated with the theoretical sound scattering model using the values of g and h based on the temperature, salinity, and depth of the location where the specimens were collected. Regressions of the tilt-averaged TS versus PL were obtained at 38, 120, and 200 kHz. The averaged TS of N. cristatus and N. plumchrus at 120 kHz, which is widely used as a high frequency, ranged from -110.0 to -103.1 dB and from -121.4 to -109.7 dB, respectively. There was a positive correlation between frequency and averaged TS: the higher the frequency, the higher the value of averaged TS. The TS at 120 and 38 kHz varied from 14.8 to 16.4 dB in N. cristatus and from 17.9 to 18.7 dB in N. plumchrus, respectively; that at 200 and 120 kHz varied from 2.9 to 5.5 dB in N. cristatus and from 5.3 to 6.5 dB in N. plumchrus, respectively.</t>
  </si>
  <si>
    <t>[Matsukura, Ryuichi] Hokkaido Univ, Grad Sch Environm Sci, Lab Marine Ecosyst Change Anal, Hakodate, Hokkaido 0418611, Japan; [Yasuma, Hiroki; Miyashita, Kazushi] Hokkaido Univ, Field Sci Ctr No Biosphere, Lab Marine Ecosyst Change Anal, Hakodate, Hokkaido 0418611, Japan; [Murase, Hiroto; Yonezaki, Shiroh] Inst Cetacean Res, Chuo Ku, Tokyo 1040055, Japan; [Funamoto, Tetsuichiro] Fisheries Res Agcy, Hokkaido Natl Fisheries Res Inst, Kushiro, Hokkaido 0850802, Japan; [Honda, Satoshi] Fisheries Res Agcy, Natl Res Inst Fisheries Sci, Kanazawa Ku, Kanagawa 2368648, Japan</t>
  </si>
  <si>
    <t>Hokkaido University; Hokkaido University; Japan Fisheries Research &amp; Education Agency (FRA); Japan Fisheries Research &amp; Education Agency (FRA)</t>
  </si>
  <si>
    <t>Matsukura, R (corresponding author), Hokkaido Univ, Grad Sch Environm Sci, Lab Marine Ecosyst Change Anal, 3-1-1 Minato Cho, Hakodate, Hokkaido 0418611, Japan.</t>
  </si>
  <si>
    <t>ryuichi_mtkr@yahoo.co.jp</t>
  </si>
  <si>
    <t>Matsukura, Ryuichi/S-1094-2019; Murase, Hiroto/W-3556-2019; Miyashita, Kazush/D-6757-2012</t>
  </si>
  <si>
    <t>Murase, Hiroto/0000-0001-7784-6555;</t>
  </si>
  <si>
    <t>Fisheries Agency of Japan; Institute of Cetacean Research</t>
  </si>
  <si>
    <t>We thank the captains and crew of R/V Kaiyou Maru No. 7 and R/V Kaikou Maru for their cooperation in collecting specimens. This study was supported in part by the Fisheries Agency of Japan under the project Research on the Assessment of Fisheries Stocks in the Waters around Japan''. JARPNII survey was supported by Fisheries Agency of Japan, Fisheries Research Agency of Japan, and the Institute of Cetacean Research. We thank to these institutions for their support.</t>
  </si>
  <si>
    <t>SPRINGER TOKYO</t>
  </si>
  <si>
    <t>1-11-11 KUDAN-KITA, CHIYODA-KU, TOKYO, 102-0073, JAPAN</t>
  </si>
  <si>
    <t>0919-9268</t>
  </si>
  <si>
    <t>FISHERIES SCI</t>
  </si>
  <si>
    <t>Fish. Sci.</t>
  </si>
  <si>
    <t>10.1007/s12562-009-0172-3</t>
  </si>
  <si>
    <t>Fisheries</t>
  </si>
  <si>
    <t>514MT</t>
  </si>
  <si>
    <t>WOS:000271399600004</t>
  </si>
  <si>
    <t>Upson, R; Newsham, KK; Bridge, PD; Pearce, DA; Read, DJ</t>
  </si>
  <si>
    <t>Upson, R.; Newsham, K. K.; Bridge, P. D.; Pearce, D. A.; Read, D. J.</t>
  </si>
  <si>
    <t>Taxonomic affinities of dark septate root endophytes of Colobanthus quitensis and Deschampsia antarctica, the two native Antarctic vascular plant species</t>
  </si>
  <si>
    <t>FUNGAL ECOLOGY</t>
  </si>
  <si>
    <t>Antarctica; Dark septate endophyte (DSE); Helotiales; Internal transcribed spacer (ITS) region; Leptodontidium orchidicola; Mollisia; Rhizoscyphus ericae</t>
  </si>
  <si>
    <t>PHIALOCEPHALA-FORTINII; LEPTODONTIDIUM-ORCHIDICOLA; FUNGAL COMMUNITIES; MYCORRHIZAL STATUS; CONIFER SEEDLINGS; FOREST NURSERIES; LEAFY LIVERWORT; HAIR ROOTS; SP-NOV.; IDENTIFICATION</t>
  </si>
  <si>
    <t>Although dark septate fungal endophytes (DSE) occur widely in association with plant roots in cold-stressed habitats, little is known of the taxonomic status of DSE in Antarctica. Here we investigate the phylogenetic affinities of DSE colonising the roots of Colobanthus quitensis and Deschampsia antarctica, the two maritime Antarctic vascular plant species. Two hundred and forty-three DSE were isolated from roots collected from 17 sites across a 1470 km transect through maritime and sub-Antarctica. The ITS1-5.8S-ITS2 nuclear ribosomal gene cluster of representative isolates was sequenced, and the sequences were recovered in 10 sequence groups and sub-groups. Nine of the sequence groupings could be placed in the Helotiales and the remaining one showed high homology to a large number of currently unassigned anamorphic ascomycete sequences. Of the Helotiales, Leptodontidium orchidicola, Rhizoscyphus ericae and species of Tapesia and Mollisia could be confidently identified. This study demonstrates that members of the Helotiales, including several widely-recognised DSE genera, commonly colonise the roots of C. quitensis and D. antarctica in the Antarctic. (C) 2009 Elsevier Ltd and The British Mycological Society. All rights reserved.</t>
  </si>
  <si>
    <t>[Upson, R.; Newsham, K. K.; Bridge, P. D.; Pearce, D. A.] British Antarctic Survey, Nat Environm Res Council, Div Biol Sci, Cambridge CB3 0ET, England; [Upson, R.; Read, D. J.] Univ Sheffield, Dept Anim &amp; Plant Sci, Sheffield S10 2TN, S Yorkshire, England</t>
  </si>
  <si>
    <t>UK Research &amp; Innovation (UKRI); Natural Environment Research Council (NERC); NERC British Antarctic Survey; University of Sheffield</t>
  </si>
  <si>
    <t>Newsham, KK (corresponding author), British Antarctic Survey, Nat Environm Res Council, Div Biol Sci, High Cross,Madingley Rd, Cambridge CB3 0ET, England.</t>
  </si>
  <si>
    <t>kne@bas.ac.uk</t>
  </si>
  <si>
    <t>Read, David J/C-2454-2013; Newsham, Kevin K/C-4192-2011</t>
  </si>
  <si>
    <t>Pearce, David/0000-0001-5292-4596</t>
  </si>
  <si>
    <t>Natural Environment Research Council [NER/G/S/2000/00318]; BAS CASE sponsorship</t>
  </si>
  <si>
    <t>Natural Environment Research Council(UK Research &amp; Innovation (UKRI)Natural Environment Research Council (NERC)); BAS CASE sponsorship</t>
  </si>
  <si>
    <t>Ron Lewis-Smith, Pete Convey, Roger Worland, Mairi Nicolson, Kat Snell, Richard Burt, Rod Strachan, Sarah Lurcock and Jane Tanton supported fieldwork. The BAS Operations Group and the crews of the RRS Ernest Shackleton and HMS Endurance arranged and provided transport to and from the sampling sites. Blair Lawley, Melody Clark, Elaine Fitzcharles, Irene Johnson and Peter Fretwell gave technical assistance. Ari Jumpponen, John Cairney, Thomas Sieber, Janice Thies, Jerry Cooper and Steve Woodward supplied information used in Table 2. Two anonymous referees supplied helpful comments. All are gratefully acknowledged. This research was supported by the Natural Environment Research Council through the Antarctic Funding initiative (award no. NER/G/S/2000/00318) and by BAS CASE sponsorship.</t>
  </si>
  <si>
    <t>1754-5048</t>
  </si>
  <si>
    <t>1878-0083</t>
  </si>
  <si>
    <t>FUNGAL ECOL</t>
  </si>
  <si>
    <t>Fungal Ecol.</t>
  </si>
  <si>
    <t>10.1016/j.funeco.2009.02.004</t>
  </si>
  <si>
    <t>Ecology; Mycology</t>
  </si>
  <si>
    <t>Environmental Sciences &amp; Ecology; Mycology</t>
  </si>
  <si>
    <t>501AR</t>
  </si>
  <si>
    <t>WOS:000270349700004</t>
  </si>
  <si>
    <t>Sigé, B; Archer, M; Crochet, JY; Godthelp, H; Hand, S; Beck, R</t>
  </si>
  <si>
    <t>Sige, Bernard; Archer, Michael; Crochet, Jean-Yves; Godthelp, Henk; Hand, Suzanne; Beck, Robin</t>
  </si>
  <si>
    <t>Chulpasia and Thylacotinga, late Paleocene-earliest Eocene trans-Antarctic Gondwanan bunodont marsupials: New data from Australia</t>
  </si>
  <si>
    <t>GEOBIOS</t>
  </si>
  <si>
    <t>Biogeography; Marsupial; Australia; Peru; Gondwana; Early Tertiary</t>
  </si>
  <si>
    <t>2 MAJOR; PHYLOGENY; EVOLUTION; MONOTREMES; PENINSULA; ORIGIN; FAMILY; RECORD</t>
  </si>
  <si>
    <t>A new marsupial from the early Eocene Tingamarra Local Fauna of southeastern Queensland, Australia, is named and referred to Chulpasia Crochet and Sige, 1993, a genus otherwise known from early Tertiary deposits of Peru. This taxon, Chulpasia jimthorselli nov. sp., differs in upper molar morphology only in minor details from the Peruvian type species Chulpasia mattaueri and is almost identical in size. New materials referable to the Tingamarra marsupial Thylacotinga bartholomaii Archer, Godthelp and Hand are also described. Species of Chulpasia and Thylacotinga share many striking derived as well as plesiomorphic dental features that allow recognition of a new monophyletic subfamily, Chulpasiinae. Its familial relationships are in doubt, but members of the subfamily could have provided the ancestral stock for Rosendolops and other early Tertiary South American polydolopimorphian marsupials. This is the first evidence that a Gondwanan genus of therian land mammals spanned South America, Antarctica and Australia during the early Tertiary. The very close similarity between the Peruvian and Australian fossils (and suggested short time span between their stratigraphic occurrences) provides further paleontological support for a trans-Antarctic land connection between South America and Australia extending well into the early Paleogene. (C) 2009 Elsevier Masson SAS. All fights reserved.</t>
  </si>
  <si>
    <t>[Archer, Michael; Godthelp, Henk; Hand, Suzanne; Beck, Robin] Univ New S Wales, Sch Biol Environm &amp; Earth Sci, Sydney, NSW 2052, Australia; [Sige, Bernard] Univ Lyon 1, UMR 5125, CNRS Paleoenvironm &amp; Paleobiosphere, F-69622 Villeurbanne, France; [Crochet, Jean-Yves] Univ Montpellier 2, UMR 5554, CNRS, Inst Sci Evolut, F-34095 Montpellier, France; [Beck, Robin] Amer Museum Nat Hist, Dept Mammal, New York, NY 10024 USA</t>
  </si>
  <si>
    <t>University of New South Wales Sydney; Universite Claude Bernard Lyon 1; Centre National de la Recherche Scientifique (CNRS); Centre National de la Recherche Scientifique (CNRS); CNRS - Institute of Ecology &amp; Environment (INEE); Institut de Recherche pour le Developpement (IRD); Universite de Montpellier; American Museum of Natural History (AMNH)</t>
  </si>
  <si>
    <t>Hand, S (corresponding author), Univ New S Wales, Sch Biol Environm &amp; Earth Sci, Sydney, NSW 2052, Australia.</t>
  </si>
  <si>
    <t>s.hand@unsw.edu.au</t>
  </si>
  <si>
    <t>Hand, Suzanne J/C-3853-2008</t>
  </si>
  <si>
    <t>Archer, Michael/0000-0002-0304-4039; Hand, Suzanne/0000-0002-4940-3391; Beck, Robin/0000-0002-7050-7072</t>
  </si>
  <si>
    <t>CNRS; Australian Research Council; University of New South Wales; National Estate Program Grants Committee; Phil Creaser; CREATE Fund</t>
  </si>
  <si>
    <t>CNRS(Centre National de la Recherche Scientifique (CNRS)); Australian Research Council(Australian Research Council); University of New South Wales; National Estate Program Grants Committee; Phil Creaser; CREATE Fund</t>
  </si>
  <si>
    <t>Sige and Crochet thank the Lima and Arequipa Universities authorities for their agreement to allow field trips in Peru, the CNRS for funding support, their Australian colleagues for funding and assistance in collaboration, the French Institute for Andean Studies (IFEA) and IRD (ex-ORSTOM) for logistic support and colleagues of these, in particular Christian de Muizon and members of the Lyon and Montpellier Universities' paleontology units for assistance. Archer, Godthelp, Hand and Beck thank the Australian Research Council, University of New South Wales, National Estate Program Grants Committee, and Phil Creaser and the CREATE Fund for financial support. They also thank the Queensland Museum, Riversleigh Society and professional and student colleagues including Karen Black, Anna Gillespie, Sally Cowan and the late Stephan Williams for assistance in collecting and preparing materials used in this study. All authors thank Dr Edison V. Oliveira (Porto Alegre) for providing casts of comparative fossil material, and S. Lindsay and L. Datas for SEM photography.</t>
  </si>
  <si>
    <t>0016-6995</t>
  </si>
  <si>
    <t>1777-5728</t>
  </si>
  <si>
    <t>GEOBIOS-LYON</t>
  </si>
  <si>
    <t>Geobios</t>
  </si>
  <si>
    <t>NOV-DEC</t>
  </si>
  <si>
    <t>10.1016/j.geobios.2009.08.001</t>
  </si>
  <si>
    <t>536JX</t>
  </si>
  <si>
    <t>WOS:000273041800010</t>
  </si>
  <si>
    <t>Flowerdew, MJ; Chew, DM; Daly, JS; Millar, IL</t>
  </si>
  <si>
    <t>Flowerdew, M. J.; Chew, D. M.; Daly, J. S.; Millar, I. L.</t>
  </si>
  <si>
    <t>Hidden Archaean and Palaeoproterozoic crust in NW Ireland? Evidence from zircon Hf isotopic data from granitoid intrusions</t>
  </si>
  <si>
    <t>GEOLOGICAL MAGAZINE</t>
  </si>
  <si>
    <t>zircon; Hf isotope; granite; petrogenesis; Caledonides</t>
  </si>
  <si>
    <t>U-PB; LU-HF; LEWISIAN COMPLEX; GRAMPIAN OROGENY; DETRITAL ZIRCON; SM-ND; PROTEROZOIC BASEMENT; DALRADIAN SUPERGROUP; NORTHWEST SCOTLAND; WESTERN IRELAND</t>
  </si>
  <si>
    <t>The presence of major crystalline basement provinces at depth in NW Ireland is inferred from in situ Hf isotope analysis of zircons from granitoid rocks that cut structurally overlying metasedimentary rocks. Granitoids in two of these units, the Slishwood Division and the Tyrone Central Inlier, contain complex zircons with core and rim structures. In both cases, cores have average epsilon Hf values that differ from the average epsilon Hf values of the rims at 470 Ma (the time of granitoid intrusion). The Hf data and similarity in U-Pb age between the inherited cores and detrital zircons from the host metasedimentary rocks suggests local contamination during intrusion rather than transport of the grains from the Source region at depth. Rims from the Slishwood Division intrusions have average epsilon Hf-470 values of -7.7, consistent with a derivation from juvenile Palaeoproterozoic crust, such as the Annagh Gneiss Complex or Rhinns Complex of NW Ireland, implying that the deep crust underlying the Slishwood Division is made of similar material. Rims from the Tyrone Central Inlier have extremely negative epsilon Hf-470 values of approximately -39. This isotopic signature requires an Archaean source, suggesting rocks similar to the Lewisian Complex of Scotland, or sediment derived wholly from it, occurs at depth in NW Ireland.</t>
  </si>
  <si>
    <t>[Flowerdew, M. J.] British Antarctic Survey, Cambridge CB3 0ET, England; [Chew, D. M.] Univ Dublin Trinity Coll, Dept Geol, Dublin 2, Ireland; [Daly, J. S.] Univ Coll Dublin, Sch Geol Sci, Dublin 4, Ireland; [Millar, I. L.] Kingsley Dunham Ctr, Isotope Geosci Lab, NERC, Nottingham NG12 5GG, England</t>
  </si>
  <si>
    <t>UK Research &amp; Innovation (UKRI); Natural Environment Research Council (NERC); NERC British Antarctic Survey; Trinity College Dublin; University College Dublin; UK Research &amp; Innovation (UKRI); Natural Environment Research Council (NERC); NERC British Geological Survey</t>
  </si>
  <si>
    <t>Flowerdew, MJ (corresponding author), British Antarctic Survey, Madingley Rd, Cambridge CB3 0ET, England.</t>
  </si>
  <si>
    <t>mf@bas.ac.uk</t>
  </si>
  <si>
    <t>Millar, Ian L/F-1541-2010; Chew, David M/B-7828-2008; Daly, J. Stephen/B-4836-2012</t>
  </si>
  <si>
    <t>Chew, David M/0000-0002-6940-1035; Daly, J. Stephen/0000-0001-6390-905X; Flowerdew, Michael/0000-0002-9710-2593</t>
  </si>
  <si>
    <t>Natural Environment Research Council [nigl010001, bas010020, bgs04003] Funding Source: researchfish; NERC [bas010020, nigl010001, bgs04003] Funding Source: UKRI</t>
  </si>
  <si>
    <t>0016-7568</t>
  </si>
  <si>
    <t>1469-5081</t>
  </si>
  <si>
    <t>GEOL MAG</t>
  </si>
  <si>
    <t>Geol. Mag.</t>
  </si>
  <si>
    <t>10.1017/S0016756809990227</t>
  </si>
  <si>
    <t>513GB</t>
  </si>
  <si>
    <t>WOS:000271309500005</t>
  </si>
  <si>
    <t>Mckay, R; Browne, G; Carter, L; Cowan, E; Dunbar, G; Krissek, L; Naish, T; Powell, R; Reed, J; Talarico, F; Wilch, T</t>
  </si>
  <si>
    <t>McKay, Robert; Browne, Greg; Carter, Lionel; Cowan, Ellen; Dunbar, Gavin; Krissek, Lawrence; Naish, Tim; Powell, Ross; Reed, Josh; Talarico, Franco; Wilch, Thomas</t>
  </si>
  <si>
    <t>The stratigraphic signature of the late Cenozoic Antarctic Ice Sheets in the Ross Embayment</t>
  </si>
  <si>
    <t>GEOLOGICAL SOCIETY OF AMERICA BULLETIN</t>
  </si>
  <si>
    <t>GLACIMARINE SEDIMENTARY PROCESSES; PLEISTOCENE-HOLOCENE RETREAT; LAST GLACIAL MAXIMUM; DRY VALLEYS REGION; MARINE SEDIMENTATION; SEA; SHELF; SYSTEM; DISCHARGE; PENINSULA</t>
  </si>
  <si>
    <t>A 1284.87-m-long sediment core (AND-1B) from beneath the McMurdo sector of the Ross Ice Shelf provides the most complete single section record to date of fluctuations of the Antarctic Ice Sheets over the last 13 Ma. The core contains a succession of subglacial, glacimarine, and marine sediments that comprise similar to 58 depositional sequences of orbitalscale duration. These cycles are constrained by a chronology based on biostratigraphic, magnetostratigraphic, and 40Ar/39Ar isotopic ages. Each sequence represents a record of a grounded ice-sheet advance and retreat cycle over the AND-1B drill site, and all sediments represent subglacial or marine deposystems with no subaerial exposure surfaces or terrestrial deposits. On the basis of characteristic facies within these sequences, and through comparison with sedimentation in modern glacial environments from various climatic and glacial settings, we identify three facies associations or sequence motifs that are linked to major changes in ice-sheet volume, glacial thermal regime, and climate. Motif I is documented in the late Pleistocene and in the late Middle Miocene intervals of AND-1B, and it is dominated by diamictite of subglacial origin overlain by thin mudstones interpreted as ice-shelf deposits. Motif 1 sequences lack evidence of subglacial meltwater and represent glaciation under cold, polar-type conditions. Motif 2 sequences were deposited during the Pliocene and early Pleistocene section of AND-1B and are characterized by subglacial diamictite overlain by a relatively thin proglacial-marine succession of mudstone-rich facies deposited during glacial retreat. Glacial minima are represented by diatom-bearing mudstone, and diatomite. Motif 2 represents glacial retreat and advance under a subpolar to polar style of glaciation that was warmer than present, but that had limited amounts of subglacial meltwater. Motif 3 consists of subglacial diamictite that grades upward into a 5- to 10-m-thick proglacial retreat succession of stratified diamictite, graded conglomerate and sandstone, graded sandstone, and/or rhythmically stratified mudstone. Thick mudstone intervals, rather than diatomite-dominated deposition during glacial minima, suggest increased input of meltwater from nearby terrestrial sources during glacial minima. Motif 3 represents Late Miocene subpolar-style glaciation with significant volumes of glacially derived meltwater.</t>
  </si>
  <si>
    <t>[McKay, Robert; Carter, Lionel; Dunbar, Gavin; Naish, Tim] Victoria Univ Wellington, Antarctic Res Ctr, Wellington, New Zealand; [Browne, Greg; Naish, Tim] GNS Sci, Lower Hutt, New Zealand; [Cowan, Ellen] Appalachian State Univ, Dept Geol, Boone, NC 28608 USA; [Krissek, Lawrence] Ohio State Univ, Sch Earth Sci, Columbus, OH 43210 USA; [Krissek, Lawrence] Ohio State Univ, Byrd Polar Res Ctr, Columbus, OH 43210 USA; [Powell, Ross] No Illinois Univ, Dept Geol &amp; Environm Geosci, De Kalb, IL 60115 USA; [Reed, Josh] Univ Nebraska, ANDRILL Sci Management Off, Lincoln, NE 68588 USA; [Talarico, Franco] Univ Siena, Dipartimento Sci Terra, I-53100 Siena, Italy; [Wilch, Thomas] Albion Coll, Dept Geol, Albion, MI 49224 USA</t>
  </si>
  <si>
    <t>Victoria University Wellington; GNS Science - New Zealand; University of North Carolina; Appalachian State University; University System of Ohio; Ohio State University; University System of Ohio; Ohio State University; Northern Illinois University; University of Nebraska System; University of Nebraska Lincoln; University of Siena; Albion College</t>
  </si>
  <si>
    <t>Mckay, R (corresponding author), Victoria Univ Wellington, Antarctic Res Ctr, POB 600, Wellington, New Zealand.</t>
  </si>
  <si>
    <t>robert.mckay@vuw.ac.nz</t>
  </si>
  <si>
    <t>McKay, Robert/N-2449-2015</t>
  </si>
  <si>
    <t>McKay, Robert/0000-0002-5602-6985; Naish, Tim/0000-0002-1185-9932</t>
  </si>
  <si>
    <t>GEOLOGICAL SOC AMER, INC</t>
  </si>
  <si>
    <t>PO BOX 9140, BOULDER, CO 80301-9140 USA</t>
  </si>
  <si>
    <t>0016-7606</t>
  </si>
  <si>
    <t>1943-2674</t>
  </si>
  <si>
    <t>GEOL SOC AM BULL</t>
  </si>
  <si>
    <t>Geol. Soc. Am. Bull.</t>
  </si>
  <si>
    <t>11-12</t>
  </si>
  <si>
    <t>10.1130/B26540.1</t>
  </si>
  <si>
    <t>507LJ</t>
  </si>
  <si>
    <t>WOS:000270854700004</t>
  </si>
  <si>
    <t>Milliken, KT; Anderson, JB; Wellner, JS; Bohaty, SM; Manley, PL</t>
  </si>
  <si>
    <t>Milliken, K. T.; Anderson, J. B.; Wellner, J. S.; Bohaty, S. M.; Manley, P. L.</t>
  </si>
  <si>
    <t>High-resolution Holocene climate record from Maxwell Bay, South Shetland Islands, Antarctica</t>
  </si>
  <si>
    <t>KING GEORGE ISLAND; LAST GLACIAL MAXIMUM; GLACIMARINE SEDIMENTARY PROCESSES; SEA-LEVEL RECORD; MARIAN COVE; ICE-SHEET; GLACIOMARINE SEDIMENTATION; ORGANIC-MATTER; PENINSULA; VARIABILITY</t>
  </si>
  <si>
    <t>The highest resolution Holocene sediment core from the Antarctic Peninsula to date was collected during the first SHALDRIL cruise (NBP0502). Drilling yielded a 108.2-m-long core (87% recovery; site NBP0502-1B) from Maxwell Bay, South Shetland Islands. This high-resolution sediment record comes from a region that is currently experiencing dramatic climate change and associated glacial retreat. Such records can help to constrain the nature of past climate change and causal mechanisms, and to provide a context for evaluating current climate change and its impacts. The base or the drift site sampled till and/or proximal glacimarine sediments resting directly on bedrock. Glacimarine suspension deposits composed of dark greenish gray silty, mud with variable diatom abundance and scattered very fine sand laminations make up the majority of the sedimentary section. Detailed sedimentological and geochemical analyses, including magnetic susceptibility, total organic carbon (TOC) content, carbon and nitrogen isotopic composition, pebble content, and biogenic silica content, allow subdivision of the glacimarine section into nine units, and seismic facies analyses resulted in the identification of six distinct seismic units. We used 29 radiocarbon ages to construct an age model and calculate sedimentation rates that vary by two orders of magnitude, from 0.7 mm/a to similar to 30 mm/a. Radiocarbon ages from glacimarine sediments just above the till date back to between 14.1 and 14.8 ka. Thus, ice was grounded in the fjord during the Last Glacial Maximum and eroded older sediments from the fjord. Following initial retreat of grounded ice from Maxwell Bay, the fjord was covered by a permanent floating ice canopy, probably an ice tongue. The highest sedimentation rate corresponds to an interval that contains abundant sand laminations and gravelly mud intervals and likely represents a melt-out phase or period of rapid glacial retreat from 10.1 ka to 8.2 ka. There is no evidence for an early Holocene climatic reversal, as recorded farther south at the Palmer Deep drill site. Minimum sea-ice cover and warm water conditions occurred between 8.2 and 5.9 ka. From 5.9 to 2.6 ka, there was a gradual cooling and more extensive sea-ice cover in the bay. After 2.6 ka, the climate varied slightly, causing only subtle variation in glacier grounding lines. There is no compelling evidence for a Little Ice Age readvance in Maxwell Bay. The current warming and associated glacial response in the northern Antarctic Peninsula appears to be unprecedented in its synchroneity and widespread impact.</t>
  </si>
  <si>
    <t>[Milliken, K. T.; Anderson, J. B.] Rice Univ, Dept Earth Sci, Houston, TX 77251 USA; [Wellner, J. S.] Univ Houston, Houston, TX 77204 USA; [Bohaty, S. M.] Univ Southampton, Natl Oceanog Ctr, Southampton S014 3ZH, Hants, England; [Manley, P. L.] Middlebury Coll, Dept Geol, Middlebury, VT 05753 USA</t>
  </si>
  <si>
    <t>Rice University; University of Houston System; University of Houston; NERC National Oceanography Centre; University of Southampton</t>
  </si>
  <si>
    <t>Milliken, KT (corresponding author), Rice Univ, Dept Earth Sci, MS 126,POB 1892, Houston, TX 77251 USA.</t>
  </si>
  <si>
    <t>johna@esci.rice.edu</t>
  </si>
  <si>
    <t>Anderson, John/B-1011-2012</t>
  </si>
  <si>
    <t>National Science Foundation Office of Polar Programs (OPP) [01-25922]; Division Of Polar Programs; Directorate For Geosciences [0739596] Funding Source: National Science Foundation</t>
  </si>
  <si>
    <t>National Science Foundation Office of Polar Programs (OPP)(National Science Foundation (NSF)); Division Of Polar Programs; Directorate For Geosciences(National Science Foundation (NSF)NSF - Directorate for Geosciences (GEO))</t>
  </si>
  <si>
    <t>The data for this study were collected on the 2005 SHALDRIL cruise. We acknowledge the NBP0502 SHALDRIL I Shipboard Scientific Party for all the hard work necessary to collect these data. We thank the RV/IB Nathanial B. Pahner crew and Raytheon Polar Services technical personnel for the support during the cruise. This project was funded by the National Science Foundation Office of Polar Programs (OPP) award 01-25922. We also thank our reviewers, S. Brachfeld, an anonymous reviewer. and associate editor D. Marchant. whose suggestions and critique improved this paper.</t>
  </si>
  <si>
    <t>10.1130/B26478.1</t>
  </si>
  <si>
    <t>WOS:000270854700015</t>
  </si>
  <si>
    <t>Roberts, SJ; Hodgson, DA; Bentley, MJ; Sanderson, DCW; Milne, G; Smith, JA; Verleyen, E; Balbo, A</t>
  </si>
  <si>
    <t>Roberts, S. J.; Hodgson, D. A.; Bentley, M. J.; Sanderson, D. C. W.; Milne, G.; Smith, J. A.; Verleyen, E.; Balbo, A.</t>
  </si>
  <si>
    <t>Holocene relative sea-level change and deglaciation on Alexander Island, Antarctic Peninsula, from elevated lake deltas</t>
  </si>
  <si>
    <t>GEOMORPHOLOGY</t>
  </si>
  <si>
    <t>Antarctica; Hypsithermal; Luminescence dating; Subglacial lakes</t>
  </si>
  <si>
    <t>LAST GLACIAL MAXIMUM; VI ICE SHELF; THERMAL TRANSFER; LUMINESCENCE; SEDIMENTS; HISTORY; QUARTZ; SHEET; DEPOSITS; RETREAT</t>
  </si>
  <si>
    <t>Field data constraining the rate and spatial pattern of deglaciation and relative sea-level (RSL) change on the Antarctic Peninsula (AP) are relatively sparse, but are needed to improve regional ice sheet and RSL change models, and contribute to better model predictions of future sea-level rise. We investigated the geomorphology, sedimentology and quartz-fraction single aliquot regeneration optically-stimulated luminescence (SAR-OSL) geochronology of elevated deltas around two epishelf lakes, Ablation Lake (AL) and Moutonnee Lake (ML), Alexander Island, Antarctic Peninsula. AL and ML are dammed by George VI Ice Shelf, and maintain a direct hydraulic connection to the sea; hence, their water levels are controlled by changes in RSL. Our aim was to provide new terrestrial constraints on RSL and deglaciation for the southern AP by comparing the formation processes, age and altitude of the AL and ML deltas with: (1) existing RSL curves for the AP; (2) isostatically-coupled AP ice sheet models, and (3) existing AP deglaciation history and SAR-OSL ages from elevated deltas around the nearby inland Hodgson Lake (HL). Although there was insufficient quartz in the ML samples for SAR-OSL dating, the 4.6 +/- 0.4 ka SAR-OSL age of the elevated delta at AL represents the last time active deltas were forming higher than present day lake level, and implies: (1) a fall in RSL of up to 14.4 m since the mid-Holocene in this part of Alexander Island, which is consistent with existing field-based RSL chronologies for the AP; (2) relatively smaller ice masses than suggested by some (but not all) isostatically-coupled ice sheet models since the mid-Holocene, and (3) significant mid-Holocene thinning of the AP ice sheets, which is consistent with regional sediment core data and cosmogenic exposure ages, and the 4.4 +/- 0.7 ka SAR-OSL age of the lowermost HL delta. (C) 2009 Elsevier B. V. All rights reserved.</t>
  </si>
  <si>
    <t>[Roberts, S. J.; Hodgson, D. A.; Bentley, M. J.; Smith, J. A.; Balbo, A.] British Antarctic Survey, NERC, Cambridge CB3 0ET, England; [Bentley, M. J.] Univ Durham, Dept Geog, Durham DH1 3LE, England; [Sanderson, D. C. W.] SUERC, E Kilbride, Lanark, Scotland; [Milne, G.] Univ Ottawa, Dept Earth Sci, Ottawa, ON K1N 6N5, Canada; [Verleyen, E.] Univ Ghent, Dept Biol, Sect Protistol &amp; Aquat Ecol, B-9000 Ghent, Belgium</t>
  </si>
  <si>
    <t>UK Research &amp; Innovation (UKRI); Natural Environment Research Council (NERC); NERC British Antarctic Survey; Durham University; Scottish Universities Research &amp; Reactor Center; University of Ottawa; Ghent University</t>
  </si>
  <si>
    <t>Roberts, SJ (corresponding author), British Antarctic Survey, NERC, High Cross,Madingley Rd, Cambridge CB3 0ET, England.</t>
  </si>
  <si>
    <t>sjro@bas.ac.uk</t>
  </si>
  <si>
    <t>Smith, James A/N-1836-2013; Bentley, Michael J/F-7386-2011</t>
  </si>
  <si>
    <t>Bentley, Michael J/0000-0002-2048-0019; Balbo, Andrea Luca/0000-0002-3906-375X; Roberts, Stephen/0000-0003-3407-9127</t>
  </si>
  <si>
    <t>NERC [bas0100024] Funding Source: UKRI; Natural Environment Research Council [bas0100024] Funding Source: researchfish</t>
  </si>
  <si>
    <t>0169-555X</t>
  </si>
  <si>
    <t>1872-695X</t>
  </si>
  <si>
    <t>Geomorphology</t>
  </si>
  <si>
    <t>10.1016/j.geomorph.2009.05.011</t>
  </si>
  <si>
    <t>541BR</t>
  </si>
  <si>
    <t>WOS:000273386600009</t>
  </si>
  <si>
    <t>Sauter, D; Cannat, M; Meyzen, C; Bezos, A; Patriat, P; Humler, E; Debayle, E</t>
  </si>
  <si>
    <t>Sauter, Daniel; Cannat, Mathilde; Meyzen, Christine; Bezos, Antoine; Patriat, Philippe; Humler, Eric; Debayle, Eric</t>
  </si>
  <si>
    <t>Propagation of a melting anomaly along the ultraslow Southwest Indian Ridge between 46°E and 52°20'E: interaction with the Crozet hotspot?</t>
  </si>
  <si>
    <t>GEOPHYSICAL JOURNAL INTERNATIONAL</t>
  </si>
  <si>
    <t>Magnetic anomalies: modelling and interpretation; Mid-ocean ridge processes; Hotspots; Indian Ocean</t>
  </si>
  <si>
    <t>OCEANIC CRUSTAL THICKNESS; HELIUM ISOTOPE EVIDENCE; SLOW-SPREADING RIDGE; MID-ATLANTIC RIDGE; II FRACTURE-ZONE; V-SHAPED RIDGES; HIGH HE-3/HE-4; GRAVITY-ANOMALIES; TRIPLE JUNCTION; MANTLE PLUMES</t>
  </si>
  <si>
    <t>P&gt;Regional axial depths, mantle Bouguer anomaly values, geochemical proxies for the extent of partial melting and tomographic models along the Southwest Indian Ridge (SWIR) all concur in indicating the presence of thicker crust and hotter mantle between the Indomed and Gallieni transform faults (TFs; 46 degrees E and 52 degrees 20'E) relative to the neighbouring ridge sections. Accreted seafloor between these TFs over the past similar to 10 Myr is also locally much shallower (&gt; 1000 m) and corresponds to thicker crust (&gt; 1.7 km) than previously accreted seafloor along the same ridge region. Two large outward facing topographic gradients mark the outer edges of two anomalously shallow off-axis domains on the African and Antarctic plates. Their vertical relief (&gt; 2000 m locally) and their geometry, parallel to the present-day axis along a &gt; 210-km-long ridge section, suggest an extremely sudden and large event dated between similar to 8 (magnetic anomaly C4n) and similar to 11 Ma (magnetic anomaly C5n). Asymmetric spreading and small ridge jumps occur at the onset of the formation of the anomalously shallow off-axis domains, leading to a re-organization of the ridge segmentation. We interpret these anomalously shallow off-axis domains as the relicts of a volcanic plateau due to a sudden increase of the magma supply. This event of enhanced magmatism started in the central part of the ridge section and then propagated along axis to the east and probably also to the west. However, it did not cross the Gallieni and Indomed TFs suggesting that large offsets can curtail or even block along-axis melt flow. We propose that this melting anomaly may be ascribed to a regionally higher mantle temperature provided by mantle outpouring from the Crozet hotspot towards the SWIR.</t>
  </si>
  <si>
    <t>[Sauter, Daniel; Debayle, Eric] Univ Strasbourg, Ecole &amp; Observ Sci Terre, CNRS, Inst Phys Globe Strasbourg,UMR7516, F-67084 Strasbourg, France; [Cannat, Mathilde; Patriat, Philippe] Inst Phys Globe Strasbourg, CNRS, Lab Geosci Marines, UMR7097, F-75252 Paris 05, France; [Meyzen, Christine] Univ Lyon 1, Ecole Natl Super Lyon, CNRS, Lab Sci Terre,UMR5570, F-69364 Lyon 07, France; [Bezos, Antoine; Humler, Eric] Univ Nantes, Lab Planetol &amp; Geodynam, CNRS, UMR6112, F-44322 Nantes 3, France</t>
  </si>
  <si>
    <t>Centre National de la Recherche Scientifique (CNRS); CNRS - National Institute for Earth Sciences &amp; Astronomy (INSU); Universites de Strasbourg Etablissements Associes; Universite de Strasbourg; Centre National de la Recherche Scientifique (CNRS); Centre National de la Recherche Scientifique (CNRS); Universite Claude Bernard Lyon 1; Ecole Normale Superieure de Lyon (ENS de LYON); Nantes Universite; Centre National de la Recherche Scientifique (CNRS); CNRS - National Institute for Earth Sciences &amp; Astronomy (INSU)</t>
  </si>
  <si>
    <t>Sauter, D (corresponding author), Univ Strasbourg, Ecole &amp; Observ Sci Terre, CNRS, Inst Phys Globe Strasbourg,UMR7516, 1 Rue Blessig, F-67084 Strasbourg, France.</t>
  </si>
  <si>
    <t>daniel.sauter@eost.u-strasbg.fr</t>
  </si>
  <si>
    <t>sauter, daniel/K-6532-2014; Cannat, Mathilde/F-9304-2010; sauter, daniel/Q-5519-2019; pgp, lgm/F-8796-2010; Meyzen, Christine/L-1941-2015; Debayle, Eric/D-3738-2012</t>
  </si>
  <si>
    <t>sauter, daniel/0000-0003-3651-8090; Cannat, Mathilde/0000-0002-5157-8473; sauter, daniel/0000-0003-3651-8090; Meyzen, Christine/0000-0002-7529-5347; Debayle, Eric/0000-0002-9438-7060</t>
  </si>
  <si>
    <t>Centre National de la Recherche Scientifique (CNRS-INSU).</t>
  </si>
  <si>
    <t>Centre National de la Recherche Scientifique (CNRS-INSU).(Centre National de la Recherche Scientifique (CNRS))</t>
  </si>
  <si>
    <t>We thank officers and crew of the R/V Marion Dufresne for their assistance during the 'SWIFT' cruise. We also thank two anonymous reviewers for very constructive reviews and suggestions. Figures were created using the public domain GMT software (Wessel &amp; Smith 1995). Participation to the cruise and post-cruise studies were supported by the Centre National de la Recherche Scientifique (CNRS-INSU).</t>
  </si>
  <si>
    <t>0956-540X</t>
  </si>
  <si>
    <t>1365-246X</t>
  </si>
  <si>
    <t>GEOPHYS J INT</t>
  </si>
  <si>
    <t>Geophys. J. Int.</t>
  </si>
  <si>
    <t>10.1111/j.1365-246X.2009.04308.x</t>
  </si>
  <si>
    <t>504XU</t>
  </si>
  <si>
    <t>WOS:000270652300002</t>
  </si>
  <si>
    <t>Florindo, F; Harwood, DM; Levy, RH</t>
  </si>
  <si>
    <t>Florindo, Fabio; Harwood, David M.; Levy, Richard H.</t>
  </si>
  <si>
    <t>Introduction to Cenozoic Antarctic glacial history</t>
  </si>
  <si>
    <t>[Florindo, Fabio] Ist Nazl Geofis &amp; Vulcanol, I-00143 Rome, Italy; [Harwood, David M.] Univ Nebraska, Dept Geosci, Lincoln, NE 68588 USA; [Levy, Richard H.] GNS Sci, Lower Hutt 5040, New Zealand</t>
  </si>
  <si>
    <t>Istituto Nazionale Geofisica e Vulcanologia (INGV); University of Nebraska System; University of Nebraska Lincoln; GNS Science - New Zealand</t>
  </si>
  <si>
    <t>Florindo, F (corresponding author), Ist Nazl Geofis &amp; Vulcanol, Via Vigna Murata 605, I-00143 Rome, Italy.</t>
  </si>
  <si>
    <t>fabio.florindo@ingv.it</t>
  </si>
  <si>
    <t>Florindo, Fabio/F-4119-2010; Florindo, Fabio/AAU-2548-2021; Florindo, Fabio/M-1459-2019; Levy, Richard H/E-2477-2011</t>
  </si>
  <si>
    <t>Florindo, Fabio/0000-0002-6058-9748; Florindo, Fabio/0000-0002-6058-9748; Levy, Richard/0000-0002-8783-0167</t>
  </si>
  <si>
    <t>V</t>
  </si>
  <si>
    <t>VII</t>
  </si>
  <si>
    <t>10.1016/j.gloplacha.2009.11.001</t>
  </si>
  <si>
    <t>532ZG</t>
  </si>
  <si>
    <t>WOS:000272789700001</t>
  </si>
  <si>
    <t>Dunbar, GB; Bertler, NAN; McKay, RM</t>
  </si>
  <si>
    <t>Dunbar, G. B.; Bertler, N. A. N.; McKay, R. M.</t>
  </si>
  <si>
    <t>Sediment flux through the McMurdo Ice Shelf in Windless Bight, Antarctica</t>
  </si>
  <si>
    <t>Symposium on Cenozoic Antarctic Glacial History held at the 33rd International Geological Congress</t>
  </si>
  <si>
    <t>AUG 06-14, 2008</t>
  </si>
  <si>
    <t>Oslo, NORWAY</t>
  </si>
  <si>
    <t>Antarctica; ice core; McMurdo Ice Shelf; aeolian; Holocene; sedimentation</t>
  </si>
  <si>
    <t>BENEATH; RETREAT; DUST</t>
  </si>
  <si>
    <t>A 19.8 m long firn core from the McMurdo Ice Shelf was analysed for dust concentration in order to calculate the contribution of aeolian sediment to sub-ice shelf sedimentation. The topmost 16 m of our record is dated using annual delta(18)O layer counting which indicates the record is similar to 35 years in length. We estimate an average annual accumulation rate of 0.80 g m(-2) year of aeolian sediment onto the ice shelf surface at the core site. Comparison with nearby weather station data shows that the strongest 1% storms (winds &gt;35 m s(-1)) originate exclusively from the south and a general correlation between storminess and measured aeolian sediment fallout rate at the core site is apparent. We use a simple ice flow model to calculate basal melt rates and hence dust flux through the ice shelf. The annual flux of sediment released from the base of the ice shelf to the sea floor is 2.2 g m(-2) year, which equates to a linear sedimentation rate of 0.22 cm ky(-1), assuming a sea floor sediment density of 1.6 g cm(-3). This rate can only account for 3-6% of the fine-grained post-glacial sediment that has accumulated there, highlighting the importance of the proximity of the calving (or grounding) lines for the supply of fine-grained sediment to the sub-ice shelf cavity. (C) 2009 Elsevier B.V. All rights reserved.</t>
  </si>
  <si>
    <t>[Dunbar, G. B.; Bertler, N. A. N.; McKay, R. M.] Victoria Univ Wellington, Antarctic Res Ctr, Wellington, New Zealand; [Bertler, N. A. N.] Natl Isotope Ctr, GNS Sci, Lower Hutt 5010, New Zealand</t>
  </si>
  <si>
    <t>Victoria University Wellington; GNS Science - New Zealand</t>
  </si>
  <si>
    <t>Dunbar, GB (corresponding author), Victoria Univ Wellington, Antarctic Res Ctr, POB 600, Wellington, New Zealand.</t>
  </si>
  <si>
    <t>gavin.dunbar@vuw.ac.nz</t>
  </si>
  <si>
    <t>McKay, Robert/N-2449-2015; Bertler, Nancy A N/F-3967-2011</t>
  </si>
  <si>
    <t>McKay, Robert/0000-0002-5602-6985; Bertler, Nancy/0000-0001-6028-4891</t>
  </si>
  <si>
    <t>10.1016/j.gloplacha.2009.05.007</t>
  </si>
  <si>
    <t>WOS:000272789700002</t>
  </si>
  <si>
    <t>Giorgetti, G; Talarico, F; Sandroni, S; Zeoli, A</t>
  </si>
  <si>
    <t>Giorgetti, Giovanna; Talarico, Franco; Sandroni, Sonia; Zeoli, Antonio</t>
  </si>
  <si>
    <t>Provenance of Pleistocene sediments in the ANDRILL AND-1B drillcore: Clay and heavy mineral data</t>
  </si>
  <si>
    <t>provenance; clay minerals; heavy minerals; ANDRILL; Ross Sea; Antarctica</t>
  </si>
  <si>
    <t>ANTARCTIC ICE-SHEET; MCMURDO SOUND; MARINE-SEDIMENTS; ASSEMBLAGES; SEPARATION; EVOLUTION; ATLANTIC; PLIOCENE; REGION; CORE</t>
  </si>
  <si>
    <t>The cryosphere in the McMurdo Sound region has undergone significant modifications during the last 1 Ma. Consequently, the sedimentary sequences underlying the modern McMurdo Ice-Shelf provide geological data to reconstruct variations in transport and depositional mechanisms of terrigenous material due to variations in ice sheet extension, grounding line position and main ice-stream flow directions during glacial and interglacial periods. The present study aims to investigate the clay and heavy mineral assemblages of the late Pleistocene subglacial and glaciomarine sediments recovered during the ANDRILL-McMurdo Ice Shelf Project in Windless Bight (South of Ross Island). The analyses show that the sediments are a mix of detritus from the McMurdo Volcanic Group (MVG) and the Transantarctic Mountains (TAM) from the south and west. MVG-derived minerals prevail with respect to TAM-derived minerals. The down-core mineralogical variations are determined by changes in the source rocks and the sedimentary processes. Sediments at the drill site are nourished by ice coming from the South which delivered rocks from the McMurdo Volcanic region; the enrichment of a TAM component in massive diamictites testifies that the ice sheet collected debris from the Transantarctic Mountains. When open marine conditions prevailed, only sediments from a local source (i.e. McMurdo volcanics) were deposited. (C) 2009 Elsevier B.V. All rights reserved.</t>
  </si>
  <si>
    <t>[Giorgetti, Giovanna; Talarico, Franco] Univ Siena, Dipartimento Sci Terra, I-53100 Siena, Italy; [Sandroni, Sonia; Zeoli, Antonio] Univ Siena, Museo Nazl Antartide, Sez Sci Terra, I-53100 Siena, Italy</t>
  </si>
  <si>
    <t>University of Siena; University of Siena</t>
  </si>
  <si>
    <t>Giorgetti, G (corresponding author), Univ Siena, Dipartimento Sci Terra, Via Laterino 8, I-53100 Siena, Italy.</t>
  </si>
  <si>
    <t>giorgettig@unisi.it</t>
  </si>
  <si>
    <t>Sandroni, Sonia/C-7188-2008; talarico, franco/G-9472-2012</t>
  </si>
  <si>
    <t>Sandroni, Sonia/0000-0002-7941-7145; talarico, franco/0000-0002-7254-4301; Giorgetti, Giovanna/0000-0001-6233-4485</t>
  </si>
  <si>
    <t>10.1016/j.gloplacha.2009.03.018</t>
  </si>
  <si>
    <t>WOS:000272789700003</t>
  </si>
  <si>
    <t>Talarico, FM; Sandroni, S</t>
  </si>
  <si>
    <t>Talarico, F. M.; Sandroni, S.</t>
  </si>
  <si>
    <t>Provenance signatures of the Antarctic Ice Sheets in the Ross Embayment during the Late Miocene to Early Pliocene: The ANDRILL AND-1B core record</t>
  </si>
  <si>
    <t>clasts; provenance; East Antarctic Ice Sheet; West Antarctic Ice Sheet; Pliocene; Miocene</t>
  </si>
  <si>
    <t>SOUTH-VICTORIA-LAND; SKELTON GLACIER AREA; MCMURDO SOUND; TRANSANTARCTIC MOUNTAINS; SEA; EVOLUTION; FLOW; GEOCHEMISTRY; SHELF; RECONSTRUCTION</t>
  </si>
  <si>
    <t>Significant down-core modal and compositional variations are described for granule- to cobble-sized clasts in the Early Pliocene to Middle/Late Miocene sedimentary cycles of the AND-1B drill core at the NW edge of the Ross Ice Shelf (McMurdo Sound). Long-term shifts in compositional patterns outline an evolving provenance which is interpreted as reflecting the combined effects and complex interactions among variations in ice volume, ice flow patterns and paleogeographic changes linked to the local tectonic and volcanic activity. High-frequency variations and the petrological features of the basement clast fraction provide direct information about the potential source regions during both glacial maxima and minima. Provenance of the more distal material is identified in the region between Ross Island and the Skelton-Mulock glacier area (South Victoria Land) (Plio-Late Miocene section) and in the Darwin Glacier catchment (Miocene section). The provenance shifts can be discussed for their implications on ice dynamic models for the glacial evolution recorded in the western Ross Embayment. Reconstructed ice flow directions are consistent with the glaciological models for the Last Glacial Maximum, and the provenance data corroborate the contributions of both the East and West Antarctic Ice Sheets in influencing the modifications of the ice flow pattern of grounded ice in the western Ross Embayment in Miocene to Pleistocene time. (C) 2009 Elsevier B.V. All rights reserved.</t>
  </si>
  <si>
    <t>[Talarico, F. M.] Univ Siena, Dipartimento Sci Terra, I-53100 Siena, Italy; [Sandroni, S.] Univ Siena, Museo Nacl Antartide, I-53100 Siena, Italy</t>
  </si>
  <si>
    <t>Talarico, FM (corresponding author), Univ Siena, Dipartimento Sci Terra, Via Laterina 8, I-53100 Siena, Italy.</t>
  </si>
  <si>
    <t>talarico@unisi.it</t>
  </si>
  <si>
    <t>Sandroni, Sonia/0000-0002-7941-7145; talarico, franco/0000-0002-7254-4301</t>
  </si>
  <si>
    <t>10.1016/j.gloplacha.2009.04.007</t>
  </si>
  <si>
    <t>WOS:000272789700004</t>
  </si>
  <si>
    <t>Marcano, MC; Mukasa, S; Lohmann, KC; Stefano, C; Taviani, M; Andronikov, A</t>
  </si>
  <si>
    <t>Marcano, Maria C.; Mukasa, Samuel; Lohmann, Kyger C.; Stefano, Christopher; Taviani, Marco; Andronikov, Alex</t>
  </si>
  <si>
    <t>Chronostratigraphic and paleoenvironmental constraints derived from the 87Sr/86Sr and δ18O signal of Miocene bivalves, Southern McMurdo Sound, Antarctica</t>
  </si>
  <si>
    <t>McMurdo Sound; paleoclimatology; veneridae; aragonite; Sr-87/Sr-86; O-18/O-16</t>
  </si>
  <si>
    <t>STRONTIUM ISOTOPE STRATIGRAPHY; NORTHERN VICTORIA-LAND; VOSTOK ICE CORE; LOOK-UP TABLE; GLOBAL CLIMATE; ROSS EMBAYMENT; HISTORY; RATIOS; VOLUME; OXYGEN</t>
  </si>
  <si>
    <t>Sr-87/Sr-86 measurements were carried out on samples of various macrofossil taxa recovered from the SMS AND-2A core with the main goal of improving age control of the core, and provide insight on marine climate at the time of carbonate precipitation. Shell material was carefully screened using cathodoluminescence (CL) to discern optimum areas for microdrilling. Powders thus obtained were in addition analyzed for Ca, Mg, Sr, Mn, and Fe contents to further evaluate the possibility of diagenetic alteration of the skeletal carbonate before measuring their Sr isotope compositions. Bivalves turned out to be the best candidates for isotopic determinations. Unaltered calcitic bivalves produced reliable Sr-87/Sr-86 age ranges. Aragonitic material, on the other hand, produced less radiogenic Sr-87/Sr-86 than anticipated, an unexpected result. Preliminary oxygen isotope determinations in calcite samples confirm contrasting marine climate conditions between the late Early Miocene (16.5-16.0 Ma), and the early Late Miocene (similar to 11 Ma). (C) 2009 Elsevier B.V. All rights reserved.</t>
  </si>
  <si>
    <t>[Marcano, Maria C.; Mukasa, Samuel; Lohmann, Kyger C.; Stefano, Christopher; Andronikov, Alex] Univ Michigan, Dept Geol Sci, Ann Arbor, MI 48109 USA; [Taviani, Marco] CNR, ISMAR, I-40126 Bologna, Italy</t>
  </si>
  <si>
    <t>University of Michigan System; University of Michigan; Consiglio Nazionale delle Ricerche (CNR); Istituto di Scienze Marine (ISMAR-CNR)</t>
  </si>
  <si>
    <t>Marcano, MC (corresponding author), Univ Michigan, Dept Geol Sci, 2534 CC Little Bldg,1100 N Univ Ave, Ann Arbor, MI 48109 USA.</t>
  </si>
  <si>
    <t>mariacm@umich.edu</t>
  </si>
  <si>
    <t>Taviani, Marco/AAF-2168-2020</t>
  </si>
  <si>
    <t>Taviani, Marco/0000-0003-0414-4274; Marcano, Maria/0000-0002-7476-5925; Lohmann, Kyger/0000-0002-0709-9192</t>
  </si>
  <si>
    <t>10.1016/j.gloplacha.2009.05.001</t>
  </si>
  <si>
    <t>WOS:000272789700005</t>
  </si>
  <si>
    <t>Atkins, CB; Dunbar, GB</t>
  </si>
  <si>
    <t>Atkins, C. B.; Dunbar, G. B.</t>
  </si>
  <si>
    <t>Aeolian sediment flux from sea ice into Southern McMurdo Sound, Antarctica</t>
  </si>
  <si>
    <t>aeolian; sea ice; ANDRILL; sedimentation; Antarctica; McMurdo</t>
  </si>
  <si>
    <t>ROSS SEA; VICTORIA-LAND; CONTINENTAL-SHELF; IRON; DEPOSITS; CLIMATE; WATERS; REGION; VALLEY; DUST</t>
  </si>
  <si>
    <t>Aeolian sediment accumulates on the surface of annual sea ice in Southern McMurdo Sound (SMS). It is sourced from ice-free areas around the sound and is released from the sea ice during annual melting and sinks to the sea floor. However, the volume, composition and contribution to overall sedimentation in the region have not previously been quantified. Here, we present the results of a systematic, quantitative field study of aeolian sediment on the surface of sea ice in SMS carried out during the drilling of the ANDRILL 2-2A drillhole during the austral summer of 2007. Our results reveal a surprisingly large volume of aeolian sediment (between 7.8 and 24.0 tonnes of aeolian sediment per km(2)) forming an elongate lobe extending north from the McMurdo Ice Shelf onto the sea ice surface. Detailed particle size analysis reveals distinctive fine sand and silt modes that progressively fine down wind, suggesting that the sediment is transported under two distinct wind transport processes. XRF grain composition analysis indicates that the material is predominantly volcanic and is sourced primarily from a large area of loose debris on the surface of the McMurdo Ice shelf. Comparison with modern sediment recovered from the sea floor shows a remarkable similarity in grain size distributions and suggests that the sea floor is dominated by aeolian sediment that has settled through the water column. Our calculations indicate that this process produces a sea floor sedimentation rate of up to 1.53 cm/ky in the local area. This new dataset quantifies the aeolian sediment flux in SMS and highlights the contribution of aeolian deposition to the modern sedimentary record in SMS. Furthermore, it draws attention to the recently demonstrated link between iron-bearing aeolian sediment release from sea ice and the triggering of phytoplankton blooms each spring. (C) 2009 Elsevier B.V. All rights reserved.</t>
  </si>
  <si>
    <t>[Atkins, C. B.] Victoria Univ Wellington, Sch Geog Environm &amp; Earth Sci, Wellington, New Zealand; [Dunbar, G. B.] Victoria Univ Wellington, Antarctic Res Ctr, Wellington, New Zealand</t>
  </si>
  <si>
    <t>Victoria University Wellington; Victoria University Wellington</t>
  </si>
  <si>
    <t>Atkins, CB (corresponding author), Victoria Univ Wellington, Sch Geog Environm &amp; Earth Sci, POB 600, Wellington, New Zealand.</t>
  </si>
  <si>
    <t>cliff.atkins@vuw.ac.nz</t>
  </si>
  <si>
    <t>10.1016/j.gloplacha.2009.04.006</t>
  </si>
  <si>
    <t>WOS:000272789700006</t>
  </si>
  <si>
    <t>Del Carlo, P; Panter, KS; Bassett, K; Bracciali, L; Di Vincenzo, G; Rocchi, S</t>
  </si>
  <si>
    <t>Del Carlo, P.; Panter, K. S.; Bassett, K.; Bracciali, L.; Di Vincenzo, G.; Rocchi, S.</t>
  </si>
  <si>
    <t>The upper lithostratigraphic unit of ANDRILL AND-2A core (Southern McMurdo Sound, Antarctica): Local Pleistocene volcanic sources, paleoenvironmental implications and subsidence in the southern Victoria Land Basin</t>
  </si>
  <si>
    <t>Antarctica; volcaniclastic sediments; Erebus Volcanic Province; paleoenvironment reconstruction; Victoria Land Basin</t>
  </si>
  <si>
    <t>TRANSANTARCTIC MOUNTAINS; ROSS SEA; ERUPTIVE HISTORY; DATING STANDARD; IRON OOIDS; ICE-SHEET; RIFT; EREBUS; SEDIMENTATION; TURBIDITES</t>
  </si>
  <si>
    <t>We report results from the study of the uppermost 37 m of the Southern McMurdo Sound (SMS) AND-2A drill core, corresponding to the lithostratigraphic unit 1 (LSU 1), the most volcanogenic unit within the core. We present data on the age, composition, volcanological and depositional features of the volcanic sedimentary and tephra deposits of LSU 1 and discuss their source, mechanisms of emplacement and environment of deposition. Sedimentary features and compositional data indicate shallow water sedimentation for the whole of LSU 1. Most of LSU 1 deposits are a mixture of near primary volcanic material with minor exotic clasts; derived from the Paleozoic crystalline basement rocks. Among volcanic materials, glassy particles are the most abundant. They were produced by mildly explosive basaltic eruptions occurring in subaerial and subaqueous environments. The Dailey Islands group. 13 km south-southwest of the SMS drill-site, has been identified as a possible source for the volcanics on the basis of similarity in composition and age. 40Ar-39Ar laser step-heating analyses on a lava sample from Juergens Island yields an age of 775 +/- 22 ka. Yet because of the minimal reworking features of vitriclasts, preservation of fragile structures in volcaniclastic sediments and evidence for volcanic seamounts to the north of the Dailey Islands, it is likely that some of the material originated also from vents close to the drill-site. Evidence for local volcanic sources and for deposition of sediments in a shallow marine environment provides indications about the local paleogeography and implications for the subsidence history of the southern Victoria Land Basin from Pleistocene to Recent. (C) 2009 Elsevier B.V. All rights reserved. We report results from the study of the uppermost 37 m of the Southern McMurdo Sound (SMS) AND-2A drill core, corresponding to the lithostratigraphic unit 1 (LSU 1), the most volcanogenic unit within the core. We present data on the age, composition, volcanological and depositional features of the volcanic sedimentary and tephra deposits of LSU 1 and discuss their source, mechanisms of emplacement and environment of deposition. Sedimentary features and compositional data indicate shallow water sedimentation for the whole of LSU 1. Most of LSU 1 deposits are a mixture of near primary volcanic material with minor exotic clasts; derived from the Paleozoic crystalline basement rocks. Among volcanic materials, glassy particles are the most abundant. They were produced by mildly explosive basaltic eruptions occurring in subaerial and subaqueous environments. The Dailey Islands group. 13 km south-southwest of the SMS drill-site, has been identified as a possible source for the volcanics on the basis of similarity in composition and age. 40Ar-39Ar laser step-heating analyses on a lava sample from Juergens Island yields an age of 775 +/- 22 ka. Yet because of the minimal reworking features of vitriclasts, preservation of fragile structures in volcaniclastic sediments and evidence for volcanic seamounts to the north of the Dailey Islands, it is likely that some of the material originated also from vents close to the drill-site. Evidence for local volcanic sources and for deposition of sediments in a shallow marine environment provides indications about the local paleogeography and implications for the subsidence history of the southern Victoria Land Basin from Pleistocene to Recent. (C) 2009 Elsevier B.V. All rights reserved. We report results from the study of the uppermost 37 m of the Southern McMurdo Sound (SMS) AND-2A drill core, corresponding to the lithostratigraphic unit 1 (LSU 1), the most volcanogenic unit within the core. We present data on the age, composition, volcanological and depositional features of the volcanic sedimentary and tephra deposits of LSU 1 and discuss their source, mechanisms of emplacement and environment of deposition. Sedimentary features and compositional data indicate shallow water sedimentation for the whole of LSU 1. Most of LSU 1 deposits are a mixture of near primary volcanic material with minor exotic clasts; derived from the Paleozoic crystalline basement rocks. Among volcanic materials, glassy particles are the most abundant. They were produced by mildly explosive basaltic eruptions occurring in subaerial and subaqueous environments. The Dailey Islands group. 13 km south-southwest of the SMS drill-site, has been identified as a possible source for the volcanics on the basis of similarity in composition and age. 40Ar-39Ar laser step-heating analyses on a lava sample from Juergens Island yields an age of 775 +/- 22 ka. Yet because of the minimal reworking features of vitriclasts, preservation of fragile structures in volcaniclastic sediments and evidence for volcanic seamounts to the north of the Dailey Islands, it is likely that some of the material originated also from vents close to the drill-site. Evidence for local volcanic sources and for deposition of sediments in a shallow marine environment provides indications about the local paleogeography and implications for the subsidence history of the southern Victoria Land Basin from Pleistocene to Recent. (C) 2009 Elsevier B.V. All rights reserved.</t>
  </si>
  <si>
    <t>[Del Carlo, P.] Ist Nazl Geofis &amp; Vulcanol, Sez Pisa, I-56126 Pisa, Italy; [Panter, K. S.] Bowling Green State Univ, Dept Geol, Bowling Green, OH 43403 USA; [Bassett, K.] Univ Canterbury, Dept Geol Sci, Christchurch, New Zealand; [Bracciali, L.; Rocchi, S.] Univ Pisa, Dipartimento Sci Terra, I-56126 Pisa, Italy; [Di Vincenzo, G.] CNR, Ist Geosci &amp; Georisorse, I-56100 Pisa, Italy</t>
  </si>
  <si>
    <t>Istituto Nazionale Geofisica e Vulcanologia (INGV); University System of Ohio; Bowling Green State University; University of Canterbury; University of Pisa; Consiglio Nazionale delle Ricerche (CNR); Istituto di Geoscienze e Georisorse (IGG-CNR)</t>
  </si>
  <si>
    <t>Del Carlo, P (corresponding author), Ist Nazl Geofis &amp; Vulcanol, Sez Pisa, Via Faggiola 32, I-56126 Pisa, Italy.</t>
  </si>
  <si>
    <t>delcarlo@pi.ingv.it</t>
  </si>
  <si>
    <t>Bracciali, Laura/K-1023-2019; Del Carlo, Paola/AAH-1725-2019; Panter, Kurt S/B-4486-2010; Del Carlo, Paola/A-7442-2014; Rocchi, Sergio/A-7752-2018</t>
  </si>
  <si>
    <t>Bracciali, Laura/0000-0002-2713-8806; DI VINCENZO, GIANFRANCO/0000-0002-9669-9789; Rocchi, Sergio/0000-0001-6868-1939; Del Carlo, Paola/0000-0001-5506-4579; Panter, Kurt S./0000-0002-0990-5880</t>
  </si>
  <si>
    <t>10.1016/j.gloplacha.2009.09.002</t>
  </si>
  <si>
    <t>WOS:000272789700007</t>
  </si>
  <si>
    <t>Weigelt, E; Gohl, K; Uenzelmann-Neben, G; Larter, RD</t>
  </si>
  <si>
    <t>Weigelt, Estella; Gohl, Karsten; Uenzelmann-Neben, Gabriele; Larter, Robert D.</t>
  </si>
  <si>
    <t>Late Cenozoic ice sheet cyclicity in the western Amundsen Sea Embayment - Evidence from seismic records</t>
  </si>
  <si>
    <t>West Antarctic Ice Sheet; Amundsen Sea; ice sheet cyclicity; Neogene; seismic reflection</t>
  </si>
  <si>
    <t>PINE ISLAND BAY; CONTINENTAL-MARGIN</t>
  </si>
  <si>
    <t>Multichannel seismic reflection profiles provide a record of the glacial development in the western Amundsen Sea Embayment during the Neogene. We identified a northwest-dipping reflector series of more than 1 s TWT thickness (&gt;800 m) on the middle continental shelf indicating well-layered sedimentary units. The dipping strata reveal a striking alternation of reflection-poor, almost transparent units and sequences of closely spaced, continuous reflectors. We suggest that the distinct changes in reflection character represent episodes of ice sheet advance and retreat forced by climate changes. Boundaries between acoustic units are sharp, but without chronological data we cannot constrain the rapidity of glacial advances and retreats. Due to the similarity between the seismic stratigraphy and the lithology in bore-hole records from the Amundsen Sea and Ross Sea, we infer that dipping strata have accumulated since an intensification of glaciation in the Miocene. On the inner and middle shelf we can identify at least four episodes of ice sheet expansion. We conclude that the West Antarctic Ice Sheet has responded sensitively to climate variations since the Miocene. (C) 2009 Elsevier B.V. All rights reserved.</t>
  </si>
  <si>
    <t>[Weigelt, Estella; Gohl, Karsten; Uenzelmann-Neben, Gabriele] Alfred Wegener Inst Polar &amp; Marine Res, D-27515 Bremerhaven, Germany; [Larter, Robert D.] British Antarctic Survey, Cambridge CB3 0ET, England</t>
  </si>
  <si>
    <t>Helmholtz Association; Alfred Wegener Institute, Helmholtz Centre for Polar &amp; Marine Research; UK Research &amp; Innovation (UKRI); Natural Environment Research Council (NERC); NERC British Antarctic Survey</t>
  </si>
  <si>
    <t>Weigelt, E (corresponding author), Alfred Wegener Inst Polar &amp; Marine Res, Postfach 120161, D-27515 Bremerhaven, Germany.</t>
  </si>
  <si>
    <t>estella.weigelt@awi.de</t>
  </si>
  <si>
    <t>Uenzelmann-Neben, Gabriele/AAI-8618-2020</t>
  </si>
  <si>
    <t>Uenzelmann-Neben, Gabriele/0000-0002-0115-5923; Gohl, Karsten/0000-0002-9558-2116; Larter, Robert/0000-0002-8414-7389</t>
  </si>
  <si>
    <t>Natural Environment Research Council [bas010018] Funding Source: researchfish; NERC [bas010018] Funding Source: UKRI</t>
  </si>
  <si>
    <t>10.1016/j.gloplacha.2009.07.004</t>
  </si>
  <si>
    <t>WOS:000272789700008</t>
  </si>
  <si>
    <t>Escutia, C; Bárcena, MA; Lucchi, RG; Romero, O; Ballegeer, AM; Gonzalez, JJ; Harwood, DM</t>
  </si>
  <si>
    <t>Escutia, C.; Barcena, M. A.; Lucchi, R. G.; Romero, O.; Ballegeer, A. M.; Gonzalez, J. J.; Harwood, D. M.</t>
  </si>
  <si>
    <t>Circum-Antarctic warming events between 4 and 3.5 Ma recorded in marine sediments from the Prydz Bay (ODP Leg 188) and the Antarctic Peninsula (ODP Leg 178) margins</t>
  </si>
  <si>
    <t>early-middle Pliocene; glaciomarine sedimentation; Antarctic Peninsula; Prydz Bay; circum-Antarctic; glacial-interglacial cycles</t>
  </si>
  <si>
    <t>MIDDLE PLIOCENE CLIMATE; CONTINENTAL RISE WEST; SOUTHERN-OCEAN; EAST ANTARCTICA; PACIFIC MARGIN; TRANSANTARCTIC MOUNTAINS; DIATOM BIOSTRATIGRAPHY; SORSDAL FORMATION; VESTFOLD HILLS; SIRIUS GROUP</t>
  </si>
  <si>
    <t>Our study characterizes glacial and interglacial deposition on two Antarctic margins in order to discriminate between regional and continent-wide early to middle Pliocene warm intervals that caused sea-ice reduction and continental ice sheet retreat. We use a multi-proxy (i.e.. sediment facies and grain size, siliceous microfossils, biogenic opal, geochemical composition and clay mineralogy) approach to examine sediments recovered in drill holes from the West Antarctic Peninsula and the East Antarctic Prydz Bay margins, focusing on the climatic record between 4 and 3.5 Ma. Warm conditions in both East and West Antarctica are recorded, which based on our age model correspond to periods of prolonged or extreme warmth correlated with isotopic stages US, Gi1, MG11 and MG7. For the Gi5 interglacial our data corroborates the 60% Dictyocha percentage at 34.60 mbsf previously reported from Prydz Bay and interpreted to indicate a SSST of about 5.6 degrees C above present. Our higher-resolution sampling interval shows Dictyocha percentages up to 87.5%, suggesting even higher SSSTs above present levels. During MG11, which coincides with the section dated by the magnetic polarity reversal Gilbert-Gauss at 3.58 Ma, SSSTs were tentatively 2.5 degrees-4 degrees warmer than present, and reduced sea-ice cover in Prydz Bay and probably also west of the Antarctic Peninsula is indicated by increased primary productivity. In addition, a reduction of ice sheet size is suggested by the bioturbated and IRD-enriched facies that characterize these high-productivity intervals. Based in our age model and calculated sedimentation rates glacial-interglacial cyclicity between 4 and 3.5 Ma in the cores from Antarctic Peninsula and Prydz Bay Sites, result in frequencies consistent with obliquity and precession forcing. The prolonged early-middle Pliocene warm period was superimposed on a cooling trend recorded by the: 1) increase of the terrigenous sediment supply at all our sites starting between 3.7 and 3.6 Ma, and 2) decrease in SSSTs (from &gt; 5.6 degrees C at 3.7 Ma to 4 degrees-2.7 degrees C at 3.6 Ma, and 2.5 degrees C at 3.5 Ma.) indicated by the silicoflagellate W/C R from Site 1165. We postulate that, although the start of a cooling trend is recorded at about 3.7-3.6-Ma, relatively warm conditions prevailed until 3.5 Ma capable of maintained open marine conditions with reduced or no sea-ice and reduced ice sheet volume and extent. The information in this paper regarding the timing of continental-wide and regional warm events and the paleoenvironmental conditions that characterized them (i.e., SSST, extent of sea ice, and ice sheet size) are relevant to help constrain paleoclimate and ice sheet models for the early-middle Pliocene, a time period when the level of warming according to the Intergovernmental Panel on Climate Change 2007 report, is within range of the estimates of the Earth's global temperature increases for the 21st century. These data, when linked to modeling studies like those of Pollard and DeConto (2009) will further our understanding of how these ice sheets may respond to future warming of the southern high latitudes. (C) 2009 Elsevier B.V. All rights reserved.</t>
  </si>
  <si>
    <t>[Escutia, C.; Romero, O.; Gonzalez, J. J.] Univ Granada, CSIC, Inst Andaluz Ciencias Tierra, Granada 18002, Spain; [Barcena, M. A.; Ballegeer, A. M.] Univ Salamanca, Dept Geol, E-37008 Salamanca, Spain; [Lucchi, R. G.] Univ Barcelona, GRC Geociencias Marines, Dept Estratig, Fac Geol, E-08028 Barcelona, Spain; [Harwood, D. M.] Univ Nebraska, Dept Geosci, Lincoln, NE 68588 USA</t>
  </si>
  <si>
    <t>Consejo Superior de Investigaciones Cientificas (CSIC); CSIC - Instituto Andaluz de Ciencias de la Tierra (IACT); University of Granada; University of Salamanca; University of Barcelona; University of Nebraska System; University of Nebraska Lincoln</t>
  </si>
  <si>
    <t>Escutia, C (corresponding author), Univ Granada, CSIC, Inst Andaluz Ciencias Tierra, Fuentenueva S-N, Granada 18002, Spain.</t>
  </si>
  <si>
    <t>cescutia@ugr.es; mbarcena@usal.es; rglucchi@ub.edu; oromero@ugr.es; amballegeer@usal.es; jhonjairo@ugr.es; dharwood1@unl.edu</t>
  </si>
  <si>
    <t>Barcena, María Angeles/D-5839-2011; Ballegeer, Anne Marie/AAB-1707-2021; Escutia, Carlota/B-8614-2015</t>
  </si>
  <si>
    <t>Barcena, María Angeles/0000-0001-8261-2286; Ballegeer, Anne Marie/0000-0001-6296-1868; Lucchi, Renata Giulia/0000-0001-5111-6968; Escutia, Carlota/0000-0002-4932-8619</t>
  </si>
  <si>
    <t>10.1016/j.gloplacha.2009.09.003</t>
  </si>
  <si>
    <t>WOS:000272789700009</t>
  </si>
  <si>
    <t>Snell, KRS; Kokubun, T; Griffiths, H; Convey, P; Hodgson, DA; Newsham, KK</t>
  </si>
  <si>
    <t>Snell, K. R. S.; Kokubun, T.; Griffiths, H.; Convey, P.; Hodgson, D. A.; Newsham, K. K.</t>
  </si>
  <si>
    <t>Quantifying the metabolic cost to an Antarctic liverwort of responding to an abrupt increase in UVB radiation exposure</t>
  </si>
  <si>
    <t>GLOBAL CHANGE BIOLOGY</t>
  </si>
  <si>
    <t>anthocyanidin; non-photochemical quenching; oxygen evolution; photosynthesis; riccionidin A; stratospheric ozone depletion</t>
  </si>
  <si>
    <t>B RADIATION; MOSS; FIELD; PIGMENTATION; ANTHOCYANIN; GROWTH; WALLS</t>
  </si>
  <si>
    <t>We quantified the metabolic cost to the Antarctic leafy liverwort Cephaloziella varians of responding to an abrupt increase in ultraviolet B (UVB) radiation exposure in the natural environment at Rothera Point on the western Antarctic Peninsula (67 degrees 34'S, 68 degrees 07'W). The liverwort was protected from exposure to UVB radiation for 44 days with screens containing Mylar polyester, after which time its thalli, which are normally black in colour, had become green owing to reduced concentrations of an anthocyanidin, identified here as riccionidin A, in thallus tips. Thalli were then exposed to an abrupt increase in UVB radiation by removing the screens. The thalli became visibly darker within 48 h of the screens being removed, resynthesizing riccionidin A to the same concentration as that present in thalli outside screens during this period. Chlorophyll fluorescence measurements indicated that nonphotochemical quenching was higher in the thalli formerly under the screens than in those not previously covered with screens, but that F-v/F-m and photochemical quenching were the same in the two groups of thalli. We used data from aqueous phase oxygen electrode measurements to calculate an estimate for carbon fixation by C. varians during the 48 h after the screens were removed. Assuming a photosynthetic quotient for Antarctic bryophytes of 1, these analyses indicated that the minimum weight of carbon used to synthesize riccionidin A was equivalent to 1.85% of the carbon fixed by thalli during the 48 h after the abrupt increase in UVB radiation exposure.</t>
  </si>
  <si>
    <t>[Snell, K. R. S.; Convey, P.; Hodgson, D. A.; Newsham, K. K.] British Antarctic Survey, NERC, Cambridge CB3 0ET, England; [Snell, K. R. S.] Open Univ, Milton Keynes MK7 6AA, Bucks, England; [Kokubun, T.] Royal Bot Gardens, Jodrell Lab, Richmond TW9 3DS, Surrey, England; [Griffiths, H.] Univ Cambridge, Dept Plant Sci, Cambridge CB2 3EA, England</t>
  </si>
  <si>
    <t>UK Research &amp; Innovation (UKRI); Natural Environment Research Council (NERC); NERC British Antarctic Survey; Open University - UK; Royal Botanic Gardens, Kew; University of Cambridge</t>
  </si>
  <si>
    <t>Newsham, KK (corresponding author), British Antarctic Survey, NERC, High Cross,Madingly Rd, Cambridge CB3 0ET, England.</t>
  </si>
  <si>
    <t>Convey, Peter/AAV-5728-2020; Newsham, Kevin K/C-4192-2011; Snell, Katherine/B-9085-2015</t>
  </si>
  <si>
    <t>Convey, Peter/0000-0001-8497-9903; Snell, Katherine/0000-0003-3720-4579</t>
  </si>
  <si>
    <t>Natural Environment Research Council; NERC [bas010020] Funding Source: UKRI; Natural Environment Research Council [bas010020] Funding Source: researchfish</t>
  </si>
  <si>
    <t>Funding was provided by the Natural Environment Research Council through the British Antarctic Survey's Long Term Monitoring and Survey programme. Sharon Robinson of the University of Wollongong gave advice on oxygen evolution analyses, Dickie Hall, Paul Mann and Neil Farnell supported fieldwork, Chris Preston identified the sample of R. natans, Paul Bridge provided valuable help and three anonymous referees supplied comments. All are gratefully acknowledged.</t>
  </si>
  <si>
    <t>1354-1013</t>
  </si>
  <si>
    <t>1365-2486</t>
  </si>
  <si>
    <t>GLOBAL CHANGE BIOL</t>
  </si>
  <si>
    <t>Glob. Change Biol.</t>
  </si>
  <si>
    <t>10.1111/j.1365-2486.2009.01929.x</t>
  </si>
  <si>
    <t>Biodiversity Conservation; Ecology; Environmental Sciences</t>
  </si>
  <si>
    <t>505BD</t>
  </si>
  <si>
    <t>WOS:000270662000001</t>
  </si>
  <si>
    <t>Newsham, KK; Robinson, SA</t>
  </si>
  <si>
    <t>Newsham, Kevin K.; Robinson, Sharon A.</t>
  </si>
  <si>
    <t>Responses of plants in polar regions to UVB exposure: a meta-analysis</t>
  </si>
  <si>
    <t>aboveground biomass; angiosperms; Antarctic; Arctic; bryophytes; DNA damage; flavonoids; height; methodology; UVB absorbing compounds</t>
  </si>
  <si>
    <t>ULTRAVIOLET-B RADIATION; STRATOSPHERIC OZONE DEPLETION; UNCINATA HEDW. LOESKE; COLOBANTHUS-QUITENSIS; ANTARCTIC MOSS; SALIX-ARCTICA; DNA-DAMAGE; PHOTOSYNTHETIC PERFORMANCE; CARBON-DIOXIDE; CLIMATE-CHANGE</t>
  </si>
  <si>
    <t>We report a meta-analysis of data from 34 field studies into the effects of ultraviolet B (UVB) radiation on Arctic and Antarctic bryophytes and angiosperms. The studies measured plant responses to decreases in UVB radiation under screens, natural fluctuations in UVB irradiance or increases in UVB radiation applied from fluorescent UV lamps. Exposure to UVB radiation was found to increase the concentrations of UVB absorbing compounds in leaves or thalli by 7% and 25% ( expressed on a mass or area basis, respectively). UVB exposure also reduced aboveground biomass and plant height by 15% and 10%, respectively, and increased DNA damage by 90%. No effects of UVB exposure were found on carotenoid or chlorophyll concentrations, net photosynthesis, F-v/F-m or Phi(PSII), belowground or total biomass, leaf mass, leaf area or specific leaf area (SLA). The methodology adopted influenced the concentration of UVB absorbing compounds, with screens and natural fluctuations promoting significant changes in the concentrations of these pigments, but lamps failing to elicit a response. Greater reductions in leaf area and SLA, and greater increases in concentrations of carotenoids, were found in experiments based in Antarctica than in those in the Arctic. Bryophytes typically responded in the same way as angiosperms to UVB exposure. Regression analyses indicated that the percentage difference in UVB dose between treatment and control plots was positively associated with concentrations of UVB absorbing compounds and carotenoids, and negatively so with aboveground biomass and leaf area. We conclude that, despite being dominated by bryophytes, the vegetation of polar regions responds to UVB exposure in a similar way to higher plant-dominated vegetation at lower latitudes. In broad terms, the exposure of plants in these regions to UVB radiation elicits the synthesis of UVB absorbing compounds, reduces aboveground biomass and height, and increases DNA damage.</t>
  </si>
  <si>
    <t>[Newsham, Kevin K.] British Antarctic Survey, NERC, Cambridge CB3 0ET, England; [Robinson, Sharon A.] Univ Wollongong, Inst Conservat Biol, Wollongong, NSW 2522, Australia</t>
  </si>
  <si>
    <t>UK Research &amp; Innovation (UKRI); Natural Environment Research Council (NERC); NERC British Antarctic Survey; University of Wollongong</t>
  </si>
  <si>
    <t>Newsham, KK (corresponding author), British Antarctic Survey, NERC, High Cross,Madingley Rd, Cambridge CB3 0ET, England.</t>
  </si>
  <si>
    <t>Newsham, Kevin K/C-4192-2011; Robinson, Sharon/B-2683-2008</t>
  </si>
  <si>
    <t>Robinson, Sharon/0000-0002-7130-9617</t>
  </si>
  <si>
    <t>Natural Environment Research Council; Australian Antarctic Division; NERC [bas010020] Funding Source: UKRI; Natural Environment Research Council [bas010020] Funding Source: researchfish</t>
  </si>
  <si>
    <t>Natural Environment Research Council(UK Research &amp; Innovation (UKRI)Natural Environment Research Council (NERC)); Australian Antarctic Division; NERC(UK Research &amp; Innovation (UKRI)Natural Environment Research Council (NERC)); Natural Environment Research Council(UK Research &amp; Innovation (UKRI)Natural Environment Research Council (NERC))</t>
  </si>
  <si>
    <t>This work was funded by the Natural Environment Research Council through BAS's Long-Term Monitoring and Survey programme ( K. K. N.) and by the Australian Antarctic Division ( S. A. R.). Satu Huttunen, Kristian Albert, Tad Day, Peter Boelen and Jelte Rozema supplied unpublished data, Peter Rothery gave valuable statistical advice and Jon Shanklin, Andy McLeod, Pete Convey and three anonymous reviewers supplied helpful comments. All are gratefully acknowledged. Data were accessed in late 2008.</t>
  </si>
  <si>
    <t>10.1111/j.1365-2486.2009.01944.x</t>
  </si>
  <si>
    <t>WOS:000270662000002</t>
  </si>
  <si>
    <t>Rinnan, R; Rousk, J; Yergeau, E; Kowalchuk, GA; Bååth, E</t>
  </si>
  <si>
    <t>Rinnan, Riikka; Rousk, Johannes; Yergeau, Etienne; Kowalchuk, George A.; Baath, Erland</t>
  </si>
  <si>
    <t>Temperature adaptation of soil bacterial communities along an Antarctic climate gradient: predicting responses to climate warming</t>
  </si>
  <si>
    <t>Antarctic; bacterial growth; climate warming; community adaptation; leucine incorporation; Q(10); soil; temperature response</t>
  </si>
  <si>
    <t>ORGANIC-MATTER DECOMPOSITION; MICROBIAL RESPIRATION; GROWTH-RATE; LEUCINE INCORPORATION; FALKLAND ISLANDS; THYMIDINE; DEPENDENCE; ASSEMBLAGES; SENSITIVITY; ECOSYSTEMS</t>
  </si>
  <si>
    <t>Soil microorganisms, the central drivers of terrestrial Antarctic ecosystems, are being confronted with increasing temperatures as parts of the continent experience considerable warming. Here we determined short-term temperature dependencies of Antarctic soil bacterial community growth rates, using the leucine incorporation technique, in order to predict future changes in temperature sensitivity of resident soil bacterial communities. Soil samples were collected along a climate gradient consisting of locations on the Antarctic Peninsula ( Anchorage Island, 67 degrees 34'S, 68 degrees 08'W), Signy Island (60 degrees 43'S, 45 degrees 38'W) and the Falkland Islands (51 degrees 76'S 59 degrees 03'W). At each location, experimental plots were subjected to warming by open top chambers (OTCs) and paired with control plots on vegetated and fell-field habitats. The bacterial communities were adapted to the mean annual temperature of their environment, as shown by a significant correlation between the mean annual soil temperature and the minimum temperature for bacterial growth (T-min). Every 1 degrees C rise in soil temperature was estimated to increase T-min by 0.24-0.38 degrees C. The optimum temperature for bacterial growth varied less and did not have as clear a relationship with soil temperature. Temperature sensitivity, indicated by Q(10) values, increased with mean annual soil temperature, suggesting that bacterial communities from colder regions were less temperature sensitive than those from the warmer regions. The OTC warming (generally &lt;1 degrees C temperature increases) over 3 years had no effects on temperature relationship of the soil bacterial community. We estimate that the predicted temperature increase of 2.6 degrees C for the Antarctic Peninsula would increase T-min by 0.6-1 degrees C and Q(10) (0-10 degrees C) by 0.5 units.</t>
  </si>
  <si>
    <t>[Rinnan, Riikka; Rousk, Johannes; Baath, Erland] Lund Univ, Dept Microbial Ecol, SE-22362 Lund, Sweden; [Rinnan, Riikka] Univ Copenhagen, Terr Ecol Sect, Dept Biol, DK-1353 Copenhagen K, Denmark; [Yergeau, Etienne; Kowalchuk, George A.] Ctr Terr Ecol, Netherlands Inst Ecol, NIOO KNAW, Heteren, Netherlands; [Kowalchuk, George A.] Free Univ Amsterdam, Inst Ecol Sci, Amsterdam, Netherlands</t>
  </si>
  <si>
    <t>Lund University; University of Copenhagen; Royal Netherlands Academy of Arts &amp; Sciences; Netherlands Institute of Ecology (NIOO-KNAW); Vrije Universiteit Amsterdam</t>
  </si>
  <si>
    <t>Rinnan, R (corresponding author), Lund Univ, Dept Microbial Ecol, Ecol Bldg, SE-22362 Lund, Sweden.</t>
  </si>
  <si>
    <t>riikkar@bio.ku.dk</t>
  </si>
  <si>
    <t>Yergeau, Etienne/AAZ-6145-2020; Rousk, Johannes/E-9741-2010; Kowalchuk, George A/C-4298-2011; Rinnan, Riikka/AAB-8552-2019; Rinnan, Riikka/C-9771-2010; Yergeau, Etienne/B-5344-2008</t>
  </si>
  <si>
    <t>Yergeau, Etienne/0000-0002-7112-3425; Rousk, Johannes/0000-0002-4985-7262; Rinnan, Riikka/0000-0001-7222-700X; Rinnan, Riikka/0000-0001-7222-700X; Kowalchuk, George/0000-0003-3866-0832; Baath, Erland/0000-0002-2616-1342</t>
  </si>
  <si>
    <t>Academy of Finland [108277]; European Commission; Swedish Research Council; Academy of Finland (AKA) [108277] Funding Source: Academy of Finland (AKA)</t>
  </si>
  <si>
    <t>Academy of Finland(Research Council of Finland); European Commission(European Union (EU)European Commission Joint Research Centre); Swedish Research Council(Swedish Research Council); Academy of Finland (AKA)(Research Council of Finland)</t>
  </si>
  <si>
    <t>R. R. was supported by the Academy of Finland ( decision no. 108277) and the European Commission ( Marie Curie Intra-European fellowship). E. B. acknowledges the support from the Swedish Research Council (VR).</t>
  </si>
  <si>
    <t>10.1111/j.1365-2486.2009.01959.x</t>
  </si>
  <si>
    <t>WOS:000270662000005</t>
  </si>
  <si>
    <t>Patterson, TA; Basson, M; Bravington, MV; Gunn, JS</t>
  </si>
  <si>
    <t>Patterson, Toby A.; Basson, Marinelle; Bravington, Mark V.; Gunn, John S.</t>
  </si>
  <si>
    <t>Classifying movement behaviour in relation to environmental conditions using hidden Markov models</t>
  </si>
  <si>
    <t>JOURNAL OF ANIMAL ECOLOGY</t>
  </si>
  <si>
    <t>archival and satellite tags; behavioural analysis; bluefin tuna; hidden Markov models</t>
  </si>
  <si>
    <t>SEA-SURFACE TEMPERATURE; ATLANTIC BLUEFIN TUNA; COD GADUS-MORHUA; THUNNUS-THYNNUS; HETEROGENEOUS LANDSCAPES; SATELLITE TELEMETRY; ANIMAL MOVEMENTS; HABITAT; PATTERNS; ECOLOGY</t>
  </si>
  <si>
    <t>P&gt; Linking the movement and behaviour of animals to their environment is a central problem in ecology. Through the use of electronic tagging and tracking (ETT), collection of in situ data from free-roaming animals is now commonplace, yet statistical approaches enabling direct relation of movement observations to environmental conditions are still in development. In this study, we examine the hidden Markov model (HMM) for behavioural analysis of tracking data. HMMs allow for prediction of latent behavioural states while directly accounting for the serial dependence prevalent in ETT data. Updating the probability of behavioural switches with tag or remote-sensing data provides a statistical method that links environmental data to behaviour in a direct and integrated manner. It is important to assess the reliability of state categorization over the range of time-series lengths typically collected from field instruments and when movement behaviours are similar between movement states. Simulation with varying lengths of times series data and contrast between average movements within each state was used to test the HMMs ability to estimate movement parameters. To demonstrate the methods in a realistic setting, the HMMs were used to categorize resident and migratory phases and the relationship between movement behaviour and ocean temperature using electronic tagging data from southern bluefin tuna (Thunnus maccoyii). Diagnostic tools to evaluate the suitability of different models and inferential methods for investigating differences in behaviour between individuals are also demonstrated.</t>
  </si>
  <si>
    <t>[Patterson, Toby A.; Basson, Marinelle; Gunn, John S.] CSIRO Marine &amp; Atmospher Res, Hobart, Tas 7001, Australia; [Patterson, Toby A.] Univ Tasmania, Sch Zool, Antarctic Wildlife Res Unit, Hobart, Tas 7001, Australia; [Bravington, Mark V.] CSIRO Math &amp; Informat Sci, Hobart, Tas 7001, Australia</t>
  </si>
  <si>
    <t>Commonwealth Scientific &amp; Industrial Research Organisation (CSIRO); University of Tasmania; Commonwealth Scientific &amp; Industrial Research Organisation (CSIRO)</t>
  </si>
  <si>
    <t>Patterson, TA (corresponding author), CSIRO Marine &amp; Atmospher Res, GPO Box 1538, Hobart, Tas 7001, Australia.</t>
  </si>
  <si>
    <t>toby.patterson@csiro.au</t>
  </si>
  <si>
    <t>Patterson, Toby A/B-3836-2011; Bravington, Mark V/E-8897-2010</t>
  </si>
  <si>
    <t>CSIRO Emerging Science program; Australian Postgraduate award; CSIRO/UTAS Quantitative Marine Science program</t>
  </si>
  <si>
    <t>CSIRO Emerging Science program(Commonwealth Scientific &amp; Industrial Research Organisation (CSIRO)); Australian Postgraduate award(Australian Government); CSIRO/UTAS Quantitative Marine Science program(Commonwealth Scientific &amp; Industrial Research Organisation (CSIRO))</t>
  </si>
  <si>
    <t>We thank S. Bestley for providing geolocation estimates. S. Foster and D. Peel provided helpful statistical advice. S. Teo, F. Bailluel, C. Wilcox and R. Sharples and an anonymous reviewer provided valuable comments. L. Crosswell assisted with final figure preparation. The work was supported by the CSIRO Emerging Science program. TP was supported by an Australian Postgraduate award and the CSIRO/UTAS Quantitative Marine Science program.</t>
  </si>
  <si>
    <t>0021-8790</t>
  </si>
  <si>
    <t>1365-2656</t>
  </si>
  <si>
    <t>J ANIM ECOL</t>
  </si>
  <si>
    <t>J. Anim. Ecol.</t>
  </si>
  <si>
    <t>10.1111/j.1365-2656.2009.01583.x</t>
  </si>
  <si>
    <t>506OT</t>
  </si>
  <si>
    <t>WOS:000270785600003</t>
  </si>
  <si>
    <t>Bortnik, J; Thorne, RM; Meredith, NP</t>
  </si>
  <si>
    <t>Bortnik, Jacob; Thorne, Richard M.; Meredith, Nigel P.</t>
  </si>
  <si>
    <t>Plasmaspheric hiss overview and relation to chorus</t>
  </si>
  <si>
    <t>Plasmaspheric hiss; Chorus; Very low frequency; Whistler waves</t>
  </si>
  <si>
    <t>RADIATION BELT ELECTRONS; FREQUENCY ELECTROMAGNETIC RADIATION; OBSERVED ONBOARD GEOS-1; LOW-ALTITUDE SATELLITE; WHISTLER-MODE WAVES; STORM-TIME CHORUS; VLF HISS; ELF HISS; MAGNETOSPHERIC CHORUS; SOURCE REGION</t>
  </si>
  <si>
    <t>A brief overview is given of the history of plasmaspheric hiss research, particularly in the context of the recent work by Bortnik et al. (2008) indicating that chorus could be the likely source of plasmaspheric hiss. Previous suggestions given in the literature for this theory are reviewed and then the mechanism itself is outlined, focusing on the characteristic cyclical trajectories executed by typical ray paths that enter into the plasmasphere. A number of directional propagation studies performed in the past are then discussed as well as other work which bears relevance to the present mechanism. (C) 2009 Elsevier Ltd, All rights reserved.</t>
  </si>
  <si>
    <t>[Bortnik, Jacob; Thorne, Richard M.] Univ Calif Los Angeles, Dept Atmospher &amp; Ocean Sci, Los Angeles, CA 90095 USA; [Meredith, Nigel P.] British Antarctic Survey, Nat Environm Res Council, Cambridge CB3 0ET, England</t>
  </si>
  <si>
    <t>University of California System; University of California Los Angeles; UK Research &amp; Innovation (UKRI); Natural Environment Research Council (NERC); NERC British Antarctic Survey</t>
  </si>
  <si>
    <t>Bortnik, J (corresponding author), Univ Calif Los Angeles, Dept Atmospher &amp; Ocean Sci, 405 Hilgard Ave, Los Angeles, CA 90095 USA.</t>
  </si>
  <si>
    <t>jbortnik@atmos.ucla.edu; rmt@atmos.ucla.edu; nmer@bas.ac.uk</t>
  </si>
  <si>
    <t>Meredith, Nigel P/C-5806-2018</t>
  </si>
  <si>
    <t>Meredith, Nigel/0000-0001-5032-3463; Horne, Richard/0000-0002-0412-6407</t>
  </si>
  <si>
    <t>National Science Foundation's (NSF) Geospace Environment Modeling (GEM) [ATM 0621724]; NASA [NNX08A135G]; Natural Environment Research Council, UK; NERC [bas0100023] Funding Source: UKRI; Natural Environment Research Council [bas0100023] Funding Source: researchfish</t>
  </si>
  <si>
    <t>National Science Foundation's (NSF) Geospace Environment Modeling (GEM)(National Science Foundation (NSF)); NASA(National Aeronautics &amp; Space Administration (NASA)); 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</si>
  <si>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J.B. would like to acknowledge support from the National Science Foundation's (NSF) Geospace Environment Modeling (GEM) post-doctoral award ATM 0621724, and J.B. and R.M.T. would like to acknowledge support from NASA grant NNX08A135G. NPM Would like to acknowledge support from the Natural Environment Research Council, UK The authors thank Roger R. Anderson for provision of the CRRES plasma wave data used in this study. This manuscript is based on material which was originally presented as the Supplementary Information of Bortnik et al. (2008), and has been extensively modified and extended for the present Special Issue on the Inner Magnetosphere.</t>
  </si>
  <si>
    <t>10.1016/j.jastp.2009.03.023</t>
  </si>
  <si>
    <t>512KY</t>
  </si>
  <si>
    <t>WOS:000271249000005</t>
  </si>
  <si>
    <t>Yu, OH; Kim, SJ; Park, JK; Lee, CG</t>
  </si>
  <si>
    <t>Yu, Ok Hyeon; Kim, Soo Jung; Park, Jae Kweon; Lee, Choul-Gyun</t>
  </si>
  <si>
    <t>Identification of ice binding proteins from Antarctic Marine Algae, AnF0046 and AnF0048</t>
  </si>
  <si>
    <t>JOURNAL OF BIOSCIENCE AND BIOENGINEERING</t>
  </si>
  <si>
    <t>[Yu, Ok Hyeon; Kim, Soo Jung; Park, Jae Kweon; Lee, Choul-Gyun] Inha Univ, Dept Biol Engn, Inst Ind Biotechnol, Inchon 402751, South Korea</t>
  </si>
  <si>
    <t>Inha University</t>
  </si>
  <si>
    <t>SOC BIOSCIENCE BIOENGINEERING JAPAN</t>
  </si>
  <si>
    <t>OSAKA</t>
  </si>
  <si>
    <t>OSAKA UNIV, FACULTY ENGINEERING, 2-1 YAMADAOKA, SUITA, OSAKA, 565-0871, JAPAN</t>
  </si>
  <si>
    <t>1389-1723</t>
  </si>
  <si>
    <t>1347-4421</t>
  </si>
  <si>
    <t>J BIOSCI BIOENG</t>
  </si>
  <si>
    <t>J. Biosci. Bioeng.</t>
  </si>
  <si>
    <t>S109</t>
  </si>
  <si>
    <t>10.1016/j.jbiosc.2009.08.318</t>
  </si>
  <si>
    <t>Biotechnology &amp; Applied Microbiology; Food Science &amp; Technology</t>
  </si>
  <si>
    <t>539IP</t>
  </si>
  <si>
    <t>WOS:000273247900305</t>
  </si>
  <si>
    <t>McClintock, JB; Amsler, MO; Koplovitz, G; Amsler, CD; Baker, BJ</t>
  </si>
  <si>
    <t>McClintock, James B.; Amsler, Margaret O.; Koplovitz, Gil; Amsler, Charles D.; Baker, Bill J.</t>
  </si>
  <si>
    <t>OBSERVATIONS ON AN ASSOCIATION BETWEEN THE DEXAMINID AMPHIPOD POLYCHERIA ANTARCTICA F. ACANTHOPODA AND ITS ASCIDIAN HOST DISTAPLIA CYLINDRICA</t>
  </si>
  <si>
    <t>JOURNAL OF CRUSTACEAN BIOLOGY</t>
  </si>
  <si>
    <t>Amphipoda; Antarctica; ascidian association; Dexaminidae</t>
  </si>
  <si>
    <t>EASTERN WEDDELL SEA; DIVERSITY; FISH</t>
  </si>
  <si>
    <t>The Antarctic circumpolar ascidian Distaplia cylindrica harbors individuals of the amphipod Polycheria antarctica form acanthopoda that live in domiciles excavated by the amphipod. There was no evidence this amphipod consumed its host ascidian tissues. This burrowing association with D. cylindrica may provide an important structural or chemical refuge front prospective fish predators.</t>
  </si>
  <si>
    <t>[McClintock, James B.; Amsler, Margaret O.; Koplovitz, Gil; Amsler, Charles D.] Univ Alabama, Dept Biol, Birmingham, AL 35294 USA; [Baker, Bill J.] Univ S Florida, Dept Chem, Tampa, FL 33620 USA</t>
  </si>
  <si>
    <t>McClintock, JB (corresponding author), Univ Alabama, Dept Biol, Birmingham, AL 35294 USA.</t>
  </si>
  <si>
    <t>mcclinto@uab.edu</t>
  </si>
  <si>
    <t>National Science Foundation [OPP-0441769, OPP-0442857]; Endowed Professorship in Polar and Marine Biology</t>
  </si>
  <si>
    <t>National Science Foundation(National Science Foundation (NSF)); Endowed Professorship in Polar and Marine Biology</t>
  </si>
  <si>
    <t>We thank John Foster for his taxonomic expertise in identifying Polycheria antarctica f. acanthopoda. We also thank Craig Aumack for assisting with field collections and Betty Loraamm for performing the scanning electron microscopy. We wish to acknowledge the generous logistical support of the employees of Raytheon Polar Support Services. This research was facilitated by National Science Foundation awards to J.B.M. and C.D.A. (OPP-0441769) and to B.J.B. (OPP-0442857). An Endowed Professorship in Polar and Marine Biology to J.B.M. also provided support.</t>
  </si>
  <si>
    <t>CRUSTACEAN SOC</t>
  </si>
  <si>
    <t>SAN ANTONIO</t>
  </si>
  <si>
    <t>840 EAST MULBERRY, SAN ANTONIO, TX 78212 USA</t>
  </si>
  <si>
    <t>0278-0372</t>
  </si>
  <si>
    <t>J CRUSTACEAN BIOL</t>
  </si>
  <si>
    <t>J. Crustac. Biol.</t>
  </si>
  <si>
    <t>10.1651/09-3146.1</t>
  </si>
  <si>
    <t>Marine &amp; Freshwater Biology; Zoology</t>
  </si>
  <si>
    <t>511LM</t>
  </si>
  <si>
    <t>WOS:000271166700018</t>
  </si>
  <si>
    <t>Cavieres, LA; Badano, EI</t>
  </si>
  <si>
    <t>Cavieres, Lohengrin A.; Badano, Ernesto I.</t>
  </si>
  <si>
    <t>Do facilitative interactions increase species richness at the entire community level?</t>
  </si>
  <si>
    <t>JOURNAL OF ECOLOGY</t>
  </si>
  <si>
    <t>alpine habitats; alpine plant communities; Andes; community-level interactions; cushion plants; facilitation; positive interactions; stress gradient hypothesis</t>
  </si>
  <si>
    <t>PLANT-PLANT INTERACTIONS; POSITIVE INTERACTIONS; CUSHION PLANTS; HIGH ANDES; ECOSYSTEM ENGINEERS; SHRUB INTERACTIONS; LARETIA-ACAULIS; NURSE PLANT; COMPETITION; GRADIENTS</t>
  </si>
  <si>
    <t>P&gt;1. Although the consequences of facilitation at individual and population levels are well known, the community-level consequences of these processes have received much less attention. In particular, the importance of facilitation in determining richness at the entire community level has seldom been evaluated. 2. In this study, we sampled 11 alpine plant communities along the southern Andes in South America, spanning from tropical (25 degrees S) to sub-antarctic latitudes (55 degrees S). Plant communities were dominated by cushion plants, a particular growth form that acts as a nurse plant for other plant species. Through rarefaction curves, we assessed the effectiveness of community sampling and estimated the number of species present within and outside cushions. Non-metric Multidimensional Scaling ordinations (NMDS) were used to assess differences between the species assemblages growing within and outside cushions. Finally, samples from cushions and open areas were combined in a single matrix accounting for the difference in cover between both microhabitats, and through rarefaction curves we assessed how many more species are added to the community due to the presence of cushions. 3. Samples taken within cushions always contained more species than equivalent samples from open areas. However, the magnitude of this difference varied among communities. NMDS ordination indicated that cushions generate species assemblages structurally different from those found in open areas. Inclusion of samples from cushion and open areas in synthetic analyses - where differences in cover were accounted for - indicated that the presence of cushions consistently increased species richness at the entire community level. The magnitude of these increases in species richness varied with habitat severity, with lower values at both extremes of the environmental severity gradient. 4.Synthesis. Facilitative interactions with cushion nurse plants along the high Andes of southern South America changed plant assemblage structure and increased species richness at the entire community level, indicating that facilitative interactions are pivotal in maintaining the diversity of these harsh environments.</t>
  </si>
  <si>
    <t>[Cavieres, Lohengrin A.] Univ Concepcion, Dept Bot, Fac Ciencias Nat &amp; Oceanog, Concepcion, Chile; [Cavieres, Lohengrin A.] Inst Ecol &amp; Biodiversidad, Santiago, Chile; [Badano, Ernesto I.] IPICYT, San Luis Potosi, Mexico</t>
  </si>
  <si>
    <t>Universidad de Concepcion; Instituto Potosino Investigacion Cientifica y Tecnologica</t>
  </si>
  <si>
    <t>Cavieres, LA (corresponding author), Univ Concepcion, Dept Bot, Fac Ciencias Nat &amp; Oceanog, Casilla 160-C, Concepcion, Chile.</t>
  </si>
  <si>
    <t>lcaviere@udec.cl</t>
  </si>
  <si>
    <t>Badano, Ernesto I./C-3585-2013; Cavieres, Lohengrin A./A-9542-2010</t>
  </si>
  <si>
    <t>Badano, Ernesto I./0000-0002-9591-0984; Cavieres, Lohengrin A./0000-0001-9122-3020</t>
  </si>
  <si>
    <t>FONDECYT [1030821, 1060710, BBVA-BIOCON06/105, P05-002 F ICM]; Center for Advanced Studies in Ecology and Research on Biodiversity (IEB) [PFB-23]</t>
  </si>
  <si>
    <t>FONDECYT(Comision Nacional de Investigacion Cientifica y Tecnologica (CONICYT)CONICYT FONDECYT); Center for Advanced Studies in Ecology and Research on Biodiversity (IEB)(Comision Nacional de Investigacion Cientifica y Tecnologica (CONICYT)CONICYT PIA/BASAL)</t>
  </si>
  <si>
    <t>We thank Maritza Mihoc, Angela Sierra, Susana Gomez-Gonzalez, Marco Molina-Montenegro and Cristian Torres-Diaz for their help with the field work at different stages of this research. We also thank Rob Brooker and the British Ecological Society for their invitation to the symposium 'Facilitation in Plant Communities'. This study was supported by FONDECYT 1030821, 1060710, BBVA-BIOCON06/105 and P05-002 F ICM, and PFB-23 supporting the Center for Advanced Studies in Ecology and Research on Biodiversity (IEB).</t>
  </si>
  <si>
    <t>0022-0477</t>
  </si>
  <si>
    <t>1365-2745</t>
  </si>
  <si>
    <t>J ECOL</t>
  </si>
  <si>
    <t>J. Ecol.</t>
  </si>
  <si>
    <t>10.1111/j.1365-2745.2009.01579.x</t>
  </si>
  <si>
    <t>Plant Sciences; Ecology</t>
  </si>
  <si>
    <t>Plant Sciences; Environmental Sciences &amp; Ecology</t>
  </si>
  <si>
    <t>506PH</t>
  </si>
  <si>
    <t>WOS:000270787100008</t>
  </si>
  <si>
    <t>Schmid, C; Garzoli, SL</t>
  </si>
  <si>
    <t>Schmid, Claudia; Garzoli, Silvia L.</t>
  </si>
  <si>
    <t>New observations of the spreading and variability of the Antarctic Intermediate Water in the Atlantic</t>
  </si>
  <si>
    <t>JOURNAL OF MARINE RESEARCH</t>
  </si>
  <si>
    <t>SOUTH-ATLANTIC; GEOSTROPHIC CIRCULATION; LAGRANGIAN CIRCULATION; DEPTH CIRCULATION; BRAZIL; OCEAN; MODEL; FLOW; DYNAMICS; FRONTS</t>
  </si>
  <si>
    <t>The new and unique Argo data set currently available, in conjunction with other data previously collected, increases our understanding of the spreading of the Antarctic Intermediate Water in the southern and tropical Atlantic Ocean and to verify previous results. The combination of velocity and salinity data collected with Argo floats verified the main patterns of circulation at intermediate (800 to 1100 dbar) depths. Interesting new features in the pathways are found: (1) the existence of a new, third, branch of westward to northwestward flow that is fed by the Benguela Current; (2) two pathways through which the water from the Benguela Current Extension feeds into the Intermediate Western Boundary Current, one turns north at the western boundary while the other one turns north about 10 farther offshore; (3) the core of the South Atlantic Current is located farther north than was thought earlier (at 35 to 38 degrees S instead of south at about 40 degrees S); (4) significant flow of water from the South Atlantic Current to the Antarctic Circumpolar Current occurs east of the Zapiola Eddy (at about 45 degrees S, 35 degrees W); (5) a quite robust eastward current exists at about 20 degrees S; and (6) there are indications, only in the salinity distribution, for southward spreading of Antarctic Intermediate Water from the equator near the eastern boundary. Transport estimates for the 800 to 1100 dbar layer show that the transports of the zonal currents in the subtropical gyre at intermediate depth increase from east to west, and that this trend is nearly linear. The transport of the South Atlantic Current near the western boundary is between 5 and 10 Sv, while it is close to 1 Sv near the eastern boundary of the Atlantic. The transport of the Benguela Current Extension is about 8 Sv near 45 degrees W and only about 1 Sv near 14 degrees E. It is also found that at the bifurcation of the Benguela Current Extension (at 28.5 S) about two thirds of the Antarctic Intermediate Water recirculate in the subtropical gyre, which is a smaller portion than the three quarters reported previously. Zonally integrated transports in the Antarctic Intermediate Water layer show that, as a meridional average, about 3 Sv are transported northward in the 800 to 1100 dbar layer. At 35 degrees S this transport is 2.8 Sv, which amounts to 16% of the total northward transport of the Meridional Overturning Circulation (18 Sv). An analysis of the variability shows that the confluence of the Malvinas Current and the Brazil Current undergo seasonal variations at intermediate depth. The confluence is at its northernmost location (36 degrees S) in July-September. On average the confluence is at 38 degrees S. Both, the variability and the mean location of the confluence at the depth of Antarctic Intermediate Water is similar to what has been observed at the surface.</t>
  </si>
  <si>
    <t>[Schmid, Claudia; Garzoli, Silvia L.] NOAA, Atlantic Oceanog &amp; Meteorol Lab, Miami, FL 33149 USA</t>
  </si>
  <si>
    <t>National Oceanic Atmospheric Admin (NOAA) - USA; Atlantic Oceanographic &amp; Meteorological Laboratory (AOML)</t>
  </si>
  <si>
    <t>Schmid, C (corresponding author), NOAA, Atlantic Oceanog &amp; Meteorol Lab, Miami, FL 33149 USA.</t>
  </si>
  <si>
    <t>claudia.schmid@noaa.gov</t>
  </si>
  <si>
    <t>Garzoli, Silvia/JCP-1471-2023; Schmid, Claudia/D-5875-2013; Garzoli, Silvia/A-3556-2010</t>
  </si>
  <si>
    <t>Garzoli, Silvia/0000-0003-3553-2253</t>
  </si>
  <si>
    <t>SEARS FOUNDATION MARINE RESEARCH</t>
  </si>
  <si>
    <t>NEW HAVEN</t>
  </si>
  <si>
    <t>YALE UNIV, KLINE GEOLOGY LAB, 210 WHITNEY AVENUE, NEW HAVEN, CT 06520-8109 USA</t>
  </si>
  <si>
    <t>0022-2402</t>
  </si>
  <si>
    <t>1543-9542</t>
  </si>
  <si>
    <t>J MAR RES</t>
  </si>
  <si>
    <t>J. Mar. Res.</t>
  </si>
  <si>
    <t>10.1357/002224009792006151</t>
  </si>
  <si>
    <t>633LJ</t>
  </si>
  <si>
    <t>WOS:000280504000005</t>
  </si>
  <si>
    <t>Mayor, DJ; Anderson, TR; Pond, DW; Irigoien, X</t>
  </si>
  <si>
    <t>Mayor, Daniel J.; Anderson, Thomas R.; Pond, David W.; Irigoien, Xabier</t>
  </si>
  <si>
    <t>Egg production and associated losses of carbon, nitrogen and fatty acids from maternal biomass in Calanus finmarchicus before the spring bloom</t>
  </si>
  <si>
    <t>JOURNAL OF MARINE SYSTEMS</t>
  </si>
  <si>
    <t>Calanus finmarchicus; Feeding experiments; Egg production; Body reserves; Fatty acids; North Atlantic; Semelparity</t>
  </si>
  <si>
    <t>FREQUENCY TIME-SERIES; BIOCHEMICAL-COMPOSITION; GONAD DEVELOPMENT; NORTHERN NORWAY; NORWEGIAN SEA; WEATHERSHIP M; BODY-WEIGHT; REPRODUCTION; COPEPODS; PLANKTON</t>
  </si>
  <si>
    <t>We present concurrent data on ingestion, egg production and the loss of maternal biomass in pre-spring bloom female Calanus finmarchicus incubated under conditions representative of those in situ in the North Atlantic. A balanced metabolic budget was constructed and used to examine the relative importance of ingestion and biomass for fuelling egg production during the incubations. Ingested carbon was not sufficient to meet the observed demands for egg production. More than 80% of the carbon utilised by the females was instead derived from their biomass. Fatty acid analysis demonstrated that the storage reserves, 20:1 (n-9) and 22:1 (n-11), were virtually absent before experimentation began, and therefore could not have been used to supply the carbon required for egg production during the incubations. The C:N mass-specific ratio of the biomass utilised was 4.1, suggesting that the females had instead catabolised protein in order to meet their metabolic demands. These results suggest that C finmarchicus adopts a sacrificial reproductive strategy when food availability is low. (C) 2009 Elsevier B.V. All rights reserved.</t>
  </si>
  <si>
    <t>[Mayor, Daniel J.; Anderson, Thomas R.] Univ Southampton, Natl Oceanog Ctr, Southampton SO14 3ZH, Hants, England; [Pond, David W.] British Antarctic Survey, Div Biol Sci, Cambridge CB3 0ET, England; [Irigoien, Xabier] AZTI, Gipuzkoa 20110, Spain</t>
  </si>
  <si>
    <t>University of Southampton; NERC National Oceanography Centre; UK Research &amp; Innovation (UKRI); Natural Environment Research Council (NERC); NERC British Antarctic Survey; AZTI</t>
  </si>
  <si>
    <t>Mayor, DJ (corresponding author), Univ Aberdeen, Oceanlab, Newburgh AB41 6AA, Aberdeen, Scotland.</t>
  </si>
  <si>
    <t>dan.mayor@abdn.ac.uk</t>
  </si>
  <si>
    <t>Irigoien, Xabier/B-8171-2009; Anderson, Thomas R/K-5487-2012; Mayor, Daniel/HDN-8520-2022; Irigoien, Xabier/L-7909-2014</t>
  </si>
  <si>
    <t>Mayor, Daniel/0000-0002-1295-0041; Irigoien, Xabier/0000-0002-5411-6741</t>
  </si>
  <si>
    <t>NERC [NER/T/S/2001/00141]; Natural Environment Research Council [soc010008, bas0100025] Funding Source: researchfish; NERC [soc010008, bas0100025]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</si>
  <si>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</si>
  <si>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funded by the NERC 'Marine Productivity' Thematic Programme (grant no. NER/T/S/2001/00141). we wish to thank the officers, crew and fellow scientists that participated on Discovery cruises D262 and D264. Special thanks to R. Davidson.</t>
  </si>
  <si>
    <t>0924-7963</t>
  </si>
  <si>
    <t>J MARINE SYST</t>
  </si>
  <si>
    <t>J. Mar. Syst.</t>
  </si>
  <si>
    <t>10.1016/j.jmarsys.2008.12.019</t>
  </si>
  <si>
    <t>Geosciences, Multidisciplinary; Marine &amp; Freshwater Biology; Oceanography</t>
  </si>
  <si>
    <t>Geology; Marine &amp; Freshwater Biology; Oceanography</t>
  </si>
  <si>
    <t>522FU</t>
  </si>
  <si>
    <t>WOS:000271984100003</t>
  </si>
  <si>
    <t>Limitation of egg production in Calanus finmarchicus in the field: A stoichiometric analysis</t>
  </si>
  <si>
    <t>Biochemical limitation; Zooplankton; Lipids; EPA; DHA</t>
  </si>
  <si>
    <t>COPEPOD ACARTIA-TONSA; GROSS GROWTH EFFICIENCIES; FREQUENCY TIME-SERIES; 1997 SPRING BLOOM; MARINE ZOOPLANKTON; FOOD QUALITY; FATTY-ACIDS; PARTICULATE MATTER; GONAD DEVELOPMENT; HATCHING SUCCESS</t>
  </si>
  <si>
    <t>The egg production of marine copepods correlates with a range of variables, including the availability of organic carbon (C), nitrogen (N) and the polyunsaturated fatty acids (PUFAs) 20:5(n-3) (EPA) and 22:6(n-3) (DHA). However, an understanding of which substrates limit egg production in the natural environment has yet to be reached. The quantities of C, N, EPA and DHA ingested, derived from parental biomass, and invested in eggs by female Calanus finmarchicus during a 5-day incubation experiment were examined using stoichiometric theory to determine which substrate was limiting. The majority of each substrate was derived from parental biomass, and therefore the existing stoichiometric theory is developed to include this route of supply. The females were essentially devoid of lipid reserves, as evidenced by the lack of the storage fatty acids 20:1 (n-9) and 22:1 (n-11), and carbon limitation was predicted under most of the scenarios examined. Nitrogen limitation was only apparent when carbon and nitrogen utilisation efficiencies were assumed to be high (0.5) and low (0.4) respectively. PUFAs were assumed to be utilised with high efficiency (0.9), and were never predicted to limit production. This work highlights the need for a more detailed understanding of the maintenance requirements that marine copepods have for C, N, EPA, and DHA and hence the efficiencies with these substrates can be utilised for growth. (C) 2009 Elsevier B.V. All rights reserved.</t>
  </si>
  <si>
    <t>NERC National Oceanography Centre; University of Southampton; UK Research &amp; Innovation (UKRI); Natural Environment Research Council (NERC); NERC British Antarctic Survey; AZTI</t>
  </si>
  <si>
    <t>Mayor, Daniel/HDN-8520-2022; Irigoien, Xabier/B-8171-2009; Anderson, Thomas R/K-5487-2012; Irigoien, Xabier/L-7909-2014</t>
  </si>
  <si>
    <t>NERC [NER/T/S/2001/00141]; Natural Environment Research Council [bas0100025, soc010008] Funding Source: researchfish; NERC [soc010008, bas0100025] Funding Source: UKRI</t>
  </si>
  <si>
    <t>This study was funded by the NERC 'Marine Productivity' Thematic Programme (grant no. NER/T/S/2001/00141). We wish to thank the officers, crew and fellow scientists that participated on Discovery cruises D262 and D264.</t>
  </si>
  <si>
    <t>10.1016/j.jmarsys.2008.12.020</t>
  </si>
  <si>
    <t>WOS:000271984100004</t>
  </si>
  <si>
    <t>Färber-Lorda, J; Gaudy, R; Mayzaud, P</t>
  </si>
  <si>
    <t>Faerber-Lorda, Jaime; Gaudy, Raymond; Mayzaud, P.</t>
  </si>
  <si>
    <t>Elemental composition, biochemical composition and caloric value of Antarctic krill. Implications in Energetics and carbon balances</t>
  </si>
  <si>
    <t>Krill; Calorimetry; Elemental composition; Biochemical composition; Energetic balance</t>
  </si>
  <si>
    <t>EUPHAUSIA-SUPERBA DANA; THYSANOESSA-MACRURA; METABOLIC-ACTIVITY; SOUTH GEORGIA; ZOOPLANKTON; EXCRETION; SUMMER; MARINE; ENERGY; OCEAN</t>
  </si>
  <si>
    <t>Samples of Antarctic krill were analyzed for elemental composition, biochemical composition, weight and caloric content. Sexes and maturity stages were separated. Mature females showed the highest caloric values (joules) and juveniles the lowest in a per animal basis. On unit of wet weight per animal basis, spent females showed the lowest caloric values. For the caloric values by animal, a significant difference was found between males, mature females, spent females and juveniles, either on a per animal basis or in the basis of 1 g of wet weight, showing a real difference between the groups, regardless of their individual size. Significant differences were found for carbon, nitrogen and lipids, but not for proteins, analyzed in % of dry weight. Carbon was lowest for spent females and highest for mature females. On the contrary, nitrogen values were lowest for mature females and highest for males. Mature females had the highest lipid content and males the lowest. All variables were significantly correlated. For the linear regression analysis, the best correlation found was between joules and carbon, followed by carbon vs. dry weight and joules vs. dry weight. In an analysis with two independent variables, the best correlation was found for joules vs. lipids and dry weight, followed by joules vs. carbon and nitrogen, and joules vs. lipids and proteins. The results obtained were used to make an analysis of the energy and carbon fluxes through the food chain in the sampled area, showing higher energetic and carbon densities in frontal areas, the POM calorific values showed an opposite pattern than that of krill. (C) 2009 Elsevier B.V. All rights reserved.</t>
  </si>
  <si>
    <t>[Faerber-Lorda, Jaime] Ctr Invest Cient &amp; Educ Super Enseneda, Ensenada, Baja California, Mexico; [Gaudy, Raymond] Marine Endoume Stn, F-13007 Marseille, France; [Mayzaud, P.] Oberv Oceanol, F-06230 Villefranche Sur Mer, France</t>
  </si>
  <si>
    <t>CICESE - Centro de Investigacion Cientifica y de Educacion Superior de Ensenada</t>
  </si>
  <si>
    <t>Färber-Lorda, J (corresponding author), Ctr Invest Cient &amp; Educ Super Enseneda, Carr Tijuana,Km 107, Ensenada, Baja California, Mexico.</t>
  </si>
  <si>
    <t>jfarber@cicese.mx</t>
  </si>
  <si>
    <t>1879-1573</t>
  </si>
  <si>
    <t>10.1016/j.jmarsys.2008.12.021</t>
  </si>
  <si>
    <t>WOS:000271984100005</t>
  </si>
  <si>
    <t>Färber-Lorda, J; Beier, E; Mayzaud, P</t>
  </si>
  <si>
    <t>Faerber-Lorda, Jaime; Beier, Emilio; Mayzaud, Patrick</t>
  </si>
  <si>
    <t>Morphological and biochemical differentiation in Antarctic krill</t>
  </si>
  <si>
    <t>Antarctic krill; Distribution; Hydrography; Morphometrics; Biochemical composition; Differentiation Index</t>
  </si>
  <si>
    <t>EUPHAUSIA-SUPERBA DANA; THYSANOESSA-MACRURA CRUSTACEA; BRANSFIELD STRAIT REGION; MARINE ZOOPLANKTON; LIPID-COMPOSITION; SOUTHERN-OCEAN; INDIAN SECTOR; SCOTIA SEA; CRYSTALLOROPHIAS; BIODIVERSITY</t>
  </si>
  <si>
    <t>During the February 1981 cruise FIBEX MD-25 between 30-50 degrees E and 61-64 degrees S, hydrography showed the presence of two gyres, confirmed by the geostrophic circulation relative to 1000 m from Levitus climatology, at the borders of these gyres concentrations of highly morphologically differentiated krill were found. Gaussian component analysis of krill samples, pooled by sectors, showed three cohorts of Euphausia superba in the western sector and one in the eastern sector. Across the sampling area, Thysanoessa mactura and E. superba occurred at separate stations. Analysis of cohorts in T macrura separated two size groups in both the western and the eastern sectors. The use of a Differentiation Index (D.I.) [Farber-Lorda, J., 1990. Somatic length relationships and ontogenetic morphometric differentiation of Euphausia superba and Thysanoessa macrura of the southwest Indian Ocean during summer (February 1981). Deep-Sea Res. 37,1135-1143.], based on somatic lengths, allows studying certain morphological differences within the populations sampled. Morphologically different and bigger males 11 (D.I. from 2.8 to 3.5) were present only in the southern transect while smaller males I (D.I. from 3.5 to 5.0) were present over the entire area. Biochemical composition of both species showed significant differences among stations for protein, lipids, and carbohydrates. A significant difference in lipid content was found between males I, and males II. For T macrura, percentage of lipid content in mature animals was much higher than that in E. superba. The D.I. size distribution showed that when populations of E. superba were highly differentiated (corresponding to mature animals) in morphology, lipid content was high, and they were located near a gyre. Differences in morphometry can influence distribution of the species, because different developing stages have different swimming capacities. It is shown that, together with hydrography and trophic conditions, lipid content and morphometry of krill populations, are different but complementary aspects that help to understand krill ecology and distribution. (C) 2009 Elsevier B.V. All rights reserved.</t>
  </si>
  <si>
    <t>[Faerber-Lorda, Jaime; Beier, Emilio] Ctr Invest Cient &amp; Educ Super Enseneda, Ensenada, Baja California, Mexico; [Mayzaud, Patrick] Univ Paris 06, Stn Zool, Villefranche Sur Mer, France</t>
  </si>
  <si>
    <t>CICESE - Centro de Investigacion Cientifica y de Educacion Superior de Ensenada; Sorbonne Universite</t>
  </si>
  <si>
    <t>Färber-Lorda, J (corresponding author), Ctr Invest Cient &amp; Educ Super Enseneda, Apartado Postal 2732, Ensenada, Baja California, Mexico.</t>
  </si>
  <si>
    <t>Beier, Emilio/0000-0001-8478-7709</t>
  </si>
  <si>
    <t>CONACYT [SEP-2003-C02-42941/A-1]</t>
  </si>
  <si>
    <t>CONACYT(Consejo Nacional de Ciencia y Tecnologia (CONACyT))</t>
  </si>
  <si>
    <t>I U. F. L) want to thank the Territoire des Terres Australes et Antarctiques Francaises for letting me participate in the MD 25 FIBEX mission. Thanks also to Dr. H.J. Ceccaldi formerly at the Ecole Pratique de Hautes Etudes, at the Station Marine d'Endoume, Marseille, France, to Dr. R. Gaudy, of C. N. R. S., formerly at the Station Marine d'Endoume, to Drs. J.-P. Reys, G. Jayme, Ch. Loelliet, M. Belluau and Ch. Viano, for their support and advice at different stages of my work. A scholarship from UNESCO was most helpful in the final part of this work. I am grateful to Dr. E. Brinton (Scripps) for his kind help with the manuscript. I want to thank Cesar Almeda and Jose Maria Dominguez from CICESE for helping with the figures. E. Beier's participation is part of the CONACYT Project SEP-2003-C02-42941/A-1.</t>
  </si>
  <si>
    <t>10.1016/j.jmarsys.2008.12.022</t>
  </si>
  <si>
    <t>WOS:000271984100006</t>
  </si>
  <si>
    <t>Koubbi, P; Duhamel, G; Hecq, JH; Beans, C; Loots, C; Pruvost, P; Tavernier, E; Vacchi, M; Vallet, C</t>
  </si>
  <si>
    <t>Koubbi, Philippe; Duhamel, Guy; Hecq, Jean-Henri; Beans, Cristina; Loots, Christophe; Pruvost, Patrice; Tavernier, Eric; Vacchi, Marino; Vallet, Carole</t>
  </si>
  <si>
    <t>Ichthyoplankton in the neritic and coastal zone of Antarctica and Subantarctic islands: A review</t>
  </si>
  <si>
    <t>Fish larvae; Southern Ocean; Match-mismatch; Distribution; Life cycle</t>
  </si>
  <si>
    <t>SILVERFISH PLEURAGRAMMA-ANTARCTICUM; CONTINUOUS PLANKTON RECORDER; MARINE FISH LARVAE; EARLY-LIFE HISTORY; TERRA-NOVA BAY; ROSS SEA; SURFACE-STRUCTURE; SOUTHERN-OCEAN; PELAGIC FISH; ABUNDANCE</t>
  </si>
  <si>
    <t>Since the article published by Loeb et al. [Loeb, V.J., Kellermann, A., Koubbi, P., North, A.W., White, M., 1993. Antarctic larval fish assemblages: a review. Bull. Mar. Sci. 53(2), 416-449.] about Antarctic ichthyoplankton, many surveys were carried out in different sectors of the Southern Ocean focusing on different aspects of the ecology of fish larvae. Some of these researches were conducted in the Subantarctic Kerguelen Islands and others on the continental shelf off Terre Adelie and Georges V land. Oceanographic and geographic features influence fish larvae ecology such as island mass effects, gyres, canyons. Antarctic fishes show also temporal segregation of spawning which induces temporal succession of early stage larvae. This avoids competition and probably the predation on early stages for species having few recruits. In that case, we have to understand how these larvae can deal with the match-mismatch with their preys and how they find sufficient food to survive. But our knowledge on Antarctic fish larvae is still insufficient as we do not know larvae for quite a lot of species and because of the difficulty to sample during winter. (C) 2009 Elsevier B.V. All rights reserved.</t>
  </si>
  <si>
    <t>[Koubbi, Philippe; Loots, Christophe; Tavernier, Eric; Vallet, Carole] Univ Paris 06, Lab Oceanog Villefranche, UMR 7093, F-06230 Villefranche Sur Mer, France; [Duhamel, Guy; Pruvost, Patrice] Museum Natl Hist Nat, Dept Milieux &amp; Peuplements Aquat, F-75231 Paris 05, France; [Hecq, Jean-Henri; Beans, Cristina] Univ Liege, Lab Oceanol, Mare Ctr, B-4000 Liege, Belgium; [Vacchi, Marino] Univ Genoa, Museo Nazl Antartide, ICRAM, I-16132 Genoa, Italy; [Vallet, Carole] IUFM Nord Pas Calais, Ctr Outreau, F-62230 Outreau, France; [Koubbi, Philippe] CNRS, LOV, UMR 7093, F-06230 Villefranche Sur Mer, France</t>
  </si>
  <si>
    <t>Sorbonne Universite; Centre National de la Recherche Scientifique (CNRS); CNRS - National Institute for Earth Sciences &amp; Astronomy (INSU); Museum National d'Histoire Naturelle (MNHN); University of Liege; University of Genoa; Sorbonne Universite; Centre National de la Recherche Scientifique (CNRS); CNRS - National Institute for Earth Sciences &amp; Astronomy (INSU)</t>
  </si>
  <si>
    <t>Koubbi, P (corresponding author), Univ Paris 06, Lab Oceanog Villefranche, UMR 7093, F-06230 Villefranche Sur Mer, France.</t>
  </si>
  <si>
    <t>koubbi@obs-vlfr.fr</t>
  </si>
  <si>
    <t>Koubbi, Philippe/D-5873-2015; Pruvost, Patrice/E-5690-2011</t>
  </si>
  <si>
    <t>Loots, Christophe/0000-0002-7344-1777</t>
  </si>
  <si>
    <t>Mission de Recherche des Terres Australes et Antarctiques Francaises; Zone Atelier Antarctique-CNRS</t>
  </si>
  <si>
    <t>Results from the French Antarctic programmes were financially supported by the Mission de Recherche des Terres Australes et Antarctiques Francaises until 19xx and by IPEV afterwards. Part of this work was funded by Zone Atelier Antarctique-CNRS (directed by Pierre Jouventin). The Belgian Antarctic programme Pelagant and the Italian Antarctic programme supported part of the research in Terre Adelie. Jean-Henri Hecq is Senior Research Associate (FNRS, Belgium). Volunteers, researchers and crews are thanked for their work at sea. This paper is a contribution to the Census of Antarctic Marine Life.</t>
  </si>
  <si>
    <t>10.1016/j.jmarsys.2008.12.024</t>
  </si>
  <si>
    <t>WOS:000271984100008</t>
  </si>
  <si>
    <t>Phillips, G; Kelsey, DE; Corvino, AF; Dutch, RA</t>
  </si>
  <si>
    <t>Phillips, G.; Kelsey, D. E.; Corvino, A. F.; Dutch, R. A.</t>
  </si>
  <si>
    <t>Continental Reworking during Overprinting Orogenic Events, Southern Prince Charles Mountains, East Antarctica</t>
  </si>
  <si>
    <t>JOURNAL OF PETROLOGY</t>
  </si>
  <si>
    <t>continental reworking; mineral equilibria modelling; monazite; Prydz orogenic event; Rayner orogenic event</t>
  </si>
  <si>
    <t>MINERAL EQUILIBRIA CALCULATIONS; KEMP-LAND COAST; T-T PATHS; U-PB; PRYDZ BAY; METAPELITIC GRANULITES; RAUER-GROUP; NEOPROTEROZOIC BASIN; BRATTSTRAND BLUFFS; METAVOLCANIC ROCKS</t>
  </si>
  <si>
    <t>In situ electron microprobe monazite dating and mineral equilibria modelling of amphibolite-granulite-facies metapelites from the southern Prince Charles Mountains, East Antarctica has been carried out to unravel the P-T conditions, spatial extent and structural style of two overprinting orogenic records. This study shows that: (1) rocks of the northern Palaeoproterozoic Lambert Complex were pervasively reworked at peak conditions (6 center dot 5-7 center dot 1 kbar and 790-810 degrees C) during the Early Neoproterozoic Rayner orogenic event; (2) rocks of the southern Lambert Complex experienced pervasive deformation and metamorphism at peak conditions (5 center dot 8-6 center dot 1 kbar and 625-635 degrees C) during Early Palaeozoic Prydz orogenic activity; (3) in regions of the Lambert Complex reworked during the Rayner orogenic event, Prydz-aged orogenesis was highly localized. The distribution of orogenic activity pertaining to the Rayner and Prydz orogenic events in the southern Prince Charles Mountains can be attributed to (1) the development of a southward directed (current coordinates) orogenic front that propagated from an Early Neoproterozoic collision between India and Antarctica, and (2) rock fertility (i.e. availability of free fluid) during Early Palaeozoic intraplate orogenesis that was driven by far-field stresses generated by a collision of India-Antarctica with the Mawson Craton.</t>
  </si>
  <si>
    <t>[Phillips, G.] Univ Newcastle, Discipline Earth Sci, Sch Environm &amp; Life Sci, Callaghan, NSW 2308, Australia; [Kelsey, D. E.; Dutch, R. A.] Univ Adelaide, Continental Evolut Res Grp, Sch Earth &amp; Environm Sci, Adelaide, SA 5005, Australia; [Corvino, A. F.] Univ Melbourne, Sch Earth Sci, Melbourne, Vic 3010, Australia</t>
  </si>
  <si>
    <t>University of Newcastle; University of Adelaide; University of Melbourne; Melbourne Bioinformatics</t>
  </si>
  <si>
    <t>Phillips, G (corresponding author), Univ Newcastle, Discipline Earth Sci, Sch Environm &amp; Life Sci, Callaghan, NSW 2308, Australia.</t>
  </si>
  <si>
    <t>Glen.Phillips@newcastle.edu.au</t>
  </si>
  <si>
    <t>Kelsey, David E/D-3676-2009</t>
  </si>
  <si>
    <t>Dutch, Rian/0000-0003-4247-7483</t>
  </si>
  <si>
    <t>Australian Antarctic Division [1215]; Bundesanstalt fur Geowissenschaften und Rohstoffe; University of Newcastle New Staff; Australian Research Council [DP0665094]; Australian Research Council [DP0665094] Funding Source: Australian Research Council</t>
  </si>
  <si>
    <t>Australian Antarctic Division; Bundesanstalt fur Geowissenschaften und Rohstoffe; University of Newcastle New Staff; Australian Research Council(Australian Research Council); Australian Research Council(Australian Research Council)</t>
  </si>
  <si>
    <t>The Australian Antarctic Division (AAS Grant 1215) and the Bundesanstalt fur Geowissenschaften und Rohstoffe are thanked for logistical and financial support of the 2002-2003 PCMEGA field season in Antarctica. Analytical work was funded by a University of Newcastle New Staff Grant to G. P. D. E. K. is funded by Australian Research Council grant DP0665094.</t>
  </si>
  <si>
    <t>0022-3530</t>
  </si>
  <si>
    <t>1460-2415</t>
  </si>
  <si>
    <t>J PETROL</t>
  </si>
  <si>
    <t>J. Petrol.</t>
  </si>
  <si>
    <t>10.1093/petrology/egp065</t>
  </si>
  <si>
    <t>523PM</t>
  </si>
  <si>
    <t>WOS:000272086500002</t>
  </si>
  <si>
    <t>Berloff, P; Kamenkovich, I; Pedlosky, J</t>
  </si>
  <si>
    <t>Berloff, P.; Kamenkovich, I.; Pedlosky, J.</t>
  </si>
  <si>
    <t>A Model of Multiple Zonal Jets in the Oceans: Dynamical and Kinematical Analysis</t>
  </si>
  <si>
    <t>ANTARCTIC CIRCUMPOLAR CURRENT; SHALLOW-WATER TURBULENCE; QUASI-GEOSTROPHIC MODEL; BETA-PLANE TURBULENCE; SOUTHERN-OCEAN; GENERAL-CIRCULATION; TRANSPORT BARRIERS; BAROTROPIC MODEL; ENERGY CASCADE; NORTH-ATLANTIC</t>
  </si>
  <si>
    <t>Multiple alternating zonal jets observed in the ocean are studied with an idealized quasigeostrophic zonal-channel model, with the supercritical, zonal background flow imposed. Both eastward and westward background flows with vertical shear are considered. The underlying nonlinear dynamics is illuminated with analysis of the vertical-mode interactions and time-mean eddy fluxes. Interactions between the vertical modes are systematically studied. The barotropic component of the jets is maintained by both barotropic-barotropic and baroclinic-baroclinic time-mean interactions; thus, the barotropic component of the jets cannot be accurately simulated with a randomly forced barotropic model. The roles of the vertical-mode interactions in driving the baroclinic component of the jets are also characterized. Not only the first but also the second baroclinic mode is found to be important for maintaining the baroclinic component of the jets, whereas the barotropic component of the jets is maintained mostly by the barotropic and first baroclinic modes. The properties of the eddy forcing were systematically studied. It is shown that the baroclinic component of the jets is maintained by Reynolds stress forcing and resisted by form stress forcing only in the eastward background flow. In the westward background flow, the jets are maintained by form stress forcing and resisted by Reynolds stress forcing. The meridional scaling and kinematical properties of the jets are studied as well as the roles of meridional boundaries. The Rhines scaling for meridional spacing of the jets is not generally confirmed, and it is also shown that there are multiple stable equilibria with different numbers of the time-mean jets. It is also found that the jets are associated with alternating weak barriers to the meridional material transport, but the locations of these barriers are not unique and depend on the direction of the background flow and depth. Finally, if the channel is closed with meridional walls, then the jets become more latent but the eddy forcing properties do not change qualitatively.</t>
  </si>
  <si>
    <t>[Berloff, P.] Woods Hole Oceanog Inst, Clark Lab, Dept Phys Oceanog, Woods Hole, MA 02543 USA; [Berloff, P.] Univ London Imperial Coll Sci Technol &amp; Med, Dept Math, London, England; [Berloff, P.] Univ London Imperial Coll Sci Technol &amp; Med, Grantham Inst Climate Change, London, England; [Berloff, P.] Univ Cambridge, Dept Appl Math &amp; Theoret Phys, Cambridge CB3 9EW, England; [Kamenkovich, I.] Univ Miami, Rosenstiel Sch Marine &amp; Atmospher Sci, Miami, FL 33149 USA</t>
  </si>
  <si>
    <t>Woods Hole Oceanographic Institution; Imperial College London; Imperial College London; University of Cambridge; University of Miami</t>
  </si>
  <si>
    <t>Berloff, P (corresponding author), Woods Hole Oceanog Inst, Clark Lab, Dept Phys Oceanog, MS 29, Woods Hole, MA 02543 USA.</t>
  </si>
  <si>
    <t>pberloff@whoi.edu</t>
  </si>
  <si>
    <t>Kamenkovich, Igor/AAG-3451-2019; Berloff, Pavel/T-2851-2019</t>
  </si>
  <si>
    <t>Kamenkovich, Igor/0000-0001-6228-5599</t>
  </si>
  <si>
    <t>NSF [OCE 0344094, OCE 0725796, OCE 0346178, 0749722, OCE 0451086]; Newton Trust of the University of Cambridge; Division Of Ocean Sciences; Directorate For Geosciences [0845150] Funding Source: National Science Foundation; Division Of Ocean Sciences; Directorate For Geosciences [0749722] Funding Source: National Science Foundation</t>
  </si>
  <si>
    <t>NSF(National Science Foundation (NSF)); Newton Trust of the University of Cambridge(University of Cambridge); Division Of Ocean Sciences; Directorate For Geosciences(National Science Foundation (NSF)NSF - Directorate for Geosciences (GEO)); Division Of Ocean Sciences; Directorate For Geosciences(National Science Foundation (NSF)NSF - Directorate for Geosciences (GEO))</t>
  </si>
  <si>
    <t>Funding for PB was provided by NSF Grants OCE 0344094 and OCE 0725796 and by the research grant from the Newton Trust of the University of Cambridge. Funding for IK was provided by NSF Grants OCE 0346178 and 0749722. Funding for JP was provided by NSF Grant OCE 0451086. PB is also grateful for the stimulating discussions with Peter Haynes, Michael McIntyre, Bill Young, and Andy Thompson.</t>
  </si>
  <si>
    <t>10.1175/2009JPO4093.1</t>
  </si>
  <si>
    <t>521HU</t>
  </si>
  <si>
    <t>WOS:000271912200002</t>
  </si>
  <si>
    <t>Weijer, W; Gille, ST; Vivier, F</t>
  </si>
  <si>
    <t>Weijer, Wilbert; Gille, Sarah T.; Vivier, Frederic</t>
  </si>
  <si>
    <t>Modal Decay in the Australia-Antarctic Basin</t>
  </si>
  <si>
    <t>MULTIPLE OSCILLATORY MODES; SEA-LEVEL VARIABILITY; TOPEX/POSEIDON DATA; OCEAN CIRCULATION; SOUTHEAST PACIFIC; ARGENTINE BASIN; RESONANCE</t>
  </si>
  <si>
    <t>The barotropic intraseasonal variability in the Australia-Antarctic Basin (AAB) is studied in terms of the excitation and decay of topographically trapped barotropic modes. The main objective is to reconcile two widely differing estimates of the decay rate of sea surface height (SSH) anomalies in the AAB that are assumed to be related to barotropic modes. First, an empirical orthogonal function (EOF) analysis is applied to almost 15 years of altimeter data. The analysis suggests that several modes are involved in the variability of the AAB, each related to distinct areas with (almost) closed contours of potential vorticity. Second, the dominant normal modes of the AAB are determined in a barotropic shallow-water (SW) model. These stationary modes are confined by the closed contours of potential vorticity that surround the eastern AAB, and the crest of the Southeast Indian Ridge. For reasonable values of horizontal eddy viscosity and bottom friction, their decay time scale is on the order of several weeks. Third, the SW model is forced with realistic winds and integrated for several years. Projection of the modal velocity patterns onto the output fields shows that the barotropic modes are indeed excited in the model, and that they decay slowly on the frictional O(3 weeks) time scale. However, the SSH anomalies in the modal areas display rapid O(4 days) decay. Additional analysis shows that this rapid decay reflects the adjustment of unbalanced flow components through the emission of Rossby waves. Resonant excitation of the dominant free modes accounts for about 20% of the SSH variability in the forced-model run. Other mechanisms are suggested to explain the region of high SSH variability in the AAB.</t>
  </si>
  <si>
    <t>[Weijer, Wilbert] Los Alamos Natl Lab, Los Alamos, NM 87545 USA; [Gille, Sarah T.] Univ Calif San Diego, Scripps Inst Oceanog, La Jolla, CA 92093 USA; [Vivier, Frederic] LOCEAN IPSL, Paris, France</t>
  </si>
  <si>
    <t>United States Department of Energy (DOE); Los Alamos National Laboratory; University of California System; University of California San Diego; Scripps Institution of Oceanography; Museum National d'Histoire Naturelle (MNHN); Sorbonne Universite</t>
  </si>
  <si>
    <t>Weijer, W (corresponding author), Los Alamos Natl Lab, CCS-2,MS B296, Los Alamos, NM 87545 USA.</t>
  </si>
  <si>
    <t>wilbert@lanl.gov</t>
  </si>
  <si>
    <t>Weijer, Wilbert/A-7909-2010; Weijer, Wilbert/AAT-3247-2021; Gille, Sarah T./B-3171-2012</t>
  </si>
  <si>
    <t>Weijer, Wilbert/0000-0002-5654-562X; Weijer, Wilbert/0000-0002-5654-562X; Vivier, Frederic/0000-0003-2539-4133; Gille, Sarah/0000-0001-9144-4368</t>
  </si>
  <si>
    <t>NSF [0424703]; U. S. Department of Energy Office of Science (WW) [DE-AC52-06NA25396]; National Aeronautics and Space Administration [1224031]; CNES; CNRS; Directorate For Geosciences; Division Of Ocean Sciences [0424703] Funding Source: National Science Foundation</t>
  </si>
  <si>
    <t>NSF(National Science Foundation (NSF)); U. S. Department of Energy Office of Science (WW)(United States Department of Energy (DOE)); National Aeronautics and Space Administration(National Aeronautics &amp; Space Administration (NASA)); CNES(Centre National D'etudes Spatiales); CNRS(Centre National de la Recherche Scientifique (CNRS)); Directorate For Geosciences; Division Of Ocean Sciences(National Science Foundation (NSF)NSF - Directorate for Geosciences (GEO))</t>
  </si>
  <si>
    <t>This research was supported by NSF through Grant 0424703, and by the Climate Change Prediction Program of the U. S. Department of Energy Office of Science (WW). Los Alamos National Laboratory is operated by the Los Alamos National Security, LLC for the National Nuclear Security Administration of the U. S. Department of Energy under Contract DE-AC52-06NA25396. STG was supported by the National Aeronautics and Space Administration under JPL Contract 1224031. FV gratefully acknowledges CNES and CNRS for their support. Wind stress curl data were provided by the Data Support Section of the Computational and Information Systems Laboratory at the National Center for Atmospheric Research. NCAR is supported by grants from the National Science Foundation. The altimeter products were produced by Ssalto/Duacs and distributed by AVISO, with support from CNES. We thank two anonymous reviewers for constructive comments, and Dr. L.- L. Fu (JPL) for generously making his data available to us.</t>
  </si>
  <si>
    <t>10.1175/2009JPO4209.1</t>
  </si>
  <si>
    <t>WOS:000271912200011</t>
  </si>
  <si>
    <t>Zika, JD; Sloyan, BM; McDougall, TJ</t>
  </si>
  <si>
    <t>Zika, Jan D.; Sloyan, Bernadette M.; McDougall, Trevor J.</t>
  </si>
  <si>
    <t>Diagnosing the Southern Ocean Overturning from Tracer Fields</t>
  </si>
  <si>
    <t>ANTARCTIC CIRCUMPOLAR CURRENT; PART II; CIRCULATION; TRANSPORT</t>
  </si>
  <si>
    <t>The strength and structure of the Southern Hemisphere meridional overturning circulation (SMOC) is related to the along-isopycnal and vertical mixing coefficients by analyzing tracer and density fields from a hydrographic climatology. The meridional transport of Upper Circumpolar Deep Water (UCDW) across the Antarctic Circumpolar Current (ACC) is expressed in terms of the along-isopycnal (K) and diapycnal (D) tracer diffusivities and in terms of the along-isopycnal potential vorticity mixing coefficient (K-PV). Uniform along-isopycnal (&lt; 600 m(2) s(-1)) and low vertical mixing (10(-5) m(2) s(-1)) can maintain a southward transport of less than 60 Sv (Sv = 10(6) m(2) s(-1)) of UCDW across the ACC, which is distributed largely across the South Pacific and east Indian Ocean basins. For vertical mixing rates of O(10(-4) m(2) s(-1)) or greater, the inferred transport is significantly enhanced. The transports inferred from both tracer and density distributions suggest a ratio K to D of O(2 x 10(6)) particularly on deeper layers of UCDW. Given the range of observed southward transports of UCDW, it is found that K = 300 +/- 150 m(2) s(-1) and D = 10(-4) +/- 0.5 x 10(-4) m(2) s(-1) in the Southern Ocean interior. A view of the SMOC is revealed where dense waters are converted to lighter waters not only at the ocean surface, but also on depths below that of the mixed layer with vertical mixing playing an important role.</t>
  </si>
  <si>
    <t>[Zika, Jan D.] Univ New S Wales, Climate Change Res Ctr, Sydney, NSW, Australia; [Zika, Jan D.; Sloyan, Bernadette M.; McDougall, Trevor J.] Ctr Australian Weather &amp; Climate Res CSIRO, Hobart, Tas, Australia</t>
  </si>
  <si>
    <t>University of New South Wales Sydney; Commonwealth Scientific &amp; Industrial Research Organisation (CSIRO)</t>
  </si>
  <si>
    <t>Zika, JD (corresponding author), CSIRO Marine &amp; Atmospher Res, Hobart, Tas 7000, Australia.</t>
  </si>
  <si>
    <t>jan.zika@csiro.au</t>
  </si>
  <si>
    <t>McDougall, Trevor J/A-6770-2013; Sloyan, Bernadette/N-8989-2014</t>
  </si>
  <si>
    <t>Sloyan, Bernadette/0000-0003-0250-0167; Zika, Jan/0000-0003-3462-3559</t>
  </si>
  <si>
    <t>CSIRO Wealth from Oceans Flagship; Australian Research Council Centre of Excellence for Mathematics and Statistics of Complex Systems</t>
  </si>
  <si>
    <t>CSIRO Wealth from Oceans Flagship(Commonwealth Scientific &amp; Industrial Research Organisation (CSIRO)); Australian Research Council Centre of Excellence for Mathematics and Statistics of Complex Systems(Australian Research Council)</t>
  </si>
  <si>
    <t>We thank Drs. Jean-Baptiste Sallee and Steve Rintoul for insightful and helpful comments on a draft of this paper. We also thank two anonymous reviewers for their helpful remarks. This work contributes to the CSIRO Climate Change Research Program and has been partially supported by the CSIRO Wealth from Oceans Flagship and the Australian Research Council Centre of Excellence for Mathematics and Statistics of Complex Systems.</t>
  </si>
  <si>
    <t>10.1175/2009JPO4052.1</t>
  </si>
  <si>
    <t>WOS:000271912200013</t>
  </si>
  <si>
    <t>Ortega-Retuerta, E; Frazer, TK; Duarte, CM; Ruiz-Halpern, S; Tovar-Sánchez, A; Arrieta, JM; Reche, I</t>
  </si>
  <si>
    <t>Ortega-Retuerta, Eva; Frazer, Thomas K.; Duarte, Carlos M.; Ruiz-Halpern, Sergio; Tovar-Sanchez, Antonio; Arrieta, Jesus M.; Reche, Isabel</t>
  </si>
  <si>
    <t>Biogeneration of chromophoric dissolved organic matter by bacteria and krill in the Southern Ocean</t>
  </si>
  <si>
    <t>LIMNOLOGY AND OCEANOGRAPHY</t>
  </si>
  <si>
    <t>EUPHAUSIA-SUPERBA; SEA-ICE; ANTARCTIC KRILL; SARGASSO SEA; MARINE; BACTERIOPLANKTON; PHOTOREACTIVITY; PHYTOPLANKTON; ABSORPTION; DYNAMICS</t>
  </si>
  <si>
    <t>Chromophoric dissolved organic matter ( CDOM), the optically active fraction of dissolved organic matter, is primarily generated by pelagic organisms in the open ocean. In this study, we experimentally determined the quantity and spectral quality of CDOM generated by bacterioplankton using two different substrates ( with and without photoproducts) and by Antarctic krill Euphausia superba and evaluated their potential contributions to CDOM dynamics in the peninsular region of the Southern Ocean. CDOM was generated by bacteria in all experiments, and the presence of photoproducts influenced both the quantity and the spectral quality of the resultant CDOM. We confirmed a direct link between bacterial production and CDOM generation, which yielded in situ CDOM duplication times from 31 to 33 d. Antarctic krill as a direct source of CDOM was also confirmed experimentally. We estimated that CDOM generation by krill would lead to CDOM duplication times from 0.48 to 0.80 d within krill swarms. Our findings highlight the potential significance of bacteria and Antarctic krill swarms in the generation of CDOM and underscore the dynamic nature of CDOM in this area.</t>
  </si>
  <si>
    <t>[Ortega-Retuerta, Eva; Reche, Isabel] Univ Granada, Fac Ciencias, Dept Ecol, Granada, Spain; [Frazer, Thomas K.] Univ Florida, Sch Forest Resources &amp; Conservat, Gainesville, FL 32611 USA; [Duarte, Carlos M.; Ruiz-Halpern, Sergio; Tovar-Sanchez, Antonio; Arrieta, Jesus M.] UIB, CSIC, Inst Mediterraneo Estudios Avanzados, Esporles, Illes Balears, Spain; [Reche, Isabel] Univ Granada, Inst Agua, Granada, Spain</t>
  </si>
  <si>
    <t>University of Granada; State University System of Florida; University of Florida; Consejo Superior de Investigaciones Cientificas (CSIC); Universitat de les Illes Balears; University of Granada</t>
  </si>
  <si>
    <t>Reche, I (corresponding author), Univ Granada, Fac Ciencias, Dept Ecol, Granada, Spain.</t>
  </si>
  <si>
    <t>ireche@ugr.es</t>
  </si>
  <si>
    <t>Tovar-Sánchez, Antonio/B-8003-2010; Duarte Quesada, Carlos Manuel/ABD-6208-2021; Reche, Isabel/K-7120-2014; Duarte, Carlos M/A-7670-2013; Arrieta, Jesus/B-1226-2008; Ruiz-Halpern, Sergio/J-2854-2015; Ortega-Retuerta, Eva/I-2432-2015</t>
  </si>
  <si>
    <t>Reche, Isabel/0000-0003-2908-1724; Duarte, Carlos M/0000-0002-1213-1361; Arrieta, Jesus/0000-0002-0190-6950; Ruiz-Halpern, Sergio/0000-0002-4198-4187; Ortega-Retuerta, Eva/0000-0003-0780-8347; Tovar-Sanchez, Antonio/0000-0003-4375-1982</t>
  </si>
  <si>
    <t>Spanish Ministry of Science and Innovation [REN2002-04165-CO3-02, POL2006-00550/CTM, CGL2005-00076]; United States National Science Foundation [0336469]; Spanish Ministry of Science and Education</t>
  </si>
  <si>
    <t>Spanish Ministry of Science and Innovation(Spanish Government); United States National Science Foundation(National Science Foundation (NSF)); Spanish Ministry of Science and Education(Spanish Government)</t>
  </si>
  <si>
    <t>We extend our thanks to R. Ross and L. Quetin for providing the krill specimens used in our 2004 experiments and to Miquel Alcaraz for assistance to capture those used in our 2009 experiments. We thank the Marine Technology Unit, particularly J. Llinas del Torrent, R. Ametller, and M. Pastor, for logistic assistance, and R. Martinez and P. Echeveste for Chl a and nitrogen analyses. We also acknowledge the associate editor, Stephen P. Opsahl, and three anonymous reviewers for their helpful comments on a previous version of this MS. This work was funded by the Spanish Ministry of Science and Innovation through projects REN2002-04165-CO3-02 and POL2006-00550/CTM to C. M. D. and CGL2005-00076 to I. R, and the United States National Science Foundation (NSF-OPP award 0336469) to T. K. F. E. O.-R. was supported by a fellowship of the Spanish Ministry of Science and Education.</t>
  </si>
  <si>
    <t>0024-3590</t>
  </si>
  <si>
    <t>1939-5590</t>
  </si>
  <si>
    <t>LIMNOL OCEANOGR</t>
  </si>
  <si>
    <t>Limnol. Oceanogr.</t>
  </si>
  <si>
    <t>10.4319/lo.2009.54.6.1941</t>
  </si>
  <si>
    <t>Limnology; Oceanography</t>
  </si>
  <si>
    <t>Marine &amp; Freshwater Biology; Oceanography</t>
  </si>
  <si>
    <t>501OC</t>
  </si>
  <si>
    <t>WOS:000270390200011</t>
  </si>
  <si>
    <t>Tappert, R; Foden, J; Stachel, T; Muehlenbachs, K; Tappert, M; Wills, K</t>
  </si>
  <si>
    <t>Tappert, Ralf; Foden, John; Stachel, Thomas; Muehlenbachs, Karlis; Tappert, Michelle; Wills, Kevin</t>
  </si>
  <si>
    <t>The diamonds of South Australia</t>
  </si>
  <si>
    <t>LITHOS</t>
  </si>
  <si>
    <t>9th International Kimberlite Conference</t>
  </si>
  <si>
    <t>AUG 10-15, 2008</t>
  </si>
  <si>
    <t>Johann Wolfgang Goethe Univ, Frankfurt, GERMANY</t>
  </si>
  <si>
    <t>Johann Wolfgang Goethe Univ</t>
  </si>
  <si>
    <t>Sublithospheric diamonds; Ferropericlase; Placer diamonds; South Australia; Kimberlites; Permian glaciation</t>
  </si>
  <si>
    <t>ISOTOPIC COMPOSITION; INFRARED-ABSORPTION; ALLUVIAL DIAMONDS; MINAS-GERAIS; MANTLE; ORIGIN; PHASES; CARBON; BRAZIL; INCLUSIONS</t>
  </si>
  <si>
    <t>Diamonds in South Australia occur in kimberlites at Eurelia (Orroroo), and in placer deposits, which include the Springfield Basin and the historic Echunga goldfield. To identify the kimberlitic and mantle sources of the placer diamonds, and to determine any possible connections between the placer diamonds and the diamonds from the Eurelia kimberlites, we examined the physical and compositional characteristics, and the mineral inclusion content of 122 diamonds from the Springfield Basin and 43 diamonds from kimberlites at Eurelia. Additional morphological data for three Echunga diamonds are also given. Most of the diamonds from the Springfield Basin are similar to the diamonds from Eurelia with respect to their crystal shapes, surface textures, and colors. The diamond populations from both areas are characterized by a high abundance of low-nitrogen (&lt;100 ppm) diamonds with variable nitrogen aggregation states. The stable carbon isotope compositions of the Springfield Basin diamonds are similar to the Eurelia diamonds with delta(13)C values in the range -20.0 to -2.5 parts per thousand, and a mode at -6.5 parts per thousand. Ferropericlase inclusions in two diamonds from the Springfield Basin are consistent with ferropericlase-bearing mineral inclusion assemblages found in the Eurelia diamonds and indicate that part of the diamond population from both areas is of sublithospheric origin. One diamond from the Springfield Basin contained an inclusion of lherzolitic garnet. The overall similarities between the Springfield Basin and Eurelia diamonds indicates that the bulk of the Springfield Basin diamonds are derived from kimberlitic sources that are similar (or identical) to those at Eurelia. However, three diamonds from the Springfield Basin are markedly distinct. These have well-developed crystal shapes, large sizes, yellow body colorations, and brown irradiation spots. The brown irradiation spots and abrasion textures provide evidence that these diamonds are much older than the other diamonds in the Springfield Basin, and that they are derived from distal kimberlitic sources. The diamonds are most likely derived from Permian glacigene sediments and may ultimately be sourced from kimberlites on the East Antarctic craton. Abrasion textures and brown irradiation spots are also present on diamonds from Echunga. This provides a link to the three old Springfield Basin diamonds and other alluvial diamonds in Eastern Australia, and suggests that Permian glaciations caused a widespread distribution of diamonds over large parts of southern Australia, which at that time was part of the supercontinent Gondwana. (C) 2009 Elsevier B.V. All rights reserved.</t>
  </si>
  <si>
    <t>[Tappert, Ralf; Tappert, Michelle] Univ Adelaide, Sch Earth &amp; Environm Sci, Ctr Mineral Explorat Cover, Adelaide, SA 5005, Australia; [Stachel, Thomas; Muehlenbachs, Karlis] Univ Alberta, Dept Earth &amp; Atmospher Sci, Edmonton, AB T6G 2E3, Canada; [Wills, Kevin] Flinders Mines Ltd, Norwood, SA 5005, Australia</t>
  </si>
  <si>
    <t>University of Adelaide; University of Alberta</t>
  </si>
  <si>
    <t>Tappert, R (corresponding author), Univ Adelaide, Sch Earth &amp; Environm Sci, Ctr Mineral Explorat Cover, Adelaide, SA 5005, Australia.</t>
  </si>
  <si>
    <t>ralf.tappert@adelaide.edu.au</t>
  </si>
  <si>
    <t>Stachel, Thomas/G-3198-2010</t>
  </si>
  <si>
    <t>Stachel, Thomas/0000-0002-0189-4224; Foden, John/0000-0003-3564-7253</t>
  </si>
  <si>
    <t>0024-4937</t>
  </si>
  <si>
    <t>Lithos</t>
  </si>
  <si>
    <t>10.1016/j.lithos.2009.04.029</t>
  </si>
  <si>
    <t>Geochemistry &amp; Geophysics; Mineralogy</t>
  </si>
  <si>
    <t>539LU</t>
  </si>
  <si>
    <t>WOS:000273256800020</t>
  </si>
  <si>
    <t>Miller, AK; Karnovsky, NJ; Trivelpiece, WZ</t>
  </si>
  <si>
    <t>Miller, Aileen K.; Karnovsky, Nina J.; Trivelpiece, Wayne Z.</t>
  </si>
  <si>
    <t>Flexible foraging strategies of gentoo penguins Pygoscelis papua over 5 years in the South Shetland Islands, Antarctica</t>
  </si>
  <si>
    <t>MARINE BIOLOGY</t>
  </si>
  <si>
    <t>KING-GEORGE-ISLAND; CHINSTRAP PENGUINS; EUPHAUSIA-SUPERBA; DIET; BEHAVIOR; ECOLOGY; PREY; RESPONSES; PREDATORS; PERFORMANCE</t>
  </si>
  <si>
    <t>Gentoo penguins Pygoscelis papua show considerable plasticity in their diet, diving, and foraging behaviors among colonies; we expected that they might exhibit similar variability over time, at a single site, since flexible foraging habits would provide a buffer against changes in prey availability. We examined interannual changes in the foraging strategies and diet of gentoo penguins in the South Shetland Islands, Antarctica, over 5 years with variable prey abundance. Antarctic krill Euphausia superba was the primary diet item, and fish the secondary, though the importance of these items varied among years. Diving behavior also varied over time: different dive depth distributions were observed among years. Nonetheless, chick-rearing success remained relatively constant, indicating that gentoo penguins were able to maintain chick provisioning by altering their foraging strategy among years. Variable abundance of krill in the region did not have observable impacts on the diet, foraging behaviors or chick-rearing success of gentoo penguins. We suggest that foraging plasticity may be one reason that gentoo penguin populations have remained stable in the region, while their congeners (P. antarctica and P. adeliae) with less flexible foraging strategies have declined.</t>
  </si>
  <si>
    <t>[Miller, Aileen K.; Trivelpiece, Wayne Z.] SW Fisheries Sci Ctr, Antarctic Ecosyst Res Div, La Jolla, CA 92037 USA; [Karnovsky, Nina J.] Pomona Coll, Dept Biol, Claremont, CA 91711 USA</t>
  </si>
  <si>
    <t>National Oceanic Atmospheric Admin (NOAA) - USA; Claremont Colleges; Pomona College</t>
  </si>
  <si>
    <t>Miller, AK (corresponding author), SW Fisheries Sci Ctr, Antarctic Ecosyst Res Div, 8604 La Jolla Shores Dr, La Jolla, CA 92037 USA.</t>
  </si>
  <si>
    <t>aileenkmiller@yahoo.com</t>
  </si>
  <si>
    <t>US AMLR program; Pew Charitable Trusts</t>
  </si>
  <si>
    <t>Many thanks to all those who helped collect data associated with this study: I. Saxer, D. Schoeffler, L. Shill, M. Kappes, E. Leung, R. Orben, S. Chisholm and K. Pietrzak. Thanks also to A. Briggs who assisted with otolith identification and to D. Young and M. Polito who helped run statistical analyses. The US AMLR program and the National Science Foundation's US Antarctic Program provided logistical support for the fieldwork. J. Hinke and 3 anonymous reviewers provided comments which greatly helped improve this manuscript. This research was funded by the US AMLR program and by the Lenfest Ocean Program of the Pew Charitable Trusts. All studies were conducted according to US law, and under approved animal use protocols of the University of California San Diego Institutional Animal Care and Use Committee.</t>
  </si>
  <si>
    <t>0025-3162</t>
  </si>
  <si>
    <t>1432-1793</t>
  </si>
  <si>
    <t>MAR BIOL</t>
  </si>
  <si>
    <t>Mar. Biol.</t>
  </si>
  <si>
    <t>10.1007/s00227-009-1277-z</t>
  </si>
  <si>
    <t>505TS</t>
  </si>
  <si>
    <t>WOS:000270721000010</t>
  </si>
  <si>
    <t>Letessier, TB; Cox, MJ; Brierley, AS</t>
  </si>
  <si>
    <t>Letessier, Tom B.; Cox, Martin J.; Brierley, Andrew S.</t>
  </si>
  <si>
    <t>Drivers of euphausiid species abundance and numerical abundance in the Atlantic Ocean</t>
  </si>
  <si>
    <t>NORTH-ATLANTIC; IRMINGER SEA; BIOLOGICAL RESPONSE; GLOBAL BIODIVERSITY; ANTARCTIC KRILL; SCALE VARIATION; CLIMATE-CHANGE; TIME-SERIES; RIDGE; DIVERSITY</t>
  </si>
  <si>
    <t>Mid-ocean ridges are common features of the world's oceans but there is a lack of understanding as to how their presence affects overlying pelagic biota. The Mid-Atlantic Ridge (MAR) is a dominant feature of the Atlantic Ocean. Here, we examined data on euphausiid distribution and abundance arising from several international research programmes and from the continuous plankton recorder. We used a generalized additive model (GAM) framework to explore spatial patterns of variability in euphausiid distribution on, and at either side of, the MAR from 60A degrees N to 55A degrees S in conjunction with variability in a suite of biological, physical and environmental parameters. Euphausiid species abundance peaked in mid-latitudes and was significantly higher on the ridge than in adjacent waters, but the ridge did not influence numerical abundance significantly. Sea surface temperature (SST) was the most important single factor influencing both euphausiid numerical abundance and species abundance. Increases in sea surface height variance, a proxy for mixing, increased the numerical abundance of euphausiids. GAM predictions of variability in species abundance as a function of SST and depth of the mixed layer were consistent with present theories, which suggest that pelagic niche availability is related to the thermal structure of the near surface water: more deeply-mixed water contained higher euphausiid biodiversity. In addition to exposing present distributional patterns, the GAM framework enables responses to potential future and past environmental variability including temperature change to be explored.</t>
  </si>
  <si>
    <t>[Letessier, Tom B.; Cox, Martin J.; Brierley, Andrew S.] Univ St Andrews, Pelag Ecol Res Grp, Scottish Oceans Inst, St Andrews KY16 8LB, Fife, Scotland</t>
  </si>
  <si>
    <t>University of St Andrews</t>
  </si>
  <si>
    <t>Letessier, TB (corresponding author), Univ St Andrews, Pelag Ecol Res Grp, Scottish Oceans Inst, St Andrews KY16 8LB, Fife, Scotland.</t>
  </si>
  <si>
    <t>tbl@st-andrews.ac.uk; mjc16@st-andrews.ac.uk; asb4@st-andrews.ac.uk</t>
  </si>
  <si>
    <t>Letessier, Tom Bech/AAV-2759-2020; Brierley, Andrew/G-8019-2011</t>
  </si>
  <si>
    <t>Letessier, Tom Bech/0000-0003-4011-0207; Brierley, Andrew/0000-0002-6438-6892</t>
  </si>
  <si>
    <t>School of Biology at the University of St Andrewsc; United Kingdom Natural Environment Research Council; Natural Environment Research Council [NE/C512961/1, NE/C51300X/1, SAH01001] Funding Source: researchfish; NERC [SAH01001, NE/C512961/1, NE/C51300X/1] Funding Source: UKRI</t>
  </si>
  <si>
    <t>School of Biology at the University of St Andrewsc; United Kingdom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</si>
  <si>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Sir Alister Hardy Foundation for Ocean Science for the CPR data, and all the providers of environmental data used in our modelling. We thank the School of Biology at the University of St Andrews, and the United Kingdom Natural Environment Research Council, for funding, and C. Blight for help and expert advice with Geographical Information System software. The images and data used in this study were acquired using the GESDISC Interactive Online Visualization ANd aNalysis Infrastructure (Giovanni) as part of the NASA's Goddard Earth Sciences (GES) Data and Information Services Center (DISC).</t>
  </si>
  <si>
    <t>10.1007/s00227-009-1278-y</t>
  </si>
  <si>
    <t>WOS:000270721000011</t>
  </si>
  <si>
    <t>Ahmed, S; Hart, T; Dawson, DA; Horsburgh, GJ; Trathan, PN; Rogers, AD</t>
  </si>
  <si>
    <t>Ahmed, Sophia; Hart, Tom; Dawson, Deborah A.; Horsburgh, Gavin J.; Trathan, Philip N.; Rogers, Alex D.</t>
  </si>
  <si>
    <t>Isolation and characterization of macaroni penguin (Eudyptes chrysolophus) microsatellite loci and their utility in other penguin species (Spheniscidae, AVES)</t>
  </si>
  <si>
    <t>MOLECULAR ECOLOGY RESOURCES</t>
  </si>
  <si>
    <t>AVES; cross-species utility; Eudyptes; microsatellite; penguin; Spheniscidae</t>
  </si>
  <si>
    <t>PATERNITY</t>
  </si>
  <si>
    <t>We report the characterization of 25 microsatellite loci isolated from the macaroni penguin (Eudyptes chrysolophus). Thirteen loci were arranged into four multiplex sets for future genetic studies of macaroni penguin populations. All 25 loci were tested separately in each of four other penguin species [Adelie penguin (Pygoscelis adeliae), chinstrap penguin (Pygoscelis antarctica), gentoo penguin (Pygoscelis papua) and king penguin (Aptenodytes patagonicus)]. Between eight and 12 loci were polymorphic per species. These loci are expected to be useful for studies of population genetic structure in a range of penguin species.</t>
  </si>
  <si>
    <t>[Ahmed, Sophia; Dawson, Deborah A.; Horsburgh, Gavin J.] Univ Sheffield, Dept Anim &amp; Plant Sci, Western Bank, NERC,Mol Genet Facil, Sheffield S10 2TN, S Yorkshire, England; [Ahmed, Sophia; Hart, Tom; Rogers, Alex D.] Inst Zool, London N12 4RY, England; [Trathan, Philip N.] British Antarctic Survey, Cambridge CB3 0ET, England</t>
  </si>
  <si>
    <t>UK Research &amp; Innovation (UKRI); Natural Environment Research Council (NERC); University of Sheffield; UK Research &amp; Innovation (UKRI); Natural Environment Research Council (NERC); NERC British Antarctic Survey</t>
  </si>
  <si>
    <t>Dawson, DA (corresponding author), Univ Sheffield, Dept Anim &amp; Plant Sci, Western Bank, NERC,Mol Genet Facil, Sheffield S10 2TN, S Yorkshire, England.</t>
  </si>
  <si>
    <t>d.a.dawson@sheffield.ac.uk</t>
  </si>
  <si>
    <t>Rogers, Alex David/0000-0002-4864-2980</t>
  </si>
  <si>
    <t>Natural Environment Research Council, UK; Natural Environment Research Council [NBAF010001, bas010017] Funding Source: researchfish; NERC [NBAF010001, bas010017] Funding Source: UKRI</t>
  </si>
  <si>
    <t>Natural Environment Research Council, UK(UK Research &amp; Innovation (UKRI)Natural Environment Research Council (NERC)); Natural Environment Research Council(UK Research &amp; Innovation (UKRI)Natural Environment Research Council (NERC)); NERC(UK Research &amp; Innovation (UKRI)Natural Environment Research Council (NERC))</t>
  </si>
  <si>
    <t>Blood and DNA samples were kindly provided by Robert Buckland, Ian Hartley, Fiona Hunter, Jagroop Pandhal, Richard Philips and Douglas Ross. We thank Andy Krupa for genotyping advice. Terry Burke provided comments on the manuscript. This work was performed at the Molecular Genetics Facility at Sheffield supported by the Natural Environment Research Council, UK.</t>
  </si>
  <si>
    <t>1755-098X</t>
  </si>
  <si>
    <t>1755-0998</t>
  </si>
  <si>
    <t>MOL ECOL RESOUR</t>
  </si>
  <si>
    <t>Mol. Ecol. Resour.</t>
  </si>
  <si>
    <t>10.1111/j.1755-0998.2009.02710.x</t>
  </si>
  <si>
    <t>506PK</t>
  </si>
  <si>
    <t>WOS:000270787500022</t>
  </si>
  <si>
    <t>Steinhoff, DF; Chaudhuri, S; Bromwich, DH</t>
  </si>
  <si>
    <t>Steinhoff, Daniel F.; Chaudhuri, Saptarshi; Bromwich, David H.</t>
  </si>
  <si>
    <t>A Case Study of a Ross Ice Shelf Airstream Event: A New Perspective</t>
  </si>
  <si>
    <t>MONTHLY WEATHER REVIEW</t>
  </si>
  <si>
    <t>MESOSCALE-PREDICTION-SYSTEM; ANTARCTIC ATMOSPHERIC CIRCULATION; POLAR MM5 SIMULATIONS; WIND CONFLUENCE ZONE; WEST ANTARCTICA; KATABATIC WINDS; SIPLE COAST; TRANSANTARCTIC MOUNTAINS; NUMERICAL-SIMULATION; CLOUD DETECTION</t>
  </si>
  <si>
    <t>A case study illustrating cloud processes and other features associated with the Ross Ice Shelf airstream (RAS), in Antarctica, is presented. The RAS is a semipermanent low-level wind regime primarily over the western Ross Ice Shelf, linked to the midlatitude circulation and formed from terrain-induced and large-scale forcing effects. An integrated approach utilizes Moderate Resolution Imaging Spectroradiometer (MODIS) satellite imagery, automatic weather station (AWS) data, and Antarctic Mesoscale Prediction System (AMPS) forecast output to study the synoptic-scale and mesoscale phenomena involved in cloud formation over the Ross Ice Shelf during a RAS event. A synoptic-scale cyclone offshore of Marie Byrd Land draws moisture across West Antarctica to the southern base of the Ross Ice Shelf. Vertical lifting associated with flow around the Queen Maud Mountains leads to cloud formation that extends across the Ross Ice Shelf to the north. The low-level cloud has a warm signature in thermal infrared imagery, resembling a surface feature of turbulent katabatic flow typically ascribed to the RAS. Strategically placed AWS sites allow assessment of model performance within and outside of the RAS signature. AMPS provides realistic simulation of conditions aloft but experiences problems at low levels due to issues with the model PBL physics. Key meteorological features of this case study, within the context of previous studies on longer time scales, are inferred to be common occurrences. The assumption that warm thermal infrared signatures are surface features is found to be too restrictive.</t>
  </si>
  <si>
    <t>[Steinhoff, Daniel F.; Chaudhuri, Saptarshi; Bromwich, David H.] Ohio State Univ, Byrd Polar Res Ctr, Polar Meteorol Grp, Columbus, OH 43210 USA; [Steinhoff, Daniel F.; Bromwich, David H.] Ohio State Univ, Atmospher Sci Program, Dept Geog, Columbus, OH 43210 USA</t>
  </si>
  <si>
    <t>University System of Ohio; Ohio State University; University System of Ohio; Ohio State University</t>
  </si>
  <si>
    <t>Steinhoff, DF (corresponding author), Ohio State Univ, Byrd Polar Res Ctr, Polar Meteorol Grp, 1090 Carmack Rd, Columbus, OH 43210 USA.</t>
  </si>
  <si>
    <t>steinhoff.9@buckeyemail.osu.edu</t>
  </si>
  <si>
    <t>Bromwich, David H/C-9225-2016</t>
  </si>
  <si>
    <t>Steinhoff, Daniel/0000-0002-4233-8750</t>
  </si>
  <si>
    <t>National Science Foundation [S01-22901, NSF-ANT-0636523]</t>
  </si>
  <si>
    <t>This research is supported by the National Science Foundation via UCAR Subcontract S01-22901 and Grant NSF-ANT-0636523 to DHB. Matthew Lazzara (SSEC, University of Wisconsin Madison) provided guidance with McIDAS. Helpful discussions with Timo Vihma (FMI) and comments from three anonymous reviewers significantly improved the manuscript.</t>
  </si>
  <si>
    <t>0027-0644</t>
  </si>
  <si>
    <t>1520-0493</t>
  </si>
  <si>
    <t>MON WEATHER REV</t>
  </si>
  <si>
    <t>Mon. Weather Rev.</t>
  </si>
  <si>
    <t>10.1175/2009MWR2880.1</t>
  </si>
  <si>
    <t>524JL</t>
  </si>
  <si>
    <t>WOS:000272139500025</t>
  </si>
  <si>
    <t>Upson, R; Read, DJ; Newsham, KK</t>
  </si>
  <si>
    <t>Upson, Rebecca; Read, David J.; Newsham, Kevin K.</t>
  </si>
  <si>
    <t>Nitrogen form influences the response of Deschampsia antarctica to dark septate root endophytes</t>
  </si>
  <si>
    <t>MYCORRHIZA</t>
  </si>
  <si>
    <t>Amino acids; Dark septate fungal endophytes (DSE); DS fungi; Helotiales; Inorganic and organic nitrogen; Peptides</t>
  </si>
  <si>
    <t>PHIALOCEPHALA FORTINII; MICROFUNGAL ENDOPHYTES; MYCORRHIZAL STATUS; FUNGI; PLANT; GROWTH; ASSOCIATIONS; ISLAND; TEMPERATURE</t>
  </si>
  <si>
    <t>Fungi with dematiaceous septate hyphae, termed dark septate endophytes (DSE), are common in plant roots, particularly in cold-stressed habitats, but their effects on their host plants remain obscure. Here, we report a study that assessed the effects of six DSE on the growth and nutrient balance of Deschampsia antarctica when plants were supplied with the same amount of nitrogen in organic (casein hydrolysate) or inorganic (ammonium sulphate) form under controlled conditions. After 60 days, the DSE, that had each been isolated from D. antarctica and which analyses of internal transcribed spacer and large subunit regions indicated were similar to members of the Helotiales (Oculimacula yallundae, Mollisia and Tapesia spp.) and unassigned anamorphic ascomycetes, typically had no effect on, or reduced by 33-71%, shoot and root dry weights relative to uninoculated controls when plants had been supplied with nitrogen in inorganic form. In contrast, the DSE usually enhanced shoot and root dry weights by 51-247% when plants had been supplied with organic nitrogen. In the presence of inorganic nitrogen, only sporadic effects of DSE were recorded on shoot and root nitrogen or phosphorus concentrations, whereas in the presence of organic nitrogen, three to six of the DSE isolates increased shoot and root nitrogen and phosphorus contents. Most of the isolates decreased the phosphorus concentrations of shoots and roots when plants had been supplied with nitrogen in organic form. Our data suggest that DSE are able to mineralise peptides and amino acids in the rhizosphere, making nitrogen more freely available to roots.</t>
  </si>
  <si>
    <t>[Upson, Rebecca; Newsham, Kevin K.] British Antarctic Survey, NERC, Cambridge CB3 0ET, England; [Upson, Rebecca; Read, David J.] Univ Sheffield, Dept Anim &amp; Plant Sci, Sheffield S10 2TN, S Yorkshire, England</t>
  </si>
  <si>
    <t>Newsham, Kevin K/C-4192-2011; Read, David J/C-2454-2013</t>
  </si>
  <si>
    <t>Natural Environment Research Council [NER/ G/ S/ 2000/ 00318]</t>
  </si>
  <si>
    <t>Financial support was provided by a research studentship to RU awarded by the Natural Environment Research Council through the Antarctic Funding Initiative (award no. NER/ G/ S/ 2000/ 00318). Bob Keen analysed N and P concentrations of plant material. Paul Bridge kindly assisted with sequence analyses and two anonymous referees supplied helpful comments. All are gratefully acknowledged.</t>
  </si>
  <si>
    <t>0940-6360</t>
  </si>
  <si>
    <t>1432-1890</t>
  </si>
  <si>
    <t>Mycorrhiza</t>
  </si>
  <si>
    <t>10.1007/s00572-009-0260-3</t>
  </si>
  <si>
    <t>Plant Sciences; Mycology</t>
  </si>
  <si>
    <t>507ZO</t>
  </si>
  <si>
    <t>WOS:000270895900001</t>
  </si>
  <si>
    <t>Janknegt, PJ; de Graaff, CM; van de Poll, WH; Visser, RJW; Helbling, EW; Buma, AGJ</t>
  </si>
  <si>
    <t>Janknegt, Paul J.; de Graaff, C. Marco; van de Poll, Willem H.; Visser, Ronald J. W.; Walter Helbling, E.; Buma, Anita G. J.</t>
  </si>
  <si>
    <t>Antioxidative Responses of Two Marine Microalgae During Acclimation to Static and Fluctuating Natural UV Radiation</t>
  </si>
  <si>
    <t>PHOTOCHEMISTRY AND PHOTOBIOLOGY</t>
  </si>
  <si>
    <t>OXIDATIVE STRESS; ULTRAVIOLET-RADIATION; ANTARCTIC DIATOM; PHYTOPLANKTON COMMUNITIES; SUPEROXIDE-DISMUTASE; CHLORELLA-VULGARIS; THALASSIOSIRA SP; SOLAR-RADIATION; OXYGEN; PHOTOSYNTHESIS</t>
  </si>
  <si>
    <t>Photoacclimation properties were investigated in two marine microalgae exposed to four ambient irradiance conditions: static photosynthetically active radiation (PAR: 400-700 nm), static PAR + UVR (280-700 nm), dynamic PAR and dynamic PAR + UVR. High light acclimated cultures of Thalassiosira weissflogii and Dunaliella tertiolecta were exposed outdoors for a maximum of 7 days. Dynamic irradiance was established by computer controlled vertical movement of 2 L bottles in a water filled basin. Immediate (&lt; 24 h), short-term (1-3 days) and long-term (4-7 days) photoacclimation was followed for antioxidants (superoxide dismutase, ascorbate peroxidase and glutathione cycling), growth and pigment pools. Changes in UVR sensitivity during photoacclimation were monitored by measuring UVR-induced inhibition of carbon assimilation under standardized UV conditions using an indoor solar simulator. Both species showed immediate antioxidant responses due to their transfer to the outdoor conditions. Furthermore, upon outdoor exposure, carbon assimilation and growth rates were reduced in both species compared with initial conditions; however, these effects were most pronounced in D. tertiolecta. Outdoor UV exposure did not alter antioxidant levels when compared with PAR-only controls in both species. In contrast, growth was significantly affected in the static UVR cultures, concurrent with significantly enhanced UVR resistance. We conclude that antioxidants play a minor role in the reinforcement of natural UVR resistance in T. weissflogii and D. tertiolecta.</t>
  </si>
  <si>
    <t>[Janknegt, Paul J.; van de Poll, Willem H.; Visser, Ronald J. W.; Buma, Anita G. J.] Univ Groningen, Dept Ocean Ecosyst, Ctr Ecol &amp; Evolutionary Studies, Haren, Netherlands; [de Graaff, C. Marco] Ctr Sustainable Water Technol, TTIW Wetsus, Leeuwarden, Netherlands; [Walter Helbling, E.] Consejo Nacl Invest Cient &amp; Tecn, Chubut, Argentina; [Walter Helbling, E.] Estac Fotobiol Playa Union, Chubut, Argentina</t>
  </si>
  <si>
    <t>University of Groningen; Consejo Nacional de Investigaciones Cientificas y Tecnicas (CONICET)</t>
  </si>
  <si>
    <t>Janknegt, PJ (corresponding author), Univ Groningen, Dept Ocean Ecosyst, Ctr Ecol &amp; Evolutionary Studies, Haren, Netherlands.</t>
  </si>
  <si>
    <t>P.J.Janknegt@rug.nl</t>
  </si>
  <si>
    <t>Buma, Anita GJ/E-8372-2015</t>
  </si>
  <si>
    <t>van de Poll, Willem/0000-0003-4095-4338; Helbling, E. Walter/0000-0003-2478-2281</t>
  </si>
  <si>
    <t>0031-8655</t>
  </si>
  <si>
    <t>1751-1097</t>
  </si>
  <si>
    <t>PHOTOCHEM PHOTOBIOL</t>
  </si>
  <si>
    <t>Photochem. Photobiol.</t>
  </si>
  <si>
    <t>10.1111/j.1751-1097.2009.00603.x</t>
  </si>
  <si>
    <t>509UX</t>
  </si>
  <si>
    <t>WOS:000271045200008</t>
  </si>
  <si>
    <t>Gies, P; Watzl, R; Javorniczky, J; Roy, C; Henderson, S; Ayton, J; Kingston, M</t>
  </si>
  <si>
    <t>Gies, Peter; Watzl, Roland; Javorniczky, John; Roy, Colin; Henderson, Stuart; Ayton, Jeff; Kingston, Melissa</t>
  </si>
  <si>
    <t>Measurement of the UVR Exposures of Expeditioners on Antarctic Resupply Voyages</t>
  </si>
  <si>
    <t>ULTRAVIOLET-RADIATION; OUTDOOR WORKERS; VITAMIN-D; FIELD</t>
  </si>
  <si>
    <t>A study to assess the potential exposure to solar UV radiation of expeditioners on Australian Antarctic resupply voyages was carried out over the Austral summers of 2004/2005 to 2006/2007. Subjects wore UVR-sensitive polysulphone (PS) badges on the chest for the duration of their working day, which generally ranged from 5 to 10 h, but could be as long as 14 h. Measurements were carried out during unloading of two vessels while they were at the three Australian Antarctic stations. The subjects wore standard Australian Antarctic Division clothing assemblages, although the face and hands and in some cases more of the limbs were uncovered and subjected to exposure to UVR. The badges worn by the subjects received exposures ranging from 0.2 to 18 standard erythemal doses (SEDs), with a median of 3.2 SEDs. However, comparison with occupational exposure limits showed that more than 80% of the subjects' PS badges received UVR exposures in excess of the limits while 31% received more than five times the limits. Despite sun protection being provided more than 70% of the workers reported mild erythema.</t>
  </si>
  <si>
    <t>[Gies, Peter; Javorniczky, John; Roy, Colin; Henderson, Stuart] Australian Radiat Protect &amp; Nucl Safety Agcy, Yallambie, Vic, Australia; [Watzl, Roland; Ayton, Jeff; Kingston, Melissa] Australian Antarctic Div, Kingston, Tas, Australia</t>
  </si>
  <si>
    <t>Gies, P (corresponding author), Australian Radiat Protect &amp; Nucl Safety Agcy, Yallambie, Vic, Australia.</t>
  </si>
  <si>
    <t>Peter.Gies@arpansa.gov.au</t>
  </si>
  <si>
    <t>Ayton, Jeffrey/0000-0003-4012-6719; Henderson, Stuart/0000-0002-9147-5727</t>
  </si>
  <si>
    <t>10.1111/j.1751-1097.2009.00602.x</t>
  </si>
  <si>
    <t>WOS:000271045200026</t>
  </si>
  <si>
    <t>Hengherr, S; Worland, MR; Reuner, A; Brümmer, F; Schill, RO</t>
  </si>
  <si>
    <t>Hengherr, S.; Worland, M. R.; Reuner, A.; Bruemmer, F.; Schill, R. O.</t>
  </si>
  <si>
    <t>High-Temperature Tolerance in Anhydrobiotic Tardigrades Is Limited by Glass Transition</t>
  </si>
  <si>
    <t>PHYSIOLOGICAL AND BIOCHEMICAL ZOOLOGY</t>
  </si>
  <si>
    <t>POLYPEDILUM-VANDERPLANKI; ENCYSTED EMBRYOS; LEA PROTEINS; CRYPTOBIOSIS; SURVIVAL; ARTEMIA; DEHYDRATION; TREHALOSE; VITRIFICATION; EXPRESSION</t>
  </si>
  <si>
    <t>Survival in microhabitats that experience extreme fluctuations in water availability and temperature requires special adaptations. To withstand such environmental conditions, tardigrades, as well as some nematodes and rotifers, enter a completely desiccated state known as anhydrobiosis. We examined the effects of high temperatures on fully desiccated (anhydrobiotic) tardigrades. Nine species from the classes Heterotardigrada and Eutardigrada were exposed to temperatures of up to 110 degrees C for 1 h. Exposure to temperatures of up to 80 degrees C resulted in a moderate decrease in survival. Exposure to temperatures above this resulted in a sharp decrease in survival, with no animals of the families Macrobiotidae and Echiniscidae surviving 100 degrees C. However, Milnesium tardigradum (Milnesidae) showed survival of &gt;90% after exposure to 100 degrees C; temperatures above this resulted in a steep decrease in survival. Vitrification is assumed to play a major role in the survival of anhydrobiotic organisms during exposure to extreme temperatures, and consequently, the glass-transition temperature (T(g)) is critical to high-temperature tolerance. In this study, we provide the first evidence of the presence of a glass transition during heating in an anhydrobiotic tardigrade through the use of differential scanning calorimetry.</t>
  </si>
  <si>
    <t>[Hengherr, S.; Reuner, A.; Bruemmer, F.; Schill, R. O.] Univ Stuttgart, Inst Biol, Dept Zool, D-70569 Stuttgart, Germany; [Worland, M. R.] British Antarctic Survey, NERC, Cambridge CB3 0ET, England</t>
  </si>
  <si>
    <t>University of Stuttgart; UK Research &amp; Innovation (UKRI); Natural Environment Research Council (NERC); NERC British Antarctic Survey</t>
  </si>
  <si>
    <t>Schill, RO (corresponding author), Univ Stuttgart, Inst Biol, Dept Zool, Pfaffenwaldring 57, D-70569 Stuttgart, Germany.</t>
  </si>
  <si>
    <t>ralph.schill@bio.uni-stuttgart.de</t>
  </si>
  <si>
    <t>FUNCRYPTA; German Federal Ministry of Education and Research (BMBF) [0313838A]; NERC [bas0100025] Funding Source: UKRI; Natural Environment Research Council [bas0100025] Funding Source: researchfish</t>
  </si>
  <si>
    <t>FUNCRYPTA; German Federal Ministry of Education and Research (BMBF)(Federal Ministry of Education &amp; Research (BMBF)); NERC(UK Research &amp; Innovation (UKRI)Natural Environment Research Council (NERC)); Natural Environment Research Council(UK Research &amp; Innovation (UKRI)Natural Environment Research Council (NERC))</t>
  </si>
  <si>
    <t>We would like to thank E. Roth for managing the tardigrade cultures. We would also like to thank T. Okuda and the anonymous reviewers for critical discussion and their useful comments. This study is part of the project FUNCRYPTA, which is funded by the German Federal Ministry of Education and Research (BMBF; 0313838A). Differential scanning calorimetry measurements were conducted using the equipment made available by the British Antarctic Survey, Cambridge, United Kingdom.</t>
  </si>
  <si>
    <t>1522-2152</t>
  </si>
  <si>
    <t>PHYSIOL BIOCHEM ZOOL</t>
  </si>
  <si>
    <t>Physiol. Biochem. Zool.</t>
  </si>
  <si>
    <t>10.1086/605954</t>
  </si>
  <si>
    <t>Physiology; Zoology</t>
  </si>
  <si>
    <t>505LU</t>
  </si>
  <si>
    <t>WOS:000270695800013</t>
  </si>
  <si>
    <t>Simmons, BL; Wall, DH; Adams, BJ; Ayres, E; Barrett, JE; Virginia, RA</t>
  </si>
  <si>
    <t>Simmons, Breana L.; Wall, Diana H.; Adams, Byron J.; Ayres, Edward; Barrett, John E.; Virginia, Ross A.</t>
  </si>
  <si>
    <t>Terrestrial mesofauna in above- and below-ground habitats: Taylor Valley, Antarctica</t>
  </si>
  <si>
    <t>Soil biodiversity; Aquatic-terrestrial interface; Climate change; Critical transition zones; Habitat preference; Nematodes; Rotifers; Tardigrades</t>
  </si>
  <si>
    <t>MCMURDO DRY VALLEYS; SOUTHERN VICTORIA-LAND; SOIL BIODIVERSITY; MOSS COMMUNITIES; INVERTEBRATES; DIVERSITY; NEMATODES; WATER; GEOCHEMISTRY; ENVIRONMENT</t>
  </si>
  <si>
    <t>In the McMurdo Dry Valleys region of Antarctica, above-ground production is often limited to mosses and algae that occur near seasonally available liquid water such as ephemeral streams and ice-covered lakes. Compared to surrounding dry soils these critical transition zones are highly productive and harbor a more diverse assemblage of soil animals, including rotifers, tardigrades, nematodes and microarthropods. Current cooling trends punctuated by warming events, and predicted future climate warming are expected to affect the hydrology of this region and thereby biodiversity and ecosystem functioning. Above-ground communities are exposed to more variable temperature, relative humidity and greater UV radiation, and may be more vulnerable to climate change than sediments beneath, which are buffered from short-term changes. In this study, we compared above- and below-ground communities associated with either moss or cyanobacterial mats along glacial-fed streams and lakes differing in biological complexity (diversity, productivity and habitat suitability). All groups of soil fauna were more abundant in the above-ground material compared to the sediment beneath. Common indicators of habitat suitability (chlorophyll a, soil pH, soil salinity, and soil nitrogen) did not differ between vegetation types but were significantly different among sites. Variables most correlated with invertebrate abundances were sediment salinity, chlorophyll a content and nitrogen concentration. The McMurdo Dry Valleys are expected to become warmer and wetter as a result of climate change. This will likely increase the area of suitable habitat for most soil animals as areas of liquid water potentially increase and become available for longer periods of time.</t>
  </si>
  <si>
    <t>[Simmons, Breana L.; Wall, Diana H.; Ayres, Edward] Colorado State Univ, Nat Resource Ecol Lab, Ft Collins, CO 80523 USA; [Wall, Diana H.] Colorado State Univ, Dept Biol, Ft Collins, CO 80523 USA; [Adams, Byron J.] Brigham Young Univ, Dept Biol, Provo, UT 84602 USA; [Adams, Byron J.] Brigham Young Univ, Evolutionary Ecol Labs, Provo, UT 84602 USA; [Barrett, John E.] Virginia Polytech Inst &amp; State Univ, Dept Biol Sci, Blacksburg, VA 24061 USA; [Virginia, Ross A.] Dartmouth Coll, Environm Studies Program, Hanover, NH 03755 USA</t>
  </si>
  <si>
    <t>Colorado State University; Colorado State University; Brigham Young University; Brigham Young University; Virginia Polytechnic Institute &amp; State University; Dartmouth College</t>
  </si>
  <si>
    <t>Simmons, BL (corresponding author), Colorado State Univ, Nat Resource Ecol Lab, Ft Collins, CO 80523 USA.</t>
  </si>
  <si>
    <t>breana@nrel.colostate.edu</t>
  </si>
  <si>
    <t>Wall, Diana H/F-5491-2011; Barrett, John/D-5851-2016; Ayres, Edward/A-4172-2008; Adams, Byron/C-3808-2009</t>
  </si>
  <si>
    <t>Barrett, John/0000-0002-7610-0505; Ayres, Edward/0000-0001-5190-258X; Adams, Byron/0000-0002-7815-3352</t>
  </si>
  <si>
    <t>National Science Foundation [OPP 9810219, OPP 0096250]; Division Of Graduate Education; Direct For Education and Human Resources [0801490] Funding Source: National Science Foundation</t>
  </si>
  <si>
    <t>National Science Foundation(National Science Foundation (NSF)); Division Of Graduate Education; Direct For Education and Human Resources(National Science Foundation (NSF)NSF - Directorate for STEM Education (EDU))</t>
  </si>
  <si>
    <t>The authors wish to thank Abigail Adams for Weld and lab assistance. Soil and vegetation analysis were run by Galina Ackerman and Kathy Welch in the Crary Analytical Lab at McMurdo Station. Figure 1 provided by D. M. McKnight. Vegetation and soils are permanently stored at the Colorado State University Antarctic Soil Archive. Preserved animals are part of the Colorado State University, Natural History Museum's Soil Micro-invertebrate Collection. This study was supported by National Science Foundation grants OPP 9810219 and OPP 0096250 as part of the McMurdo Dry Valley LTER.</t>
  </si>
  <si>
    <t>10.1007/s00300-009-0639-9</t>
  </si>
  <si>
    <t>510KU</t>
  </si>
  <si>
    <t>WOS:000271088200001</t>
  </si>
  <si>
    <t>Chong, CW; Dunn, MJ; Convey, P; Tan, GYA; Wong, RCS; Tan, IKP</t>
  </si>
  <si>
    <t>Chong, Chun Wie; Dunn, Michael J.; Convey, Peter; Tan, G. Y. Annie; Wong, Richard C. S.; Tan, Irene K. P.</t>
  </si>
  <si>
    <t>Environmental influences on bacterial diversity of soils on Signy Island, maritime Antarctic</t>
  </si>
  <si>
    <t>Bacteria; DGGE; Soil chemical properties; South Orkney Islands; Terrestrial</t>
  </si>
  <si>
    <t>HEAVY-METAL CONTAMINATION; MICROBIAL COMMUNITY; VICTORIA LAND; ARTHROPOD COMMUNITIES; FALKLAND ISLANDS; SEDIMENTS; IMPACTS; STATION; LAKE; BIODIVERSITY</t>
  </si>
  <si>
    <t>Soil bacterial diversity at environmentally distinct locations on Signy Island, South Orkney Islands was examined using the denaturing gradient gel profiling approach. A range of chemical variables in soils at each site was determined in order to describe variation between locations. No apparent differences in Shannon Diversity Index (H') were observed. However, as revealed in an analysis of similarity (ANOSIM), the dominant bacterial communities of all eight studied locations were significantly different. Within this, higher levels of similarity were observed between penguin rookeries, seal wallows and vegetated soils, all of which share varying levels of impact from vertebrate activity, in contrast with more barren soil. In addition, the lowest H' value was detected from the latter soil which also has the most extreme environmental conditions, and its bacterial community has the greatest genetic distance from the other locations. DGGE analyses indicated that the majority of the excised and sequenced bands were attributable to the Bacteroidetes. Across a range of ten environmental variables, multivariate correlation analysis suggested that a combination of pH, conductivity, copper and lead content potentially contributed explanatory value to the measured soil bacterial diversity.</t>
  </si>
  <si>
    <t>[Chong, Chun Wie; Tan, G. Y. Annie; Tan, Irene K. P.] Univ Malaya, Fac Sci, Inst Biol Sci, Kuala Lumpur 50603, Malaysia; [Dunn, Michael J.; Convey, Peter] British Antarctic Survey, NERC, Cambridge CB3 OET, England; [Wong, Richard C. S.] Univ Malaya, Fac Sci, Dept Chem, Kuala Lumpur 50603, Malaysia</t>
  </si>
  <si>
    <t>Universiti Malaya; UK Research &amp; Innovation (UKRI); Natural Environment Research Council (NERC); NERC British Antarctic Survey; Universiti Malaya</t>
  </si>
  <si>
    <t>Chong, CW (corresponding author), Univ Malaya, Fac Sci, Inst Biol Sci, Kuala Lumpur 50603, Malaysia.</t>
  </si>
  <si>
    <t>cchhoonngg81@yahoo.com</t>
  </si>
  <si>
    <t>Tan, Geok Yuan Annie/B-7996-2009; Tan, Irene Kit Ping/B-8661-2010; Chong, Chun Wie/ABG-7676-2020; Convey, Peter/AAV-5728-2020; WONG, RICHARD/C-1045-2010</t>
  </si>
  <si>
    <t>Tan, Irene Kit Ping/0000-0001-9601-5810; Chong, Chun Wie/0000-0002-6881-8883; Convey, Peter/0000-0001-8497-9903; WONG, RICHARD/0000-0003-0497-7049; Dunn, Michael/0000-0003-4633-5466</t>
  </si>
  <si>
    <t>Malaysian Antarctic Research Programme (MARP); NERC [bas0100025, bas010015] Funding Source: UKRI; Natural Environment Research Council [bas010015, bas0100025] Funding Source: researchfish</t>
  </si>
  <si>
    <t>Malaysian Antarctic Research Programme (MARP); NERC(UK Research &amp; Innovation (UKRI)Natural Environment Research Council (NERC)); Natural Environment Research Council(UK Research &amp; Innovation (UKRI)Natural Environment Research Council (NERC))</t>
  </si>
  <si>
    <t>This project was funded by the Malaysian Antarctic Research Programme (MARP), and the British Antarctic Survey (BAS) provided logistic support and Weld training. It also forms a contribution to the BAS BIOFLAME and SCAR EBA research programmes. We thank Roger Worland and David Routledge for assistance in sample collection.</t>
  </si>
  <si>
    <t>10.1007/s00300-009-0656-8</t>
  </si>
  <si>
    <t>WOS:000271088200003</t>
  </si>
  <si>
    <t>Pasternak, A; Hagen, W; Kattner, G; Michels, J; Graeve, M; Schnack-Schiel, SB</t>
  </si>
  <si>
    <t>Pasternak, Anna; Hagen, Wilhelm; Kattner, Gerhard; Michels, Jan; Graeve, Martin; Schnack-Schiel, Sigrid B.</t>
  </si>
  <si>
    <t>Lipid dynamics and feeding of dominant Antarctic calanoid copepods in the eastern Weddell Sea in December</t>
  </si>
  <si>
    <t>Calanoid copepods; Weddell Sea; Lipid classes; Fatty acids; Gut content; Faecal pellets</t>
  </si>
  <si>
    <t>LIFE-CYCLE STRATEGIES; TROPHIC MARKERS; WAX ESTERS; METRIDIA-GERLACHEI; SOUTHERN-OCEAN; ACUTUS; PROPINQUUS; ZOOPLANKTON; REPRODUCTION; TRIACYLGLYCEROLS</t>
  </si>
  <si>
    <t>Lipid content, fatty acid composition, and feeding activity of the dominant Antarctic copepods, Calanoides acutus, Calanus propinquus, and Metridia gerlachei, were studied at a quasi-permanent station in the eastern Weddell Sea in December 2003. During 3 weeks of the spring phytoplankton development, total lipid levels of females and copepodite stages V (CVs) of C. acutus were almost doubled. Meanwhile, only a slight increase in total lipid content occurred in M. gerlachei, and no clear trend was observed in lipids of C. propinquus females. The pronounced increase of lipids in C. acutus was due to an accumulation of wax esters. The proportion of wax esters in the lipids of M. gerlachei was clearly lower, while triacylglycerols played a more important role. In C. propinquus, triacylglycerols were the only neutral lipid class. There were no pronounced changes in the feeding activity of M. gerlachei, whereas the feeding activity of C. acutus had rapidly increased with the development of the phytoplankton bloom in December, which explains its rapid lipid accumulation. The combination of gut content and fatty acid trophic marker analyses showed that C. acutus was feeding predominantly on diatoms. The typical diatom fatty acid marker, 16:1(n-7), slightly decreased and the tracer for flagellates, 18:4(n-3), increased in females and CVs of C. acutus. This shift indicates the time, when the significance of flagellates started to increase. The three copepod species exhibited different patterns of lipid accumulation in relation to their trophic niches and different duration of their active phases. The investigations filled a crucial data gap in the seasonal lipid dynamics of dominant calanoid copepods in the Weddell Sea in December and support earlier hypotheses on their energetic adaptations and life cycle strategies.</t>
  </si>
  <si>
    <t>[Pasternak, Anna] Russian Acad Sci, Shirshov Inst Oceanol, Moscow 117997, Russia; [Hagen, Wilhelm] Univ Bremen, Dept Marine Zool, D-28334 Bremen, Germany; [Kattner, Gerhard; Michels, Jan; Graeve, Martin; Schnack-Schiel, Sigrid B.] Alfred Wegener Inst Polar &amp; Marine Res, D-27570 Bremerhaven, Germany</t>
  </si>
  <si>
    <t>Russian Academy of Sciences; Shirshov Institute of Oceanology; University of Bremen; Helmholtz Association; Alfred Wegener Institute, Helmholtz Centre for Polar &amp; Marine Research</t>
  </si>
  <si>
    <t>Pasternak, A (corresponding author), Russian Acad Sci, Shirshov Inst Oceanol, Moscow 117997, Russia.</t>
  </si>
  <si>
    <t>avamik@online.ru</t>
  </si>
  <si>
    <t>Michels, Jan/B-1023-2014; Graeve, Martin/B-5751-2017; Pasternak, Anna/E-6121-2014</t>
  </si>
  <si>
    <t>Graeve, Martin/0000-0002-2294-1915; Pasternak, Anna/0000-0003-0317-5861; Hagen, Wilhelm/0000-0002-7462-9931</t>
  </si>
  <si>
    <t>Hanse-Wissenschaftskolleg; RFBR [07-04-00029]</t>
  </si>
  <si>
    <t>Hanse-Wissenschaftskolleg; RFBR(Russian Foundation for Basic Research (RFBR))</t>
  </si>
  <si>
    <t>The study was supported by the Hanse-Wissenschaftskolleg Fellowship and RFBR grant # 07-04-00029 to AP. Sampling and part of the study was carried out during AP's stay at the Alfred-Wegener-Institut fur Polar- und Meeresforschung, Bremerhaven, as a guest scientist. The authors are most grateful to Petra Wencke, University of Bremen, for her competent assistance with the lipid analyses. We would like to thank the three reviewers for their constructive suggestions.</t>
  </si>
  <si>
    <t>10.1007/s00300-009-0658-6</t>
  </si>
  <si>
    <t>WOS:000271088200005</t>
  </si>
  <si>
    <t>Lee, YI; Lim, HS; Yoon, HI</t>
  </si>
  <si>
    <t>Lee, Yong Il; Lim, Hyoun Soo; Yoon, Ho Il</t>
  </si>
  <si>
    <t>Carbon and nitrogen isotope composition of vegetation on King George Island, maritime Antarctic</t>
  </si>
  <si>
    <t>Stable isotopes; C-13; N-15; Nitrogen sources; Vegetation; Maritime Antarctic</t>
  </si>
  <si>
    <t>TERRESTRIAL; RATIOS; PLANTS; SOILS; FRACTIONATION; ASSIMILATION; COMMUNITIES; MYCORRHIZAL; ECOSYSTEMS; ROOKERIES</t>
  </si>
  <si>
    <t>We report abundance of C-13 and N-15 contents in terrestrial plants (mosses, lichens, liverworts, algae and grasses) from the area of Barton Peninsula (King George Island, maritime Antarctic). The investigated plants show a wide range of delta C-13 and delta N-15 values between -29.0 and -20.0aEuro degrees and between -15.3 and 22.8aEuro degrees, respectively. The King George Island terrestrial plants show species specificity of both carbon and nitrogen isotope compositions, probably due to differences in plant physiology and biochemistry, related to their sources and in part to water availability. Carbon isotope compositions of Antarctic terrestrial plants are typical of the C-3 photosynthetic pathway. Lichens are characterized by the widest carbon isotope range, from -29.0 to -20.0aEuro degrees. However, the average delta C-13 value of lichens is the highest (-23.6 +/- A 2.8aEuro degrees) among King George Island plants, followed by grasses (-25.6 +/- A 1.7aEuro degrees), mosses (-25.9 +/- A 1.6aEuro degrees), liverworts (-26.3 +/- A 0.5aEuro degrees) and algae (-26.3 +/- A 1.2aEuro degrees), partly related to habitats controlled by water availability. The delta N-15 values of moss samples range widest (-9.0 to 22.8aEuro degrees, with an average of 4.6 +/- A 6.6aEuro degrees). Lichens are on the average most depleted in N-15 (mean = -7.4 +/- A 6.4aEuro degrees), whereas algae are most enriched in N-15 (10.0 +/- A 3.3aEuro degrees). The broad range of nitrogen isotope compositions suggest that the N source for these Antarctic terrestrial plants is spatially much variable, with the local presence of seabird colonies being particularly significant.</t>
  </si>
  <si>
    <t>[Lee, Yong Il] Seoul Natl Univ, Sch Earth &amp; Environm Sci, Seoul 151747, South Korea; [Lim, Hyoun Soo; Yoon, Ho Il] KORDI, Korea Polar Res Inst, Inchon 406840, South Korea</t>
  </si>
  <si>
    <t>Seoul National University (SNU); Korea Polar Research Institute (KOPRI); Korea Institute of Ocean Science &amp; Technology (KIOST)</t>
  </si>
  <si>
    <t>Lee, YI (corresponding author), Seoul Natl Univ, Sch Earth &amp; Environm Sci, Seoul 151747, South Korea.</t>
  </si>
  <si>
    <t>lee2602@plaza.snu.ac.kr</t>
  </si>
  <si>
    <t>Lim, Hyoun Soo/AAC-5499-2022</t>
  </si>
  <si>
    <t>Lim, Hyoun Soo/0000-0002-2489-4470</t>
  </si>
  <si>
    <t>Korea Polar Research Institute [PE09010]; Ministry of Environment [PN09020]</t>
  </si>
  <si>
    <t>Korea Polar Research Institute(Korea Polar Research Institute of Marine Research Placement (KOPRI)); Ministry of Environment(Ministry of Environment (ME), Republic of Korea)</t>
  </si>
  <si>
    <t>This study was supported by Korea Polar Research Institute (PE09010) and by Ministry of Environment (the Ecotechnopia 21 project: PN09020). We are grateful to Dr. J. H. Kim for her help in identification of Barton Peninsula plants. This manuscript has much benefited from helpful comments by an anonymous reviewer, Dr. Leopoldo Sancho and Editor-in-Chief Prof. Dieter Piepenburg.</t>
  </si>
  <si>
    <t>10.1007/s00300-009-0659-5</t>
  </si>
  <si>
    <t>WOS:000271088200006</t>
  </si>
  <si>
    <t>Kudoh, S; Tanabe, Y; Matsuzaki, M; Imura, S</t>
  </si>
  <si>
    <t>Kudoh, Sakae; Tanabe, Yukiko; Matsuzaki, Masahiro; Imura, Satoshi</t>
  </si>
  <si>
    <t>In situ photochemical activity of the phytobenthic communities in two Antarctic lakes</t>
  </si>
  <si>
    <t>Antarctica; Photosynthesis; Ecophysiology; Diving observation; Phytobenthos</t>
  </si>
  <si>
    <t>MICROBIAL MATS; PHYTOPLANKTON; CYANOBACTERIA; STRATEGIES; RADIATION</t>
  </si>
  <si>
    <t>Photochemical activity of phytobenthic communities in two freshwater lakes in East Antarctica was estimated using a submersible pulse-amplitude modulation (PAM) chlorophyll fluorometer, to answer the following questions: (1) Are the communities under bright summer photosynthetically active radiation (PAR) photosynthetically active? (2) If active, which community shows the most active signals? (3) Where is the most productive part (or depth) in the lake? Our limnological measurements indicated the two lakes were ultra-oligotrophic. Diving observations revealed that the phytobenthos of the lakes was moss-dominated which had different life-forms (moss shoots in shallow depths of both lakes, moss-pillars in the shallow lake, pinnacle moss-microbial complex community in the deeper lake). In addition, various mat-forming microbial communities inhabited the lake beds. In situ measurements of photochemical parameters indicated that shoots of mosses living just below the littoral slope, and the apical part of the moss pillars, had the highest photosynthetic activity in open water summer conditions, but mat-forming microbial communities and the other moss-microbial complex communities, showed rather lower activity. Most of the mat-forming phytobenthos surface also showed positive photosynthetic activity, but there were some cases of negligible signals in the shallow depth. This suggests that the photosynthetic activities of mat-forming communities in the shallow water were suppressed by strong ambient light in summer.</t>
  </si>
  <si>
    <t>[Kudoh, Sakae; Imura, Satoshi] Natl Inst Polar Res, Tokyo 1908518, Japan; [Kudoh, Sakae; Tanabe, Yukiko; Imura, Satoshi] Grad Univ Adv Studies, Dept Polar Sci, Tokyo 1908518, Japan; [Matsuzaki, Masahiro] Hiroshima Univ, Grad Sch Sci, Higashihiroshima 7398526, Japan</t>
  </si>
  <si>
    <t>Research Organization of Information &amp; Systems (ROIS); National Institute of Polar Research (NIPR) - Japan; Graduate University for Advanced Studies - Japan; Hiroshima University</t>
  </si>
  <si>
    <t>Kudoh, S (corresponding author), Natl Inst Polar Res, Midori Cho 10-3, Tokyo 1908518, Japan.</t>
  </si>
  <si>
    <t>skudoh@nipr.ac.jp</t>
  </si>
  <si>
    <t>10.1007/s00300-009-0660-z</t>
  </si>
  <si>
    <t>WOS:000271088200007</t>
  </si>
  <si>
    <t>Grant, RA; Linse, K</t>
  </si>
  <si>
    <t>Grant, Rachel Anne; Linse, Katrin</t>
  </si>
  <si>
    <t>Barcoding Antarctic Biodiversity: current status and the CAML initiative, a case study of marine invertebrates</t>
  </si>
  <si>
    <t>Antarctic; Barcoding; Molecular phylogenetics; Marine biodiversity; Invertebrates</t>
  </si>
  <si>
    <t>SOUTHERN-OCEAN; EVOLUTIONARY RELATIONSHIPS; CRYPTIC SPECIATION; MOLECULAR SYSTEMATICS; MITOCHONDRIAL-DNA; POLAR FRONT; SCOTIA SEA; PHYLOGENY; CRUSTACEA; ISOPODA</t>
  </si>
  <si>
    <t>The Census of Antarctic Marine Life (CAML) aims to collate DNA barcode data for Antarctic marine species. DNA barcoding is a technique that uses a short gene sequence from a standardised region of the genome as a diagnostic 'biomarker' for species. This study aimed to quantify genetic data currently available in GenBank in order to establish whether a representative cross-section of Antarctic marine taxa and bio-geographic areas has been sequenced and to propose priorities for barcoding, with a particular emphasis on marine invertebrate species. It was found that, amongst marine invertebrate fauna, sequence information covers a limited range of taxa and areas-mainly Crustacea, Annelida and Mollusca from the Weddell Sea and the Antarctic Peninsula. Only 15% of genes sequenced in Antarctic marine invertebrates were the standard barcode gene cytochrome c oxidase subunit 1 (CO1), the majority were other nuclear and mitochondrial genes. There is an urgent need for more in-depth genetic barcoding and species identification studies in Antarctic science, from a range of taxa and areas, given the rate of climate-driven habitat changes that might lead to extinctions in the region. CAML hopes to redress the balance, by collecting and sequencing over the circum-Antarctic area, using material from voyages that occurred during 2008 and 2009, within the framework of the International Polar Year (IPY).</t>
  </si>
  <si>
    <t>[Grant, Rachel Anne; Linse, Katrin] NERC, British Antarctic Survey, Cambridge CB3 0ET, England; [Grant, Rachel Anne] Univ Cambridge, Scott Polar Res Inst, Cambridge CB2 1ER, England</t>
  </si>
  <si>
    <t>UK Research &amp; Innovation (UKRI); Natural Environment Research Council (NERC); NERC British Antarctic Survey; University of Cambridge</t>
  </si>
  <si>
    <t>Grant, RA (corresponding author), NERC, British Antarctic Survey, Madingley Rd, Cambridge CB3 0ET, England.</t>
  </si>
  <si>
    <t>rachelannegrant@gmail.com</t>
  </si>
  <si>
    <t>赵, 鹏/B-8401-2009</t>
  </si>
  <si>
    <t>Alfred P. Sloan Foundation under CAML; NERC [bas010015] Funding Source: UKRI; Natural Environment Research Council [bas010015] Funding Source: researchfish</t>
  </si>
  <si>
    <t>Alfred P. Sloan Foundation under CAML(Alfred P. Sloan Foundation); NERC(UK Research &amp; Innovation (UKRI)Natural Environment Research Council (NERC)); Natural Environment Research Council(UK Research &amp; Innovation (UKRI)Natural Environment Research Council (NERC))</t>
  </si>
  <si>
    <t>This manuscript is contribution number 16 to the Census of Antarctic Marine Life (CAML) Project. The work was funded by the Alfred P. Sloan Foundation under CAML. Thanks to Victoria Wadley and Jan Strugnell for helpful comments on the manuscript and to Huw Griffths for producing the Antarctic map. Thanks to three anonymous reviewers.</t>
  </si>
  <si>
    <t>10.1007/s00300-009-0662-x</t>
  </si>
  <si>
    <t>WOS:000271088200008</t>
  </si>
  <si>
    <t>Oliveira, EC; Absher, TM; Pellizzari, FM; Oliveira, MC</t>
  </si>
  <si>
    <t>Oliveira, Eurico C.; Absher, Theresinha M.; Pellizzari, Franciane M.; Oliveira, Mariana C.</t>
  </si>
  <si>
    <t>The seaweed flora of Admiralty Bay, King George Island, Antarctic</t>
  </si>
  <si>
    <t>Antarctic marine algae; Seaweed biodiversity; Palmaria decipiens; Seaweed distribution; Protomonostroma undulatum</t>
  </si>
  <si>
    <t>PHAEOPHYCEAE</t>
  </si>
  <si>
    <t>Admiralty Bay is located on the western side of King George Island. Although several research teams of different nationalities have carried out surveys in the region for decades, there are only two publications dealing with the seaweed flora of the bay. Here, we report on a taxonomic survey of the seaweeds we collected during the 25th Brazilian Antarctic Expedition (December 2006/November 2007). We discovered 42 species (21 Rhodophyta, 14 Phaeophyceae, and 7 Chlorophyta), corresponding to an increase of about 31% in the seaweed biodiversity hitherto known for the region. Considering that the Antarctic Peninsula, adjacent to King George Island seems to be one of the most rapidly warming spots on the planet, this kind of survey may provide a valuable tool for detecting eventual changes in seaweed biodiversity.</t>
  </si>
  <si>
    <t>[Oliveira, Eurico C.; Oliveira, Mariana C.] Univ Sao Paulo, Inst Biociencias, BR-05508900 Sao Paulo, Brazil; [Absher, Theresinha M.] Univ Fed Parana, Ctr Estudos Mar, BR-83255000 Pontal Do Sul, Brazil; [Pellizzari, Franciane M.] Univ Estadual Parana, BR-83203970 Paranagua, PR, Brazil</t>
  </si>
  <si>
    <t>Universidade de Sao Paulo; Universidade Federal do Parana</t>
  </si>
  <si>
    <t>Oliveira, EC (corresponding author), Univ Sao Paulo, Inst Biociencias, Rua Matao,227 Cidade Univ, BR-05508900 Sao Paulo, Brazil.</t>
  </si>
  <si>
    <t>euricodo@usp.br</t>
  </si>
  <si>
    <t>Oliveira, Mariana Cabral/G-2512-2012; Pellizzari, Franciane M./JLL-6907-2023</t>
  </si>
  <si>
    <t>Oliveira, Mariana Cabral/0000-0001-8495-2962; Pellizzari, Franciane/0000-0003-1877-2570</t>
  </si>
  <si>
    <t>CNPQ/PROANTAR (Conselho Nacional de Pesquisa e Desenvolvimento Tecnologico/Programa Antartico Brasileiro)</t>
  </si>
  <si>
    <t>CNPQ/PROANTAR (Conselho Nacional de Pesquisa e Desenvolvimento Tecnologico/Programa Antartico Brasileiro)(Conselho Nacional de Desenvolvimento Cientifico e Tecnologico (CNPQ))</t>
  </si>
  <si>
    <t>This work was supported by a Grant from CNPQ/PROANTAR (Conselho Nacional de Pesquisa e Desenvolvimento Tecnologico/Programa Antartico Brasileiro). Logistical support was provided by SECIRM (Secretaria da Comissao Interministerial para os Recursos do Mar-Marinha do Brasil). E. C. Oliveira wishes to thank Maria Eliana Ramirez (Museo Nacional de Historia Natural, Santiago, Chile) for fruitful discussions and Arkadiusz Nedzarek from the Polish Academy of Sciences for help with Polish literature.</t>
  </si>
  <si>
    <t>10.1007/s00300-009-0663-9</t>
  </si>
  <si>
    <t>WOS:000271088200009</t>
  </si>
  <si>
    <t>Naganuma, T; Wilmotte, A</t>
  </si>
  <si>
    <t>Naganuma, Takeshi; Wilmotte, Annick</t>
  </si>
  <si>
    <t>Microbiological and ecological responses to global environmental changes in polar regions (MERGE): An IPY core coordinating project</t>
  </si>
  <si>
    <t>POLAR SCIENCE</t>
  </si>
  <si>
    <t>IPY; Polar regions; Biodiversity; Biogeography; Evolution</t>
  </si>
  <si>
    <t>ANTARCTIC LAKE SAMPLES; MCMURDO DRY VALLEYS; LARGE ARCTIC RIVER; 16S RIBOSOMAL-RNA; MICROBIAL MATS; ICE-CORE; LIVINGSTON ISLAND; PROKARYOTIC DIVERSITY; PERENNIAL SPRINGS; BYERS PENINSULA</t>
  </si>
  <si>
    <t>An integrated program, Microbiological and ecological responses to global environmental changes in polar regions (MERGE), was proposed in the International Polar Year (IPY) 2007-2008 and endorsed by the IPY committee as a coordinating proposal. MERGE hosts original proposals to the IPY and facilitates their funding. MERGE selected three key questions to produce scientific achievements. Prokaryotic and eukaryotic organisms in terrestrial, lacustrine, and supraglacial habitats were targeted according to diversity and biogeography; food webs and ecosystem evolution; and linkages between biological, chemical, and physical processes in the supraglacial biome. MERGE hosted 13 original and seven additional proposals, with two full proposals. It respected the priorities and achievements of the individual proposals and aimed to unify their significant results. Ideas and projects followed a bottom-up rather than a top-down approach. We intend to inform the MERGE community of the initial results and encourage ongoing collaboration. Scientists from non-polar regions have also participated and are encouraged to remain involved in MERGE. MERGE is formed by scientists from Argentina, Australia, Austria, Belgium, Brazil, Bulgaria, Canada, Egypt, Finland, France, Germany, Italy, Japan, Korea, Malaysia, New Zealand, Philippines, Poland, Russia, Spain, UK, Uruguay, USA, and Vietnam, and associates from Chile, Denmark, Netherlands, and Norway. (C) 2009 Elsevier B.V. and NIPR. All rights reserved.</t>
  </si>
  <si>
    <t>[Naganuma, Takeshi] Hiroshima Univ, Sch Biosphere Sci, Higashihiroshima 7398528, Japan; [Wilmotte, Annick] Univ Liege, Inst Chem, B-4000 Liege, Belgium</t>
  </si>
  <si>
    <t>Hiroshima University; University of Liege</t>
  </si>
  <si>
    <t>Naganuma, T (corresponding author), Hiroshima Univ, Sch Biosphere Sci, 1-4-4 Kagamiyama, Higashihiroshima 7398528, Japan.</t>
  </si>
  <si>
    <t>takn@hiroshima-u.ac.jp</t>
  </si>
  <si>
    <t>Wilmotte, Annick/H-1686-2011; Naganuma, Takeshi/AAX-7064-2021</t>
  </si>
  <si>
    <t>Naganuma, Takeshi/0000-0003-1925-9461; Wilmotte, Annick/0000-0003-3546-3489</t>
  </si>
  <si>
    <t>Japan Society for the Promotion of Science [18255005]; Grants-in-Aid for Scientific Research [18255005]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</si>
  <si>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</si>
  <si>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Each individual project under the MERGE umbrella has been supported by individual financial supporter(s). MERGE Japan was supported by a Grant-in-Aid for Scientific Research (no. 18255005 to TN) from the Japan Society for the Promotion of Science.</t>
  </si>
  <si>
    <t>1873-9652</t>
  </si>
  <si>
    <t>1876-4428</t>
  </si>
  <si>
    <t>POLAR SCI</t>
  </si>
  <si>
    <t>Polar Sci.</t>
  </si>
  <si>
    <t>10.1016/j.polar.2009.05.001</t>
  </si>
  <si>
    <t>Ecology; Geosciences, Multidisciplinary</t>
  </si>
  <si>
    <t>V33OR</t>
  </si>
  <si>
    <t>WOS:000209028600001</t>
  </si>
  <si>
    <t>Quesada, A; Camacho, A; Rochera, C; Velázquez, D</t>
  </si>
  <si>
    <t>Quesada, A.; Camacho, A.; Rochera, C.; Velazquez, D.</t>
  </si>
  <si>
    <t>Byers Peninsula: A reference site for coastal, terrestrial and limnetic ecosystem studies in maritime Antarctica</t>
  </si>
  <si>
    <t>Lakes; Limnology; Limnopolar; Byers peninsula; Terrestrial ecosystems</t>
  </si>
  <si>
    <t>FRESH-WATER ECOSYSTEMS; SOUTH SHETLAND ISLANDS; LIVINGSTON-ISLAND; MICROBIAL MATS; ECOLOGY; LAKES</t>
  </si>
  <si>
    <t>This article describes the development of an international and multidisciplinary project funded by the Spanish Polar Programme on Byers Peninsula (Livingston Island, South Shetlands). The project adopted Byers Peninsula as an international reference site for coastal and terrestrial (including inland waters) research within the framework of the International Polar Year initiative. Over 30 scientists from 12 countries and 26 institutions participated in the field work, and many others participated in the processing of the samples. The main themes investigated were: Holocene changes in climate, using both lacustrine sediment cores and palaeo-nests of penguins; limnology of the lakes, ponds, rivers and wetlands; microbiology of microbial mats, ecology of microbial food webs and viral effects on aquatic ecosystems; ornithology, with investigations on a Gentoo penguin rookery (Pygoscelis papua) as well as the flying ornithofauna; biocomplexity and life cycles of species from different taxonomic groups; analysis of a complete watershed unit from a landscape perspective; and human impacts, specifically the effect of trampling on soil characteristics and biota. Byers Peninsula offers many features as an international reference site given it is one of the largest ice-free areas in the Antarctic Peninsula region, it has a variety of different landscape units, and it hosts diverse aquatic ecosystems. Moreover, the Byers Peninsula is a hotspot for Antarctic biodiversity, and because of its high level of environmental protection, it has been very little affected by human activities. Finally, the proximity to the Spanish polar installations on Livingston Island and the experience derived from previous expeditions to the site make it logistically feasible as a site for ongoing monitoring and research. (C) 2009 Elsevier B.V. and NIPR. All rights reserved.</t>
  </si>
  <si>
    <t>[Quesada, A.; Velazquez, D.] Univ Autonoma Madrid, Dept Biol, E-28049 Madrid, Spain; [Camacho, A.; Rochera, C.] Univ Valencia, Dept Microbiol &amp; Ecol, E-46100 Burjassot, Spain; [Camacho, A.; Rochera, C.] Univ Valencia, Inst Cavanilles Biodiversidad &amp; Biol Evolutiva, E-46100 Burjassot, Spain</t>
  </si>
  <si>
    <t>Autonomous University of Madrid; University of Valencia; University of Valencia</t>
  </si>
  <si>
    <t>Quesada, A (corresponding author), Univ Autonoma Madrid, Dept Biol, E-28049 Madrid, Spain.</t>
  </si>
  <si>
    <t>antonio.quesada@uam.es; antonio.camacho@uv.es; carlos.rochera@uv.es; david.velazquez@uam.es</t>
  </si>
  <si>
    <t>Rochera, Carlos/M-2932-2014; Camacho, Antonio/I-3417-2015; Quesada, Antonio/L-2430-2013; Velazquez, David/M-2309-2017</t>
  </si>
  <si>
    <t>Rochera, Carlos/0000-0002-8294-4755; Camacho, Antonio/0000-0003-0841-2010; Quesada, Antonio/0000-0002-8913-5993; Velazquez, David/0000-0002-4127-8370</t>
  </si>
  <si>
    <t>Ministerio of Educacion y Ciencia (Spain) [POL2006-06635]; [CGL2005-06549-C02-01/ANT]; [CGL2005-06549-C02-02/ANT]; [CGL2007-29860-E/ANT]; [CGL2007-29841-E]</t>
  </si>
  <si>
    <t>Ministerio of Educacion y Ciencia (Spain)(Spanish Government); ; ; ;</t>
  </si>
  <si>
    <t>We are grateful to Ministerio of Educacion y Ciencia (Spain) that funded this project in the special call for the International Polar Year, with the reference number: POL2006-06635. Scientific work within the context of this campaign has been supported by the projects CGL2005-06549-C02-01/ANT to Antonio Quesada and CGL2005-06549-C02-02/ANT to Antonio Camacho, who also obtained support for travel costs from the projects CGL2007-29860-E/ANT and CGL2007-29841-E (Antonio Camacho), respectively. We are also very grateful to all scientists and field assistants participating in the project who with their enthusiasm made possible this ambitious project. Finally, we are also grateful to the Associated Editor of this issue and two anonymous reviewers for the very useful comments.</t>
  </si>
  <si>
    <t>10.1016/j.polar.2009.05.003</t>
  </si>
  <si>
    <t>WOS:000209028600005</t>
  </si>
  <si>
    <t>Rokicki, J</t>
  </si>
  <si>
    <t>Rokicki, Jerzy</t>
  </si>
  <si>
    <t>Effects of climatic changes on anisakid nematodes in polar regions</t>
  </si>
  <si>
    <t>Anisakid nematodes; Climate change; Arctic; Antarctic</t>
  </si>
  <si>
    <t>COD GADUS-MORHUA; LIFE-CYCLE; PARASITES; INFECTION; HELMINTH; RUDOLPHI; LARVAE; EGGS; FISH</t>
  </si>
  <si>
    <t>Anisakid nematodes are common in Antarctic, sub-Antarctic, and Arctic areas. Current distributional knowledge of anisakids in the polar regions is reviewed. Climatic variables influence the occurrence and abundance of anisakids, directly influencing their free-living larval stages and also indirectly influencing their predominantly invertebrate (but also vertebrate) hosts. As these parasites can also be pathogenic for humans, the paucity of information available is a source of additional hazard. As fish are a major human dietary component in Arctic and Antarctic areas, and are often eaten without heat processing, a high risk of infection by anisakid larvae might be expected. The present level of knowledge, particularly relating to anisakid larval stages present in fishes, is far from satisfactory. Preliminary molecular studies have revealed the presence of species complexes. Contemporary climate warming is modifying the marine environment and may result in an extension of time during which anisakid eggs can persist and hatch, and of the time period during which newly hatched larvae remain viable. As a result there may be an increase in the extent of anisakid distribution. Continued warming will modify the composition of the parasitic nematode fauna of marine animals, due to changes in feeding habits, as the warming of the sea and any localised reduction in salinity (from freshwater runoff) can be expected to bring about changes in the species composition of pelagic and benthic invertebrates. (C) 2009 Elsevier B.V. and NIPR. All rights reserved.</t>
  </si>
  <si>
    <t>[Rokicki, Jerzy] Univ Gdansk, Dept Invertebrate Zool, Al Pilsudskiego 46, PL-81378 Gdynia, Poland</t>
  </si>
  <si>
    <t>Fahrenheit Universities; University of Gdansk</t>
  </si>
  <si>
    <t>Rokicki, J (corresponding author), Univ Gdansk, Dept Invertebrate Zool, Al Pilsudskiego 46, PL-81378 Gdynia, Poland.</t>
  </si>
  <si>
    <t>rokicki@univ.gda.pl</t>
  </si>
  <si>
    <t>Ministry of Education and Science [1182/IPY/2007/01.]</t>
  </si>
  <si>
    <t>Ministry of Education and Science(Ministry of Education, Culture, Sports, Science and Technology, Japan (MEXT))</t>
  </si>
  <si>
    <t>The research was supported by the Ministry of Education and Science grant no. 1182/IPY/2007/01. We thank anonymous referees and the Editors for constructive comments and language editing.</t>
  </si>
  <si>
    <t>10.1016/j.polar.2009.06.002</t>
  </si>
  <si>
    <t>WOS:000209028600007</t>
  </si>
  <si>
    <t>Rokicka, M</t>
  </si>
  <si>
    <t>Rokicka, Magdalena</t>
  </si>
  <si>
    <t>Report on species of Gyrodactylus Nordmann, 1832, distribution in polar regions</t>
  </si>
  <si>
    <t>Gyrodactylus; Antarctica; Arctic</t>
  </si>
  <si>
    <t>The aim of this study was to compare the Gyrodactylus fauna in the Arctic and Antarctic regions. Fish were collected from waters surrounding the South Shetland Islands in the Antarctic and from the Revelva River and Hornsund Fjord in south Spitsbergen in the Arctic. Eighty-two individual fish representing seven species from three families (Channichthyidae, Harpagiferidae, and Nototheniidae) were found in Antarctica and 2 Gyrodactylus infections with altogether 95 specimens were reported. Two new species were identified: Gyrodactylus sp. 1 Rokicka et al., 2009, from the gills of the black rock cod, Notothenia coriiceps Richardson, 1844, and Gyrodactylus sp. 2 Rokicka et al., 2009, from the gills of the gaudy notothen, Lepidonotothen nudifrons Lonnberg, 1905. No Gyrodactylus were found in the 95 Arctic fish examined, which represented four species from four families (Salmonidae, Gadidae, Cottidae, and Liparidae). (C) 2009 Elsevier B.V. and NIPR. All rights reserved.</t>
  </si>
  <si>
    <t>Univ Gdansk, Lab Comparat Biochem Biol Stn, PL-80680 Gdansk, Poland</t>
  </si>
  <si>
    <t>Rokicka, M (corresponding author), Univ Gdansk, Lab Comparat Biochem Biol Stn, Ornitologow 26, PL-80680 Gdansk, Poland.</t>
  </si>
  <si>
    <t>magrok@biotech.ug.gda.pl</t>
  </si>
  <si>
    <t>Polish Ministry of Science and Higher Education [1182/IPY/2007/01]; Department of Antarctic Biology Polish Academy of Sciences</t>
  </si>
  <si>
    <t>Polish Ministry of Science and Higher Education(Ministry of Science and Higher Education, Poland); Department of Antarctic Biology Polish Academy of Sciences</t>
  </si>
  <si>
    <t>This project was supported by scientific grant no. 1182/IPY/2007/01 the Polish Ministry of Science and Higher Education, and Department of Antarctic Biology Polish Academy of Sciences.</t>
  </si>
  <si>
    <t>10.1016/j.polar.2009.07.001</t>
  </si>
  <si>
    <t>WOS:000209028600008</t>
  </si>
  <si>
    <t>Dzido, J; Kijewska, A; Rokicka, M; Swiatalska-Koseda, A; Rokicki, J</t>
  </si>
  <si>
    <t>Dzido, Joanna; Kijewska, Agnieszka; Rokicka, Magdalena; Swiatalska-Koseda, Agnieszka; Rokicki, Jerzy</t>
  </si>
  <si>
    <t>Report on anisakid nematodes in polar regions - Preliminary results</t>
  </si>
  <si>
    <t>Anisakid nematodes; Polar regions; Arctic; Antarctic</t>
  </si>
  <si>
    <t>MOLECULAR SYSTEMATICS; COMPLEX NEMATODA; GENETIC-MARKERS; ASCARIDOIDEA; OSCULATUM; ECOLOGY; MEMBERS; HOST; IDENTIFICATION; ASCARIDIDA</t>
  </si>
  <si>
    <t>The aim of this study is to extend our knowledge of the distribution of anisakid nematode parasites in Arctic and Antarctic polar regions. We examined vertebrate (fish) taxa characteristic of the faunas in both polar regions for the presence of parasitic nematodes. The material was collected from Svalbard (Arctic) between July and August 2008 and from King George Island (South Shetland Islands, Antarctic Peninsula) between November 2007 and January 2008. In addition, faecal, bird, and invertebrate samples were collected and examined for the presence of anisakid nematodes or eggs. Anisakis simplex s.s. was found in the body cavity of Arctic cod, and Contracaecum sp. and Pseudoterranova sp. were found in Antarctic notothenioids. Eggs of Anisakis sp. and Contracaecum sp. were recovered from the faeces of Mirounga leonina. We present the first record of the occurrence of A. simplex C in the Antarctic fishes Notothenia coriiceps and Notothenia rossii. (C) 2009 Elsevier B.V. and NIPR.</t>
  </si>
  <si>
    <t>[Dzido, Joanna; Rokicki, Jerzy] Univ Gdansk, Dept Invertebrate Zool, Gdynia, Poland; [Kijewska, Agnieszka] Inst Oceanol PAS, Dept Genet &amp; Marine Biotechnol, Sopot, Poland; [Rokicka, Magdalena] Univ Gdansk, Biol Stn, PL-80952 Gdansk, Poland; [Swiatalska-Koseda, Agnieszka] Vet Hyg Stn, Gdansk, Poland</t>
  </si>
  <si>
    <t>Fahrenheit Universities; University of Gdansk; Polish Academy of Sciences; Institute of Oceanology of the Polish Academy of Sciences; Fahrenheit Universities; University of Gdansk</t>
  </si>
  <si>
    <t>Rokicki, J (corresponding author), Univ Gdansk, Dept Invertebrate Zool, Gdynia, Poland.</t>
  </si>
  <si>
    <t>Kijewska, Agnieszka Paulina/J-4755-2019</t>
  </si>
  <si>
    <t>Kijewska, Agnieszka Paulina/0000-0003-3303-0866; Dzido, Joanna/0000-0002-2174-6157</t>
  </si>
  <si>
    <t>Polish Ministry of Education and Science [1182/IPY/2007/01]</t>
  </si>
  <si>
    <t>Polish Ministry of Education and Science(Ministry of Science and Higher Education, Poland)</t>
  </si>
  <si>
    <t>The research was supported by the Polish Ministry of Education and Science (grant no. 1182/IPY/2007/01).</t>
  </si>
  <si>
    <t>10.1016/j.polar.2009.08.003</t>
  </si>
  <si>
    <t>WOS:000209028600009</t>
  </si>
  <si>
    <t>Hodgson, DA; Roberts, SJ; Bentley, MJ; Smith, JA; Johnson, JS; Verleyen, E; Vyverman, W; Hodson, AJ; Leng, MJ; Cziferszky, A; Fox, AJ; Sanderson, DCW</t>
  </si>
  <si>
    <t>Hodgson, Dominic A.; Roberts, Stephen J.; Bentley, Michael J.; Smith, James A.; Johnson, Joanne S.; Verleyen, Elie; Vyverman, Wim; Hodson, Andy J.; Leng, Melanie J.; Cziferszky, Andreas; Fox, Adrian J.; Sanderson, David C. W.</t>
  </si>
  <si>
    <t>Exploring former subglacial Hodgson Lake, Antarctica Paper I: site description, geomorphology and limnology</t>
  </si>
  <si>
    <t>VI ICE SHELF; ALEXANDER ISLAND; EAST ANTARCTICA; LARSEMANN HILLS; EPISHELF LAKE; PENINSULA; HOLOCENE; ISOTOPE; BENEATH; HISTORY</t>
  </si>
  <si>
    <t>At retreating margins of the Antarctic Ice Sheet, there are a number of locations where former subglacial lakes are emerging from under the ice but remain perennially ice-covered. This paper presents a site description of one of these lakes, Hodgson Lake, situated on southern Alexander Island, west of the Antarctic Peninsula (72 degrees 00.549' S, 68 degrees 27.708' W). First, we describe the physical setting of the lake using topographic and geomorphological maps. Second, we determine local ice sheet deglaciation history and the emergence of the lake using cosmogenic isotope dating of glacial erratics cross-referenced to optically stimulated luminescence dating of raised lake shoreline deltas formed during ice recession. Third we describe the physical and chemical limnology including the biological and biogeochemical evidence for life. Results show that the ice mass over Hodgson Lake was at least 295 m thick at 13.5 ka and has progressively thinned through the Holocene with the lake ice cover reaching an altitude of c. 6.5 m above the present lake ice sometime after 4.6 ka. Thick perennial ice cover persists over the lake today and the waters have remained isolated from the atmosphere with a chemical composition consistent with subglacial melting of catchment ice. The lake is ultra-oligotrophic with nutrient concentrations within the ranges of those found in the accreted lake ice of subglacial Lake Vostok. Total organic carbon and dissolved organic carbon are present, but at lower concentrations than typically recorded in continental rain. No organisms and no pigments associated with photosynthetic or bacterial activity were detected in the water column using light microscopy and high performance liquid chromatography. Increases in SO4 and cation concentrations at depth and declines in O-2 provide some evidence for sulphide oxidation and very minor bacterial demand upon O-2 that result in small, perhaps undetectable changes in the carbon biogeochemistry. However, in general the chemical markers of life are inconclusive and abiotic processes such as the diffusion of pore waters into the lake from its benthic sediments are far more likely to be responsible for the increased concentrations of ions at depth. The next phases of this research will be to carry out a palaeolimnological study of the lake sediments to see what they can reveal about the history of the lake in its subglacial state, and a detailed molecular analysis of the lake water and benthos to determine what forms of life are present. Combined, these studies will test some of the methodologies that will be used to explore deep continental subglacial lakes. (c) 2009 Elsevier Ltd. All rights reserved.</t>
  </si>
  <si>
    <t>[Hodgson, Dominic A.; Roberts, Stephen J.; Bentley, Michael J.; Smith, James A.; Johnson, Joanne S.; Cziferszky, Andreas; Fox, Adrian J.] British Antarctic Survey, Nat Environm Res Council, Cambridge CB3 0ET, England; [Bentley, Michael J.; Smith, James A.] Univ Durham, Dept Geog, Durham DH1 3LE, England; [Verleyen, Elie; Vyverman, Wim] Univ Ghent, Dept Biol, Sect Protistol &amp; Aquat Ecol, B-9000 Ghent, Belgium; [Hodson, Andy J.] Univ Sheffield, Dept Geog, Sheffield S10 2TN, S Yorkshire, England; [Leng, Melanie J.] NERC, Kingsley Dunham Ctr, Isotope Geosci Lab, Keyworth NG12 5GG, Notts, England; [Sanderson, David C. W.] Scottish Univ Environm Res Ctr, Glasgow G75 0QF, Lanark, Scotland</t>
  </si>
  <si>
    <t>UK Research &amp; Innovation (UKRI); Natural Environment Research Council (NERC); NERC British Antarctic Survey; Durham University; Ghent University; University of Sheffield; UK Research &amp; Innovation (UKRI); Natural Environment Research Council (NERC); NERC British Geological Survey; Scottish Universities Research &amp; Reactor Center</t>
  </si>
  <si>
    <t>Bentley, Michael J/F-7386-2011; Dasseville, Renaat/B-3561-2010; Smith, James A/N-1836-2013</t>
  </si>
  <si>
    <t>Bentley, Michael J/0000-0002-2048-0019; Roberts, Stephen/0000-0003-3407-9127; Johnson, Joanne/0000-0003-4537-4447; Hodson, Andrew/0000-0002-1255-7987; Leng, Melanie/0000-0003-1115-5166</t>
  </si>
  <si>
    <t>UK Natural Environment Research Council [SAGES-10K]; CACHE-PEP; NERC AFI; Belgian Science Policy; Fund for Scientific Research - Flanders; Natural Environment Research Council [bas010016, nigl010001, bas0100024, NE/G00336X/1] Funding Source: researchfish; NERC [nigl010001, bas0100024, bas010016, NE/G00336X/1] Funding Source: UKRI</t>
  </si>
  <si>
    <t>UK Natural Environment Research Council(UK Research &amp; Innovation (UKRI)Natural Environment Research Council (NERC)); CACHE-PEP; NERC AFI(UK Research &amp; Innovation (UKRI)Natural Environment Research Council (NERC)); Belgian Science Policy(Belgian Federal Science Policy Office); Fund for Scientific Research - Flanders(FWO); Natural Environment Research Council(UK Research &amp; Innovation (UKRI)Natural Environment Research Council (NERC)); NERC(UK Research &amp; Innovation (UKRI)Natural Environment Research Council (NERC))</t>
  </si>
  <si>
    <t>This work was funded by the UK Natural Environment Research Council SAGES-10K and CACHE-PEP projects led by Eric Wolff and DH and a NERC AFI funded project led by DS, MB and DH. EV and WV are funded by Belgian Science Policy project HOLANT and the Fund for Scientific Research - Flanders. The British Antarctic Survey provided the logistic access to the study site and a field assistant, Adam Hunt. Hilary Blagborough (BAS) is thanked for assistance with cosmogenic sample preparation. Staff at University of Edinburgh, the SUERC and the SUERC AMS facility are thanked for their assistance with OSL and cosmogenic sample preparation and measurement. Staff at the UK Natural Environment Research Council Centre for Ecology and Hydrology are thanked for their water chemistry analytical services. Martyn Tranter and an anonymous reviewer provided invaluable suggestions. This work forms part of the proof of concept studies for the exploration of subglacial Lake Ellsworth led by Martin Siegert.</t>
  </si>
  <si>
    <t>23-24</t>
  </si>
  <si>
    <t>10.1016/j.quascirev.2009.04.011</t>
  </si>
  <si>
    <t>513PO</t>
  </si>
  <si>
    <t>WOS:000271335400004</t>
  </si>
  <si>
    <t>Hodgson, DA; Roberts, SJ; Bentley, MJ; Carmichael, EL; Smith, JA; Verleyen, E; Vyverman, W; Geissler, P; Leng, MJ; Sanderson, DCW</t>
  </si>
  <si>
    <t>Hodgson, Dominic A.; Roberts, Stephen J.; Bentley, Michael J.; Carmichael, Emma L.; Smith, James A.; Verleyen, Elie; Vyverman, Wim; Geissler, Paul; Leng, Melanie J.; Sanderson, David C. W.</t>
  </si>
  <si>
    <t>Exploring former subglacial Hodgson Lake, Antarctica. Paper II: palaeolimnology</t>
  </si>
  <si>
    <t>VI ICE SHELF; CONTAINING MINE SOILS; ORGANIC-MATTER; GEOMAGNETIC PALEOINTENSITY; ALEXANDER ISLAND; HOLOCENE HISTORY; EPISHELF LAKE; COSMIC-RAY; 50 KA; SEDIMENTS</t>
  </si>
  <si>
    <t>Direct exploration of subglacial lakes buried deep under the Antarctic Ice Sheet has yet to be achieved. However, at retreating margins of the ice sheet, there are a number of locations where former subglacial lakes are emerging from under the ice but remain perennially ice covered. One of these lakes, Hodgson Lake (72 degrees 00.549'S, 068 degrees 27.708'W) has emerged from under more than 297-465 m of glacial ice during the last few thousand years. This paper presents data from a multidisciplinary investigation of the palaeolimnology of this lake through a study of a 3.8 m sediment core extracted at a depth of 93.4 m below the ice surface. The core was dated using a combination of radiocarbon, optically stimulated luminescence, and relative palaeomagnetic intensity dating incorporated into a chronological model. Stratigraphic analyses included magnetic susceptibility, clast provenance, organic content, carbonate composition, siliceous microfossils, isotope and biogeochemical markers. Based on the chronological model we provisionally assign a well-defined magnetic polarity reversal event at ca 165 cm in the lake sediments to the Mono Lake excursion (ca 30-34 ka), whilst OSL measurements suggest that material incorporated into the basal sediments might date to 93 +/- 9 ka. Four stratigraphic zones (A-D) were identified in the sedimentological data. The chronological model suggests that zones A-C were deposited between Marine Isotope Stages 5-2 and zone A during Stage 1, the Holocene. The palaeolimnological record tracks changes in the subglacial depositional environment linked principally to changing glacier dynamics and mass transport and indirectly to climate change. The sediment composition in zones A-C consists of fine-grained sediments together with sands, gravels and small clasts. There is no evidence of overriding glaciers being in contact with the bed reworking the stratigraphy or removing this sediment. This suggests that the lake existed in a subglacial cavity beneath overriding LGM ice. In zone D there is a transition to finer grained sediments characteristic of lower energy delivery coupled with a minor increase in the organic content attributed either to increases in allochthonous organic material being delivered from the deglaciating catchment, a minor increase in within-lake production or to an analytical artefact associated with an increase in the clay fraction. Evidence of biological activity is sparse. Total organic carbon varies from 0.2 to 0.6%, and cannot be unequivocally linked to in situ biological activity as comparisons of delta C-13 and C/N values with local reference data suggest that much of it is derived from the incorporation of carbon in catchment soils and gravels and possibly old CO2 in meteoric ice. We use the data from this study to provide guidelines for the study of deep continental subglacial lakes including establishing sediment geochronologies, determining the extent to which subglacial sediments might provide a record of glaciological and environmental change and a brief review of methods to use in the search for life. (c) 2009 Elsevier Ltd. All rights reserved.</t>
  </si>
  <si>
    <t>[Hodgson, Dominic A.; Roberts, Stephen J.; Bentley, Michael J.; Carmichael, Emma L.; Smith, James A.; Geissler, Paul] British Antarctic Survey, Nat Environm Res Council, Cambridge CB3 0ET, England; [Bentley, Michael J.; Smith, James A.] Univ Durham, Dept Geog, Durham DH1 3LE, England; [Verleyen, Elie; Vyverman, Wim] Univ Ghent, Dept Biol, Sect Protistol &amp; Aquat Ecol, B-9000 Ghent, Belgium; [Leng, Melanie J.] NERC, Isotope Geosci Lab, Kingsley Dunham Ctr, Keyworth NG12 5GG, Notts, England; [Sanderson, David C. W.] Scottish Univ Environm Res Ctr, Glasgow G75 0QF, Lanark, Scotland</t>
  </si>
  <si>
    <t>UK Research &amp; Innovation (UKRI); Natural Environment Research Council (NERC); NERC British Antarctic Survey; Durham University; Ghent University; UK Research &amp; Innovation (UKRI); Natural Environment Research Council (NERC); NERC British Geological Survey; Scottish Universities Research &amp; Reactor Center</t>
  </si>
  <si>
    <t>Smith, James A/N-1836-2013; Dasseville, Renaat/B-3561-2010; Bentley, Michael J/F-7386-2011</t>
  </si>
  <si>
    <t>Bentley, Michael J/0000-0002-2048-0019; Roberts, Stephen/0000-0003-3407-9127; Leng, Melanie/0000-0003-1115-5166</t>
  </si>
  <si>
    <t>UK Natural Environment Research Council [SAGES-10K]; CACHE-PEP; NERC AFI; Belgian Science Policy; Fund for Scientific Research - Flanders; NERC [NE/G00336X/1, bas010016, bas0100024, nigl010001] Funding Source: UKRI; Natural Environment Research Council [NE/G00336X/1, bas0100024, nigl010001, bas010016] Funding Source: researchfish</t>
  </si>
  <si>
    <t>UK Natural Environment Research Council(UK Research &amp; Innovation (UKRI)Natural Environment Research Council (NERC)); CACHE-PEP; NERC AFI(UK Research &amp; Innovation (UKRI)Natural Environment Research Council (NERC)); Belgian Science Policy(Belgian Federal Science Policy Office); Fund for Scientific Research - Flanders(FWO); NERC(UK Research &amp; Innovation (UKRI)Natural Environment Research Council (NERC)); Natural Environment Research Council(UK Research &amp; Innovation (UKRI)Natural Environment Research Council (NERC))</t>
  </si>
  <si>
    <t>This work was funded by the UK Natural Environment Research Council SAGES-10K and CACHE-PEP projects led by Eric Wolff and DH and a NERC AFI funded project led by DS, MB and DH. EV and WV are funded by Belgian Science Policy project HOLANT and the Fund for Scientific Research - Flanders. The British Antarctic Survey provided logistic access to the study site and a field assistant, Adam Hunt. Staff at the Lancaster University and St Andrews University magnetics laboratories are acknowledged for making their equipment and expertise available. Staff at University of Edinburgh, the Scottish Universities Environmental Research Centre and the SUERC AMS facility are thanked for their assistance with OSL sample preparation and measurement. Martyn Tranter and an anonymous reviewer provided invaluable suggestions. This work forms part of the proof of concept studies for the exploration of subglacial Lake Ellsworth led by Martin Siegert.</t>
  </si>
  <si>
    <t>10.1016/j.quascirev.2009.04.014</t>
  </si>
  <si>
    <t>WOS:000271335400005</t>
  </si>
  <si>
    <t>Saikku, R; Stott, L; Thunell, R</t>
  </si>
  <si>
    <t>Saikku, Reetta; Stott, Lowell; Thunell, Robert</t>
  </si>
  <si>
    <t>A bi-polar signal recorded in the western tropical Pacific: Northern and Southern Hemisphere climate records from the Pacific warm pool during the last Ice Age</t>
  </si>
  <si>
    <t>SEA-SURFACE TEMPERATURE; EL-NINO; ATMOSPHERIC CO2; GLACIAL PERIOD; THERMOHALINE CIRCULATION; OCEAN CIRCULATION; LEVEL CHANGES; ARABIAN SEA; DEEP; DEGLACIATION</t>
  </si>
  <si>
    <t>Western tropical Pacific sea surface temperatures and Pacific Deep Water temperatures during Marine Isotope Stage 3 have been reconstructed from the delta O-18 and Mg/Ca of planktonic and benthic for aminifera from Marion Dufresne core MD98-2181. This 36 m marine core was collected at 6.3 degrees N from a water depth of 2114 m. With sediment accumulation rates of up to 80 cm/ky, it provides a decadally resolved history of ocean variability during the Last Glacial period. Surface temperatures and salinities at this site varied in close association with millennial-scale atmospheric temperature swings at high northern latitudes as reflected in the GISP2 ice core. At times of colder atmospheric temperatures over Greenland, the western Pacific was more saline and summer season SSTs were similar to 2 degrees C colder. These millennial-scale changes within the tropics are attributed to a southward displacement of the summer season ITCZ in response to steeper meridional temperature gradients within the Pacific. The benthic delta O-18 record from MD98-2181 documents upper Pacific Deep Water temperature and salinity variability. Benthic delta O-18 variations of 0.3-0.5 parts per thousand during MIS 3 indicate deep waters within the Pacific were varying by similar to 1-1.5 degrees C, with the possibility that some of the variability was due to changing salinity and minor glacial-eustatic changes. The observed deep-water variability correlates to changes in Antarctic surface temperatures and thus reflects changes in Southern Ocean temperatures at the site of Pacific Deep Water formation. The combined planktonic and benthic records from MD98-2181 thus provide a northern and southern hemispheric climate record of anti-phased variability during MIS 3 as has been inferred previously from ice core records. Furthermore, the deep sea temperature excursions appear to have led millennial variations in atmospheric CO2 as recorded in the EDML ice core by similar to 1 kyr. (c) 2009 Elsevier Ltd. All rights reserved.</t>
  </si>
  <si>
    <t>[Saikku, Reetta; Stott, Lowell] Univ So Calif, Dept Earth Sci, Los Angeles, CA 90089 USA; [Thunell, Robert] Univ S Carolina, Dept Geol Sci, Columbia, SC 29208 USA</t>
  </si>
  <si>
    <t>University of Southern California; University of South Carolina System; University of South Carolina Columbia</t>
  </si>
  <si>
    <t>Saikku, R (corresponding author), Univ So Calif, Dept Earth Sci, Los Angeles, CA 90089 USA.</t>
  </si>
  <si>
    <t>saikku@usc.edu</t>
  </si>
  <si>
    <t>10.1016/j.quascirev.2009.05.007</t>
  </si>
  <si>
    <t>WOS:000271335400008</t>
  </si>
  <si>
    <t>Williams, M; Cook, E; van der Kaars, S; Barrows, T; Shulmeister, J; Kershaw, P</t>
  </si>
  <si>
    <t>Williams, Martin; Cook, Ellyn; van der Kaars, Sander; Barrows, Tim; Shulmeister, Jamie; Kershaw, Peter</t>
  </si>
  <si>
    <t>Glacial and deglacial climatic patterns in Australia and surrounding regions from 35 000 to 10 000 years ago reconstructed from terrestrial and near-shore proxy data</t>
  </si>
  <si>
    <t>NEW-SOUTH-WALES; SEA-SURFACE TEMPERATURES; EAST-ASIAN MONSOON; QUATERNARY VEGETATIONAL HISTORY; NORTH-ATLANTIC CLIMATE; NEW-ZEALAND; LATE PLEISTOCENE; LAKE EYRE; SOUTHEASTERN AUSTRALIA; YOUNGER DRYAS</t>
  </si>
  <si>
    <t>This study forms part of a wider investigation of late Quaternary environments in the Southern Hemisphere. We here review the terrestrial and near-shore proxy data from Australia, Indonesia, Papua New Guinea (PNG), New Zealand and surrounding oceans during 35-10 ka, an interval spanning the lead-up to the Last Glacial Maximum (LGM), the LGM proper (21 +/- 2 ka), and the ensuing deglaciation. Sites selected for detailed discussion have a continuous or near continuous sedimentary record for this time interval, a stratigraphically consistent chronology, and one or more sources of proxy climatic data. Tropical Australia, Indonesia and PNG had LGM mean annual temperatures 3-7 degrees C below present values and summer precipitation reduced by at least 30%, consistent with a weaker summer monsoon and a northward displacement of the Intertropical Convergence Zone. The summer monsoon was re-established in northwest Australia by 14 ka. Precipitation in northeast Australia was reduced to less than 50% of present values until warmer and wetter conditions resumed at 17-16 ka, followed by a second warmer, wetter phase at 15-14 ka. LGM temperatures were up to 8 degrees C lower than today in mainland southeast Australia and up to 4 degrees C cooler in Tasmania. Winter rainfall was much reduced throughout much of southern Australia although periodic extreme flood events are evident in the fluvial record. Glacial advances in southeast Australia are dated to 32 +/- 2.5, 19.1 +/- 1.6 and 16.8 +/- 1.4 ka, with periglacial activity concentrated towards 23-16 ka. Deglaciation was rapid in the Snowy Mountains, which were ice-free by 15.8 ka. Minimum effective precipitation in southern Australia was from 14 to 12 ka. In New Zealand the glacial advances date to similar to 28, 21.5 and 19 ka, with the onset of major cooling at similar to 28 ka, or well before the LGM. There is no convincing evidence for a Younger Dryas cooling event in or around New Zealand, but there are signs of the Antarctic Cold Reversal in and around New Zealand and off southern Australia. There remain unresolved discrepancies between the climates inferred from pollen and those inferred from the beetle and chironomid fauna at a number of New Zealand sites. One explanation may be that pollen provides a generalised regional climatic signal in contrast to the finer local resolution offered by beetles and chironomids. Sea surface temperatures (SSTs) were up to 5 degrees C cooler during the LGM with rapid warming after 20 ka to attain present values by 15 ka. The increase in summer monsoonal precipitation at or before 15 ka reflects higher insolation, warmer SSTs and steeper thermal gradients between land and sea. The postglacial increase in winter rainfall in southern Australia is probably related to the southward displacement of the westerlies as SSTs around Antarctica became warmer and the winter pack ice and Antarctic Convergence Zone retreated to the south. (c) 2009 Elsevier Ltd. All rights reserved.</t>
  </si>
  <si>
    <t>[Williams, Martin] Univ Adelaide, Adelaide, SA 5005, Australia; [Cook, Ellyn; van der Kaars, Sander; Kershaw, Peter] Monash Univ, Ctr Palynol &amp; Palaeoecol, Sch Geog &amp; Environm Sci, Clayton, Vic 3168, Australia; [Barrows, Tim] Australian Natl Univ, Res Sch Earth Sci, Canberra, ACT 0200, Australia; [Shulmeister, Jamie] Univ Canterbury, Dept Geol Sci, Christchurch 1, New Zealand</t>
  </si>
  <si>
    <t>University of Adelaide; Monash University; Australian National University; University of Canterbury</t>
  </si>
  <si>
    <t>Williams, M (corresponding author), Univ Adelaide, Adelaide, SA 5005, Australia.</t>
  </si>
  <si>
    <t>martin.williams@adelaide.edu.au</t>
  </si>
  <si>
    <t>shulmeister, james/J-2859-2015; van der Kaars, Sander/G-2268-2016; Barrows, Timothy T/E-8471-2011</t>
  </si>
  <si>
    <t>shulmeister, james/0000-0001-5863-9462; van der Kaars, Sander/0000-0002-2511-0439; Kershaw, Peter/0000-0002-9478-0567; Barrows, Timothy T/0000-0003-2614-7177</t>
  </si>
  <si>
    <t>10.1016/j.quascirev.2009.04.020</t>
  </si>
  <si>
    <t>WOS:000271335400010</t>
  </si>
  <si>
    <t>Sirenko, BI</t>
  </si>
  <si>
    <t>Sirenko, B. I.</t>
  </si>
  <si>
    <t>Main differences in macrobenthos and benthic communities of the arctic and antarctic, as illustrated by comparison of the Laptev and Weddell sea faunas</t>
  </si>
  <si>
    <t>RUSSIAN JOURNAL OF MARINE BIOLOGY</t>
  </si>
  <si>
    <t>Arctic; Antarctic; Laptev Sea; Weddell Sea; bottom fauna</t>
  </si>
  <si>
    <t>MASS EXTINCTIONS; MALACOSTRACA; CRUSTACEA; EVOLUTION; ORIGIN; SHELF</t>
  </si>
  <si>
    <t>A comparison of the benthic macrofaunas of the Laptev and Weddell seas revealed considerable differences in the species composition of the Arctic and Antarctic shelf faunas. In the Arctic, the infauna has the highest species diversity and plays the main role in the benthic communities, whereas in the Antarctic the epifauna predominates. The main reasons for these essential differences are (1) the different sediment composition at the time of formation of cold-water faunas, (2) the different productivity of the ecosystems, (3) the different extent of exchange with the adjacent oceans, and (4) the different history of the origin of both faunas.</t>
  </si>
  <si>
    <t>Russian Acad Sci, Inst Zool, St Petersburg 199034, Russia</t>
  </si>
  <si>
    <t>Russian Academy of Sciences; Zoological Institute of the Russian Academy of Sciences</t>
  </si>
  <si>
    <t>Sirenko, BI (corresponding author), Russian Acad Sci, Inst Zool, St Petersburg 199034, Russia.</t>
  </si>
  <si>
    <t>marine@zin.ru</t>
  </si>
  <si>
    <t>Antarctic Biota; Russian Foundation for Basic Research [07-04-00514]; Arctic Diversity</t>
  </si>
  <si>
    <t>Antarctic Biota; Russian Foundation for Basic Research(Russian Foundation for Basic Research (RFBR)Spanish Government); Arctic Diversity</t>
  </si>
  <si>
    <t>This work was partly financed by the Antarctic grant Comprehensive Study of the Antarctic Biota, a grant from the Russian Foundation for Basic Research (no. 07-04-00514), and The Arctic Diversity Project (ArcOD/CoML).</t>
  </si>
  <si>
    <t>1063-0740</t>
  </si>
  <si>
    <t>1608-3377</t>
  </si>
  <si>
    <t>RUSS J MAR BIOL+</t>
  </si>
  <si>
    <t>Russ. J. Mar. Biol.</t>
  </si>
  <si>
    <t>10.1134/S1063074009060017</t>
  </si>
  <si>
    <t>544UW</t>
  </si>
  <si>
    <t>WOS:000273685800001</t>
  </si>
  <si>
    <t>Vainio, R; Desorgher, L; Heynderickx, D; Storini, M; Flückiger, E; Horne, RB; Kovaltsov, GA; Kudela, K; Laurenza, M; McKenna-Lawlor, S; Rothkaehl, H; Usoskin, IG</t>
  </si>
  <si>
    <t>Vainio, Rami; Desorgher, Laurent; Heynderickx, Daniel; Storini, Marisa; Flueckiger, Erwin; Horne, Richard B.; Kovaltsov, Gennady A.; Kudela, Karel; Laurenza, Monica; McKenna-Lawlor, Susan; Rothkaehl, Hanna; Usoskin, Ilya G.</t>
  </si>
  <si>
    <t>Dynamics of the Earth's Particle Radiation Environment</t>
  </si>
  <si>
    <t>SPACE SCIENCE REVIEWS</t>
  </si>
  <si>
    <t>Radiation environment; Solar energetic particles; Radiation belts; Cosmic rays; Radiation effects</t>
  </si>
  <si>
    <t>SOLAR ENERGETIC PROTONS; COSMOGENIC NUCLIDE PRODUCTION; DRIVEN ELECTRON ACCELERATION; GEOMAGNETIC-FIELD INTENSITY; MONTE-CARLO SIMULATIONS; RAY-INDUCED IONIZATION; WHISTLER-MODE CHORUS; COSMIC-RAY; RELATIVISTIC ELECTRONS; MAGNETIC-FIELD</t>
  </si>
  <si>
    <t>The physical processes affecting the dynamics of the Earth's particle radiation environment are reviewed along with scientific and engineering models developed for its description. The emphasis is on models that are either operational engineering models or models presently under development for this purpose. Three components of the radiation environment, i.e., galactic cosmic rays (GCRs), solar energetic particles (SEPs) and trapped radiation, are considered separately. In the case of SEP models, we make a distinction between statistical flux/fluence models and those aimed at forecasting events. Models of the effects of particle radiation on the atmosphere are also reviewed. Further, we summarize the main features of the models and discuss the main outstanding issues concerning the models and their possible use in operational space weather forecasting. We emphasize the need for continuing the development of physics-based models of the Earth's particle radiation environment, and their validation with observational data, until the models are ready to be used for nowcasting and/or forecasting the dynamics of the environment.</t>
  </si>
  <si>
    <t>[Vainio, Rami] Univ Helsinki, Dept Phys, Helsinki 00014, Finland; [Desorgher, Laurent] SpaceIT GmbH, CH-3012 Bern, Switzerland; [Heynderickx, Daniel] DH Consultancy, B-3000 Louvain, Belgium; [Flueckiger, Erwin] Univ Bern, Bern, Switzerland; [Horne, Richard B.] British Antarctic Survey, Cambridge CB3 0ET, England; [Kovaltsov, Gennady A.] AF Ioffe Phys Tech Inst, St Petersburg 194021, Russia; [Kudela, Karel] Slovak Acad Sci, Kosice, Slovakia; [Storini, Marisa; Laurenza, Monica] IFSI Roma INAF, I-00133 Rome, Italy; [McKenna-Lawlor, Susan] Natl Univ Ireland, Maynooth, Kildare, Ireland; [Rothkaehl, Hanna] Polish Acad Sci, Warsaw, Poland; [Usoskin, Ilya G.] Univ Oulu, Sodankyla Geophys Observ, Oulu Unit, Oulu 90014, Finland</t>
  </si>
  <si>
    <t>University of Helsinki; University of Bern; UK Research &amp; Innovation (UKRI); Natural Environment Research Council (NERC); NERC British Antarctic Survey; Russian Academy of Sciences; St. Petersburg Scientific Centre of the Russian Academy of Sciences; Ioffe Physical Technical Institute; Slovak Academy of Sciences; Maynooth University; Polish Academy of Sciences; University of Oulu</t>
  </si>
  <si>
    <t>Vainio, R (corresponding author), Univ Helsinki, Dept Phys, POB 64, Helsinki 00014, Finland.</t>
  </si>
  <si>
    <t>rami.vainio@helsinki.fi</t>
  </si>
  <si>
    <t>Kovaltsov, Gennady A/F-5191-2014; Horne, Richard B/U-3764-2019; Vainio, Rami/A-5590-2009; Laurenza, Monica/HMD-8729-2023; Heynderickx, Daniel/JBS-0816-2023; Usoskin, Ilya/E-5089-2014</t>
  </si>
  <si>
    <t>Horne, Richard B/0000-0002-0412-6407; Vainio, Rami/0000-0002-3298-2067; Laurenza, Monica/0000-0001-5481-4534; Heynderickx, Daniel/0000-0001-7136-9014; Usoskin, Ilya/0000-0001-8227-9081</t>
  </si>
  <si>
    <t>Academy of Finland [1124837]; Italian Space Agency; VEGA [2/7063/27]; Natural Environment Research Council [bas0100023] Funding Source: researchfish; NERC [bas0100023] Funding Source: UKRI</t>
  </si>
  <si>
    <t>Academy of Finland(Research Council of Finland); Italian Space Agency(Agenzia Spaziale Italiana (ASI)); VEGA(Vedecka grantova agentura MSVVaS SR a SAV (VEGA)); Natural Environment Research Council(UK Research &amp; Innovation (UKRI)Natural Environment Research Council (NERC)); NERC(UK Research &amp; Innovation (UKRI)Natural Environment Research Council (NERC))</t>
  </si>
  <si>
    <t>This review is based on the activities of the EU COST Action 724, Working Group 2: The Radiation Environment of the Earth, which ran from 2003 to 2007. The authors acknowledge the financial support from the COST action and are grateful to all members of the Working Group for stimulating discussions. We also acknowledge the support from the International Space Sciences Institute in Bern that enabled the authors to work together on the manuscript. RV acknowledges financial support from the Academy of Finland (project 1124837). ML and MS acknowledge financial support from the Italian Space Agency (BepiColombo Mission and ESS2 Project). KK wishes to acknowledge support by VEGA grant agency project No. 2/7063/27. The authors wish to thank the referee for valuable comments on the manuscript.</t>
  </si>
  <si>
    <t>0038-6308</t>
  </si>
  <si>
    <t>1572-9672</t>
  </si>
  <si>
    <t>SPACE SCI REV</t>
  </si>
  <si>
    <t>Space Sci. Rev.</t>
  </si>
  <si>
    <t>10.1007/s11214-009-9496-7</t>
  </si>
  <si>
    <t>530UU</t>
  </si>
  <si>
    <t>WOS:000272618600003</t>
  </si>
  <si>
    <t>Petit, JR; Delmonte, B</t>
  </si>
  <si>
    <t>Petit, J. R.; Delmonte, B.</t>
  </si>
  <si>
    <t>A model for large glacial-interglacial climate-induced changes in dust and sea salt concentrations in deep ice cores (central Antarctica): palaeoclimatic implications and prospects for refining ice core chronologies</t>
  </si>
  <si>
    <t>TELLUS SERIES B-CHEMICAL AND PHYSICAL METEOROLOGY</t>
  </si>
  <si>
    <t>DOME-C; EAST ANTARCTICA; ATMOSPHERIC CIRCULATION; CENTRAL GREENLAND; SIZE DISTRIBUTION; EPICA; TRANSPORT; RECORD; VOSTOK; VARIABILITY</t>
  </si>
  <si>
    <t>A semi-empirical model has been developed to reproduce glacial-interglacial changes of continental dust and marine sodium concentrations (factor of similar to 50 and similar to 5, respectively) observed in inland Antarctic ice cores. The model uses conceptual pathways of aerosols within the high troposphere; assumes the dry deposition of impurities on the Antarctic surface; uses estimates of aerosol transit times taken independent of climate; assumes a temperature-dependent removal process during aerosol pathways from the mid-latitudes. The model is fitted to the data over the last four climate cycles from Vostok and EPICA Dome C Antarctic sites. As temperature is cooling, the aerosol response suggests different modes of climate couplings between latitudes, which can be continuous or below temperature thresholds for sodium and dust, respectively. The model estimates a southern South America dust source activity two to three times higher for glacial periods than for the Holocene and a glacial temperature over the Southern Ocean 3-5 degrees C cooler. Both estimates appear consistent with independent observations. After removal of temperature effects, dust and sodium residuals for both sites show orbital frequencies in opposite phase at the precession timescale. Such long-term insolation-related modulation of terrestrial and marine aerosol input, could provide a chemical pacemaker useful for refining ice core chronologies.</t>
  </si>
  <si>
    <t>[Petit, J. R.] Univ Grenoble 1, CNRS, UMR 51230, Lab Glaciol &amp; Geophys Environm, F-38402 St Martin Dheres, France; [Delmonte, B.] Univ Milano Bicocca DISAT, Dept Environm Sci, I-20126 Milan, Italy</t>
  </si>
  <si>
    <t>Communaute Universite Grenoble Alpes; Universite Grenoble Alpes (UGA); Centre National de la Recherche Scientifique (CNRS); University of Milano-Bicocca</t>
  </si>
  <si>
    <t>Petit, JR (corresponding author), Univ Grenoble 1, CNRS, UMR 51230, Lab Glaciol &amp; Geophys Environm, BP 96, F-38402 St Martin Dheres, France.</t>
  </si>
  <si>
    <t>petit@lgge.obs.ujf-grenoble.fr</t>
  </si>
  <si>
    <t>Delmonte, Barbara/L-2555-2015</t>
  </si>
  <si>
    <t>Delmonte, Barbara/0000-0002-9074-2061</t>
  </si>
  <si>
    <t>French ANR project PICC; 'European Project for Ice Coring in Antarctica' (EPICA); ESF (European Science Foundation)/EC scientific programme; European Commission under the Environmental and Climate Programme (1994-1998) [ENV4-CT95-0074]; United Kingdom; EPICA publication number 229</t>
  </si>
  <si>
    <t>French ANR project PICC(Agence Nationale de la Recherche (ANR)); 'European Project for Ice Coring in Antarctica' (EPICA); ESF (European Science Foundation)/EC scientific programme(European Science Foundation (ESF)); European Commission under the Environmental and Climate Programme (1994-1998); United Kingdom; EPICA publication number 229</t>
  </si>
  <si>
    <t>We thank M. Legrand, M. de Angelis, R. Gersonde, F. Lambert, A. Martinez-Garcia for providing access to unpublished data; B. Lemieux-Dudon, M. Debret and H. Gallee for help; M. Hutterli, E. Wolff, H. Fisher, G Delaygues for fruitful discussions; M. Town and the anonymous reviewers for their suggestions improving the manuscript. This study was supported by the French ANR project PICC. This work is a contribution to the 'European Project for Ice Coring in Antarctica' (EPICA), a joint ESF (European Science Foundation)/EC scientific programme, funded by the European Commission under the Environmental and Climate Programme (1994-1998) contract ENV4-CT95-0074 and by national contributions from Belgium, Denmark, France, Germany, Italy, the Netherlands, Norway, Sweden, Switzerland and the United Kingdom. This is EPICA publication number 229.</t>
  </si>
  <si>
    <t>STOCKHOLM UNIV PRESS</t>
  </si>
  <si>
    <t>STOCKHOLM</t>
  </si>
  <si>
    <t>STOCKHOLM UNIV LIBRARY, UNIVERSITETSVAGEN 14 D, STOCKHOLM, SE-106 91, SWEDEN</t>
  </si>
  <si>
    <t>1600-0889</t>
  </si>
  <si>
    <t>TELLUS B</t>
  </si>
  <si>
    <t>Tellus Ser. B-Chem. Phys. Meteorol.</t>
  </si>
  <si>
    <t>10.1111/j.1600-0889.2009.00437.x</t>
  </si>
  <si>
    <t>508BU</t>
  </si>
  <si>
    <t>Green Published, hybrid</t>
  </si>
  <si>
    <t>WOS:000270902600006</t>
  </si>
  <si>
    <t>Cooper, BJ</t>
  </si>
  <si>
    <t>Cooper, B. J.</t>
  </si>
  <si>
    <t>BRAGG, MAWSON AND BROWN, AND THE EARLY URANIUM DISCOVERIES IN SOUTH AUSTRALIA</t>
  </si>
  <si>
    <t>TRANSACTIONS OF THE ROYAL SOCIETY OF SOUTH AUSTRALIA</t>
  </si>
  <si>
    <t>William Henry Bragg; Douglas Mawson; Henry Yorke Lyell Brown; Uranium; Radium Hill; Mount Painter; South Australia</t>
  </si>
  <si>
    <t>ALPHA-PARTICLES; GAMMA; IONIZATION; RAYS</t>
  </si>
  <si>
    <t>The discovery of uranium at Radium Hill in the Olary region in 1906 excited much public interest in South Australia as well as the attention of three of its most prominent scientists: W.H. Bragg, D. Mawson and H.Y.L. Brown. At the same time, radioactivity was recognised in the Moonta mines. The reaction of each was different with Bragg being revealed as more of a pure (rather than applied) scientist who was held in the highest public esteem, whilst Mawson quickly became the entrepreneur. Brown shows himself as the trustworthy, yet cautious, Government advisor. As the youngest of the three, Mawson continued his pioneering interest for the rest of his life. With the discovery of uranium at Mount Painter in 1910, his entrepreneurial acumen was enhanced, supported not only by intensive geological investigations, but also by skills in accessing the resource, sourcing development capital and envisaging mining development. His rising status as a heroic Antarctic explorer was presumably an advantage. Reduced Government and public interest in the Mount Painter discovery initially is reflected by delayed involvement from Brown, who was then approaching retirement. In 1909, Bragg left South Australia to pursue his academic career and further scientific research on radioactivity and X rays in the United Kingdom. This led to the award of the Nobel Prize in 1915 (jointly with his son), yet no ongoing involvement in South Australian uranium.</t>
  </si>
  <si>
    <t>Univ S Australia, Sch Nat &amp; Built Environm, Adelaide, SA 5001, Australia</t>
  </si>
  <si>
    <t>University of South Australia</t>
  </si>
  <si>
    <t>Cooper, BJ (corresponding author), Univ S Australia, Sch Nat &amp; Built Environm, GPO Box 2471, Adelaide, SA 5001, Australia.</t>
  </si>
  <si>
    <t>Barry.Cooper@unisa.edu.au</t>
  </si>
  <si>
    <t>0372-1426</t>
  </si>
  <si>
    <t>2204-0293</t>
  </si>
  <si>
    <t>T ROY SOC SOUTH AUST</t>
  </si>
  <si>
    <t>Trans. R. Soc. S. Aust.</t>
  </si>
  <si>
    <t>10.1080/03721426.2009.10887120</t>
  </si>
  <si>
    <t>V16GD</t>
  </si>
  <si>
    <t>WOS:000207857200003</t>
  </si>
  <si>
    <t>Subramanian, S; Denver, DR; Millar, CD; Heupink, T; Aschrafi, A; Emslie, SD; Baroni, C; Lambert, DM</t>
  </si>
  <si>
    <t>Subramanian, Sankar; Denver, Dee R.; Millar, Craig D.; Heupink, Tim; Aschrafi, Angelique; Emslie, Steven D.; Baroni, Carlo; Lambert, David M.</t>
  </si>
  <si>
    <t>High mitogenomic evolutionary rates and time dependency</t>
  </si>
  <si>
    <t>TRENDS IN GENETICS</t>
  </si>
  <si>
    <t>MITOCHONDRIAL SUBSTITUTION RATES; DIVERGENCE TIMES; MOLECULAR CLOCKS; 2-PERCENT RULE; ANCIENT DNA; CALIBRATION; BIRDS; SEQUENCES; SELECTION; LINEAGES</t>
  </si>
  <si>
    <t>Using entire modern and ancient mitochondrial genomes of Adelie penguins (Pygoscelis adeliae) that are up to 44000 years old, we show that the rates of evolution of the mitochondrial genome are two to six times greater than those estimated from phylogenetic comparisons. Although the rate of evolution at constrained sites, including nonsynonymous positions and RNAs, varies more than twofold with time (between shallow and deep nodes), the rate of evolution at synonymous sites remains the same. The time-independent neutral evolutionary rates reported here would be useful for the study of recent evolutionary events.</t>
  </si>
  <si>
    <t>[Subramanian, Sankar; Heupink, Tim; Lambert, David M.] Griffith Univ, Griffith Sch Environm, Nathan, Qld 4111, Australia; [Subramanian, Sankar; Heupink, Tim; Lambert, David M.] Griffith Univ, Sch Biomol &amp; Phys Sci, Nathan, Qld 4111, Australia; [Subramanian, Sankar; Millar, Craig D.] Univ Auckland, Sch Biol Sci, Allan Wilson Ctr Mol Ecol &amp; Evolut, Auckland 1, New Zealand; [Denver, Dee R.; Aschrafi, Angelique; Lambert, David M.] Massey Univ, Inst Mol Biosci, Allan Wilson Ctr Mol Ecol &amp; Evolut, Auckland, New Zealand; [Denver, Dee R.] Oregon State Univ, Dept Zool, Corvallis, OR 97331 USA; [Denver, Dee R.] Oregon State Univ, Ctr Genome Res &amp; Biocomp, Corvallis, OR 97331 USA; [Aschrafi, Angelique] Scripps Res Inst, Dept Cell Biol, La Jolla, CA 92037 USA; [Emslie, Steven D.] Univ N Carolina, Dept Biol &amp; Marine Biol, Willmington, NC USA; [Baroni, Carlo] Univ Pisa, Dipartimento Sci Terra, Pisa, Italy; [Baroni, Carlo] CNR, Ist Geosci &amp; Georisorse, I-56100 Pisa, Italy</t>
  </si>
  <si>
    <t>Griffith University; Griffith University; University of Auckland; Massey University; Massey University; Oregon State University; Oregon State University; Scripps Research Institute; University of North Carolina; University of Pisa; Consiglio Nazionale delle Ricerche (CNR); Istituto di Geoscienze e Georisorse (IGG-CNR)</t>
  </si>
  <si>
    <t>Lambert, DM (corresponding author), Griffith Univ, Griffith Sch Environm, 170 Kessels Rd, Nathan, Qld 4111, Australia.</t>
  </si>
  <si>
    <t>d.lambert@griffith.edu.au</t>
  </si>
  <si>
    <t>Heupink, Tim H/B-3609-2014; Baroni, Carlo/D-8184-2012; Aschrafi, Armaz/E-2202-2012; Subramanian, Sankar/B-6647-2008</t>
  </si>
  <si>
    <t>Baroni, Carlo/0000-0001-5905-4650; Heupink, Tim/0000-0001-6237-3898; Subramanian, Sankar/0000-0002-2375-3254; Aschrafi, Armaz/0000-0003-4089-0960; Lambert, David/0000-0002-5821-3637</t>
  </si>
  <si>
    <t>Griffith University; Australia-India Strategic Research Fund; Allan Wilson Centre for Molecular Ecology and Evolution; New Zealand Marsden Fund</t>
  </si>
  <si>
    <t>Griffith University(Griffith University - Gold Coast Campus); Australia-India Strategic Research Fund(Australian GovernmentDepartment of Industry, Innovation and Science); Allan Wilson Centre for Molecular Ecology and Evolution; New Zealand Marsden Fund(Royal Society of New ZealandMarsden Fund (NZ))</t>
  </si>
  <si>
    <t>We thank Griffith University, the Australia-India Strategic Research Fund, the Allan Wilson Centre for Molecular Ecology and Evolution and the New Zealand Marsden Fund for financial support. The fieldwork was only possible with the assistance of the Antarctica New Zealand (DML and CDM), the Italian Antarctic Programme (CB) and the National Science Foundation and National Geographic Society (SE). The radiocarbon ages were provided by the Geochron Laboratory-Krueger Enterprise Inc., Cambridge, Massachusetts (conventional and AMS, GX-), the IsoTrace Radiocarbon Laboratory, Toronto (AMS, TO-), NOSAMS, Woods Hole Oceanographic Institute (AMS, OS-) and the New Zealand Institute of Geological and Nuclear Sciences, Lower Hutt, New Zealand (AMS, NZA-). We are grateful to reviewers for their constructive and helpful comments.</t>
  </si>
  <si>
    <t>ELSEVIER SCIENCE LONDON</t>
  </si>
  <si>
    <t>84 THEOBALDS RD, LONDON WC1X 8RR, ENGLAND</t>
  </si>
  <si>
    <t>0168-9525</t>
  </si>
  <si>
    <t>1362-4555</t>
  </si>
  <si>
    <t>TRENDS GENET</t>
  </si>
  <si>
    <t>Trends Genet.</t>
  </si>
  <si>
    <t>10.1016/j.tig.2009.09.005</t>
  </si>
  <si>
    <t>Genetics &amp; Heredity</t>
  </si>
  <si>
    <t>518TW</t>
  </si>
  <si>
    <t>WOS:000271717800004</t>
  </si>
  <si>
    <t>Sheremet'ev, SN; Gamalei, YV</t>
  </si>
  <si>
    <t>Sheremet'ev, S. N.; Gamalei, Yu V.</t>
  </si>
  <si>
    <t>Trends of the Herbs Ecological Evolution</t>
  </si>
  <si>
    <t>ZHURNAL OBSHCHEI BIOLOGII</t>
  </si>
  <si>
    <t>Russian</t>
  </si>
  <si>
    <t>GRASS-DOMINATED HABITATS; CHINESE LOESS PLATEAU; ATMOSPHERIC CO2; CARBON ISOTOPES; ANTARCTIC ICE; NORTH-AMERICA; FOSSIL HORSES; GREAT-PLAINS; PALYNOLOGICAL EVIDENCE; VEGETATION EVOLUTION</t>
  </si>
  <si>
    <t>The results of an analytic research show that the evolution of leaf structure and water balance are completely coincident with the global changes of the planet climate and hydrology. Taxic diversity of herbs and herbaceous biomes is a function of the paleoclimate variability and the plant adaptations to it. The correlation between the plant organization and climate changes allow to reconstruct both the climate changes chronicle and the geological ages of plant taxa based on the structure and function of the plant species. Two global trends of ecological evolution can be recognized differing mutually by the composition of herbaceous adaptive types: (a) the evolutionary line of herbs of chilling plains with domination of the plant species with C-3 apoplastic syndrome formed under cold climate condition, and (b) the evolutionary line of herbs of hot plains with domination of plant species with C-4 apoplastic syndrome. Both trends include the monocots and dicots, and both are the results of climate changes in the Cenozoic. C-3 herbs of chilling plains and the steppe and meadow phytocoenoses formed by them arose as an answer to the temperature decrease in the significant areas of high latitudes. The apoplastic syndrome (transfer from symplastic transport of assimilates suppressed by cold to their apoplastic transport) is a diagnostic feature for this group of herbs. The C-4 herbs of hot plains and the savannas, deserts and the saline land plant vegetation are an adaptive answer to iridizations of low latitude areas. The C-4 syndrome (compensation of stomata closure by the mechanism of CO2 concentration in the leaf tissues) is a special character of this group of herbs. Both types of herbaceous biomes come to change forest biomes which were strongly decreased in both areas at low and high latitudes. This tendency is continued in parallel with the climate tendency to the continent dessication and cooling.</t>
  </si>
  <si>
    <t>[Sheremet'ev, S. N.; Gamalei, Yu V.] RAS, VL Komarov Bot Inst, St Petersburg 197376, Russia</t>
  </si>
  <si>
    <t>Russian Academy of Sciences; Komarov Botanical Institute, Russian Academy of Sciences</t>
  </si>
  <si>
    <t>Sheremet'ev, SN (corresponding author), RAS, VL Komarov Bot Inst, Ul Prof Popova 2, St Petersburg 197376, Russia.</t>
  </si>
  <si>
    <t>snsh@nm.ru</t>
  </si>
  <si>
    <t>Sheremetiev, Serge/K-4891-2013</t>
  </si>
  <si>
    <t>Sheremetiev, Serge/0000-0002-0318-6766</t>
  </si>
  <si>
    <t>MEZHDUNARODNAYA KNIGA</t>
  </si>
  <si>
    <t>39 DIMITROVA UL., MOSCOW, 113095, RUSSIA</t>
  </si>
  <si>
    <t>0044-4596</t>
  </si>
  <si>
    <t>ZH OBSHCH BIOL</t>
  </si>
  <si>
    <t>Zhurnal Obshchei Biol.</t>
  </si>
  <si>
    <t>538MB</t>
  </si>
  <si>
    <t>WOS:000273187500002</t>
  </si>
  <si>
    <t>Block, AE; Bell, RE; Studinger, M</t>
  </si>
  <si>
    <t>Block, Adrienne E.; Bell, Robin E.; Studinger, Michael</t>
  </si>
  <si>
    <t>Antarctic crustal thickness from satellite gravity: Implications for the Transantarctic and Gamburtsev Subglacial Mountains</t>
  </si>
  <si>
    <t>Antarctica; crustal thickness model; Moho; Gamburtsev Subglacial Mountains; Transantarctic Mountains; GRACE</t>
  </si>
  <si>
    <t>FREE-AIR GRAVITY; EAST ANTARCTICA; RIFT SYSTEM; GLACIER REGION; ICE STREAM; WEST; BENEATH; ANOMALIES; GEOLOGY; UPLIFT</t>
  </si>
  <si>
    <t>Crustal thickness models are fundamental to understand the tectonic evolution of continents and constrain geodynamic models of their physiographic features. Of particular interest in Antarctica are the crustal thickness variations under the Transantarctic Mountains and Gamburtsev Subglacial Mountains, whose formation mechanisms are still debated. We have used a mean, global gravity field from the Gravity Recovery and Climate Experiment (GRACE) to estimate the depth to the Moho in East and West Antarctica through gravity inversion. We then combined the depth to Moho and known topography to estimate the total crustal thickness. Thick crust is resolved along the full length of the Transantarctic Mountains with a maximum crustal thickness of 46 km predicted near the pole and thinner (similar to 40 km) crust in both northern Victoria Land and under the Pensacola Mountains. Within East Antarctica, the model predicts crust over 40 km thick below the Gamburtsev Subglacial Mountains, which may be the result of a Neoproterozoic suture zone underlying the ice sheet. In addition to addressing long-standing questions about the nature of East Antarctica's major mountain ranges, an improved estimate of crustal thickness variability may improve long-wavelength geodynamic and glaciological models of the continent. (C) 2009 Elsevier B.V. All rights reserved.</t>
  </si>
  <si>
    <t>[Block, Adrienne E.] Columbia Univ, Dept Earth &amp; Environm Sci, Palisades, NY 10964 USA; [Block, Adrienne E.; Bell, Robin E.; Studinger, Michael] Lamont Doherty Earth Observ, Palisades, NY 10964 USA</t>
  </si>
  <si>
    <t>Columbia University; Columbia University</t>
  </si>
  <si>
    <t>Block, AE (corresponding author), 108 Oceanog,61 Route 9W, Palisades, NY 10964 USA.</t>
  </si>
  <si>
    <t>adrienne@ldeo.columbia.edu</t>
  </si>
  <si>
    <t>Studinger, Michael/0000-0003-1265-4741</t>
  </si>
  <si>
    <t>US National Science Foundation's Office of Polar Programs [0338278]; NSF Graduate; LDEO [7304]; Office of Polar Programs (OPP); Directorate For Geosciences [0338278] Funding Source: National Science Foundation</t>
  </si>
  <si>
    <t>US National Science Foundation's Office of Polar Programs(National Science Foundation (NSF)); NSF Graduate(National Science Foundation (NSF)); LDEO; Office of Polar Programs (OPP); Directorate For Geosciences(National Science Foundation (NSF)NSF - Directorate for Geosciences (GEO))</t>
  </si>
  <si>
    <t>Isabella Velicogna is thanked for discussions and help with GRACE data. Garry Karner contributed to this project in the early phase. Funding for this work was provided by the US National Science Foundation's Office of Polar Programs (Award #0338278 to LDEO). A. Block was supported by an NSF Graduate Fellowship for much of this work. LDEO contribution number 7304.</t>
  </si>
  <si>
    <t>OCT 30</t>
  </si>
  <si>
    <t>10.1016/j.epsl.2009.09.022</t>
  </si>
  <si>
    <t>532YX</t>
  </si>
  <si>
    <t>WOS:000272788500020</t>
  </si>
  <si>
    <t>Legrand, M; Preunkert, S; Jourdain, B; Gallée, H; Goutail, F; Weller, R; Savarino, J</t>
  </si>
  <si>
    <t>Legrand, M.; Preunkert, S.; Jourdain, B.; Gallee, H.; Goutail, F.; Weller, R.; Savarino, J.</t>
  </si>
  <si>
    <t>Year-round record of surface ozone at coastal (Dumont d'Urville) and inland (Concordia) sites in East Antarctica</t>
  </si>
  <si>
    <t>SALT SULFATE AEROSOLS; BOUNDARY-LAYER; SOUTH-POLE; ATMOSPHERIC DIMETHYLSULFIDE; NOX EMISSIONS; OH; METHANESULFONATE; REASSESSMENT; OXIDATION; NITROGEN</t>
  </si>
  <si>
    <t>Surface ozone is measured since 2004 at the coastal East Antarctic station of Dumont d'Urville (DDU) and since 2007 at the Concordia station located on the high East Antarctic plateau. Ozone levels at Concordia reach a maximum of 35 ppbv in July and a minimum of 21 ppbv in February. From November to January, sudden increases of the ozone level, up to 15-20 ppbv above average, often take place. They are attributed to local photochemical ozone production as previously seen at the South Pole. The detailed examination of the diurnal ozone record in summer at Concordia suggests a local photochemical ozone production of around 0.2 ppbv h(-1) during the morning. The ozone record at DDU exhibits a maximum of 35 ppbv in July and a minimum of 18 ppbv in January. Mixing ratios at DDU are always higher than those at Neumayer (NM), another coastal Antarctic station. A noticeable difference in the ozone records at the two coastal sites lies in the larger ozone depletion events occurring from July to September at NM compared to DDU, likely due to stronger BrO episodes in relation with a larger sea ice coverage offshore that site. A second difference is the large day-to-day fluctuations which are observed from November to January at DDU but not at NM. That is attributed to a stronger impact at DDU than at NM of air masses coming from the Antarctic plateau. The consequences of such a high oxidizing property of the atmosphere over East Antarctica are discussed with regard to the dimethylsulfide (DMS) chemistry.</t>
  </si>
  <si>
    <t>[Legrand, M.; Preunkert, S.; Jourdain, B.; Gallee, H.; Savarino, J.] CNRS, Lab Glaciol &amp; Geophys Environm, F-38402 St Martin Dheres, France; [Goutail, F.] Inst Pierre Simon Laplace, Serv Aeron, F-75252 Paris, France; [Weller, R.] Alfred Wegener Inst Polar &amp; Marine Res, D-27515 Bremerhaven, Germany</t>
  </si>
  <si>
    <t>Centre National de la Recherche Scientifique (CNRS); Universite Paris Saclay; Centre National de la Recherche Scientifique (CNRS); CNRS - National Institute for Earth Sciences &amp; Astronomy (INSU); Universite Paris Cite; Helmholtz Association; Alfred Wegener Institute, Helmholtz Centre for Polar &amp; Marine Research</t>
  </si>
  <si>
    <t>Legrand, M (corresponding author), CNRS, Lab Glaciol &amp; Geophys Environm, 54 Rue Molieres,BP 96, F-38402 St Martin Dheres, France.</t>
  </si>
  <si>
    <t>michel.legrand@lgge.obs.ujf-grenoble.fr</t>
  </si>
  <si>
    <t>Legrand, Michel/AAU-4678-2020; Savarino, Joel/H-9730-2012</t>
  </si>
  <si>
    <t>Savarino, Joel/0000-0002-6708-9623</t>
  </si>
  <si>
    <t>Institut Paul Emile Victor (IPEV) [903/904, 414]; Centre National de la Recherche Scientifique (CNRS-INSU)</t>
  </si>
  <si>
    <t>Institut Paul Emile Victor (IPEV); Centre National de la Recherche Scientifique (CNRS-INSU)(Centre National de la Recherche Scientifique (CNRS))</t>
  </si>
  <si>
    <t>National financial support and field logistic supplies for over winter and summer campaigns were provided by Institut Paul Emile Victor (IPEV) at Concordia and Dumont d'Urville within the French programs 903/904 and 414, respectively. This work was also partly funded by the Centre National de la Recherche Scientifique (CNRS-INSU) within the program LEFE-CHAT. The authors gratefully acknowledge the Air Resources Laboratory (ARL) for the provision of the HYSPLIT transport and dispersion model on READY website (http://www.arl.noaa.gov/ready.html) used in this publication and the Automatic Weather Station Project run by Charles R. Stearns at the University of Wisconsin-Madison which is funded by the National Science Foundation of the United States of America for meteorological parameters for Concordia. We also thank Meteo-France, which provided us with meteorological data for Dumont d'Urville. Finally, the authors would like to thank the three anonymous reviewers and an associate editor of the journal for their helpful comments on the manuscript.</t>
  </si>
  <si>
    <t>D20306</t>
  </si>
  <si>
    <t>10.1029/2008JD011667</t>
  </si>
  <si>
    <t>513JJ</t>
  </si>
  <si>
    <t>Green Published, Green Submitted, Bronze</t>
  </si>
  <si>
    <t>WOS:000271318200003</t>
  </si>
  <si>
    <t>Thomas, ER; Bracegirdle, TJ</t>
  </si>
  <si>
    <t>Thomas, E. R.; Bracegirdle, T. J.</t>
  </si>
  <si>
    <t>Improving ice core interpretation using in situ and reanalysis data</t>
  </si>
  <si>
    <t>WESTERN ANTARCTIC PENINSULA; 8 GLACIAL CYCLES; SOUTHERN-HEMISPHERE; CLIMATE VARIABILITY; ANNULAR MODE; PRECIPITATION; SEA; ISOTOPES; ERA-40; TRENDS</t>
  </si>
  <si>
    <t>Back trajectory analysis, provided by the British Atmospheric Data Centre using meteorological parameters from the European Centre for Medium-Range Weather Forecasts (ECMWF) reanalysis ERA-40 (1980-2001) and operational analysis (2002-2006), is used to investigate transport pathways and source regions of climate proxies preserved in a new ice core (Gomez) from the southwestern Antarctic Peninsula. The ECMWF data are compared with automatic weather station data and ice core annual accumulation records to demonstrate that the ECMWF data capture a large proportion of the annual and subseasonal precipitation variability at the site. The back trajectories reveal that precipitation preserved in the ice core accumulation record, and hence climate proxies contained therein, originate from the low-pressure systems from the Bellingshausen Sea transported via circumpolar westerly winds. Hence, precipitation-dependent ice core proxies, such as isotopic composition, will be influenced by both localized sea ice extent and large-scale circulation changes, such as the Southern Annular Mode. Sea ice proxies from the ice core are expected to be dominated by sea ice extent in the Bellingshausen Sea but also influenced by sea ice in the Weddell Sea, with a small proportion of air mass trajectories originating from this region during the summer. Comparison with other ice core sites reveals a stronger influence of easterly transport at more northerly locations, thus explaining the observed differences in snow accumulation records between ice cores and the poor correlation with instrumental records at these sites.</t>
  </si>
  <si>
    <t>[Thomas, E. R.; Bracegirdle, T. J.] British Antarctic Survey, Nat Environm Res Council, Cambridge CB3 0ET, England</t>
  </si>
  <si>
    <t>Thomas, ER (corresponding author), British Antarctic Survey, Nat Environm Res Council, Madingley Rd, Cambridge CB3 0ET, England.</t>
  </si>
  <si>
    <t>lith@bas.ac.uk</t>
  </si>
  <si>
    <t>Bracegirdle, Tom/AAD-6060-2020; Thomas, Elizabeth Ruth/ADF-3660-2022</t>
  </si>
  <si>
    <t>Thomas, Elizabeth Ruth/0000-0002-3010-6493; Bracegirdle, Thomas/0000-0002-8868-4739</t>
  </si>
  <si>
    <t>U. K. Natural Environment Research Council; Natural Environment Research Council [bas0100023] Funding Source: researchfish; NERC [bas0100023] Funding Source: UKRI</t>
  </si>
  <si>
    <t>U. 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</si>
  <si>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Thanks to Robert Arthern and Andy Rankin for the AWS and shallow ice core (GZ05) data and to Andrew Orr, John Turner, and John King for valuable comments and advice. Thanks to Nicole van Lipzig for providing the RACMO14 data and to two anonymous reviewers for valuable suggestions. This work was funded by the U. K. Natural Environment Research Council using data provided by ECMWF and the BADC trajectory service, available at http://badc.nerc.ac.uk/data/ecmwf-e40.</t>
  </si>
  <si>
    <t>OCT 28</t>
  </si>
  <si>
    <t>D20116</t>
  </si>
  <si>
    <t>10.1029/2009JD012263</t>
  </si>
  <si>
    <t>513IW</t>
  </si>
  <si>
    <t>WOS:000271316900004</t>
  </si>
  <si>
    <t>Dulaiova, H; Ardelan, MV; Henderson, PB; Charette, MA</t>
  </si>
  <si>
    <t>Dulaiova, H.; Ardelan, M. V.; Henderson, P. B.; Charette, M. A.</t>
  </si>
  <si>
    <t>Shelf-derived iron inputs drive biological productivity in the southern Drake Passage</t>
  </si>
  <si>
    <t>ANTARCTIC CIRCUMPOLAR CURRENT; PARTICULATE ORGANIC-CARBON; RADIUM ISOTOPES; DISSOLVED IRON; PHYTOPLANKTON BLOOM; WORLD OCEAN; BRANSFIELD STRAIT; WATER MASSES; SEA; FE</t>
  </si>
  <si>
    <t>In the Southern Ocean near the Antarctic Peninsula, Antarctic Circumpolar Current (ACC) fronts interact with shelf waters facilitating lateral transport of shelf-derived components such as iron into high-nutrient offshore regions. To trace these shelf-derived components and estimate lateral mixing rates of shelf water, we used naturally occurring radium isotopes. Short-lived radium isotopes were used to quantify the rates of shelf water entrainment while Fe/(228) Ra ratios were used to calculate the Fe flux. In the summer of 2006 we found rapid mixing and significant lateral iron export, namely, a dissolved iron flux of 1.1 x 10(5) mol d(-1) and total acid leachable iron flux of 1.1 x 10(6) mol d(-1) all of which is transported in the mixed layer from the shelf region offshore. This dissolved iron flux is significant, especially considering that the bloom observed in the offshore region (0.5-2 mg chl a m(-3)) had an iron demand of 1.1 to 4 x 10(5) mol Fe. Net vertical export fluxes of particulate Fe derived from Th-234/U-238 disequilibrium and Fe/Th-234 ratios accounted for only about 25% of the dissolved iron flux. On the other hand, vertical upward mixing of iron rich deeper waters provided only 7% of the lateral dissolved iron flux. We found that similarly to other studies in iron-fertilized regions of the Southern Ocean, lateral fluxes overwhelm vertical inputs and vertical export from the water column and support significant phytoplankton blooms in the offshore regions of the Drake Passage.</t>
  </si>
  <si>
    <t>[Dulaiova, H.; Henderson, P. B.; Charette, M. A.] Woods Hole Oceanog Inst, Dept Marine Chem &amp; Geochem, Woods Hole, MA 02543 USA; [Ardelan, M. V.] Norwegian Univ Sci &amp; Technol, Dept Chem, NO-7491 Trondheim, Norway</t>
  </si>
  <si>
    <t>Woods Hole Oceanographic Institution; Norwegian University of Science &amp; Technology (NTNU)</t>
  </si>
  <si>
    <t>Dulaiova, H (corresponding author), Univ Hawaii, Dept Geol &amp; Geophys, Honolulu, HI 96822 USA.</t>
  </si>
  <si>
    <t>hdulaiov@hawaii.edu</t>
  </si>
  <si>
    <t>Dulai, Henrietta/AAY-9632-2020; Ardelan, Murat V./J-6492-2013; Charette, Matthew/I-9495-2012</t>
  </si>
  <si>
    <t>Dulai, Henrietta/0000-0001-5970-1483;</t>
  </si>
  <si>
    <t>OCT 27</t>
  </si>
  <si>
    <t>GB4014</t>
  </si>
  <si>
    <t>10.1029/2008GB003406</t>
  </si>
  <si>
    <t>513ID</t>
  </si>
  <si>
    <t>WOS:000271315000001</t>
  </si>
  <si>
    <t>Ray, D; Banerjee, R; Iyer, SD; Mukhopadhyay, S</t>
  </si>
  <si>
    <t>Ray, Dwijesh; Banerjee, Ranadip; Iyer, Sridhar D.; Mukhopadhyay, Subir</t>
  </si>
  <si>
    <t>Evidences for seawater-rock hydrothermal interaction in the serpentinites from Northern Central Indian Ridge</t>
  </si>
  <si>
    <t>Hydrothermal alteration; mid-oceanic ridge; Northern Central Indian Ridge; serpentinites; seawater-rock interaction</t>
  </si>
  <si>
    <t>MID-ATLANTIC RIDGE; ABYSSAL PERIDOTITES; ULTRAMAFIC ROCKS; GEOCHEMISTRY; OCEAN; CRUST; ENVIRONMENTS; COMPLEXES; EVOLUTION; SEDIMENT</t>
  </si>
  <si>
    <t>Serpentinites and serpentinized harzburgites were collected from a ridge-transform intersection at 6 degrees 39'S-68 degrees 19'E from the Northern Central Indian Ridge. The degree of serpentinization is extensive and varies from 90 to 100%. Olivine and orthopyroxene are largely pseudomorphed to lizardite-chrysotile 'mesh' and 'bastite' respectively. Numerous serpentine vein network associated with clusters of magnetite are also present. On the basis of mineralogical paragenesis, mineral chemistry and bulk rock analyses, we infer that the present serpentinites might have formed due to the interaction of harzburgites and seawater at a low temperature. Additionally, positive Eu anomaly, higher La/Sm and low Nb/La ratios suggest substantial hydrothermal input during the onset of serpentinization.</t>
  </si>
  <si>
    <t>[Ray, Dwijesh] Natl Ctr Antarctic &amp; Ocean Res, Vasco Da Gama 403804, Goa, India; [Banerjee, Ranadip; Iyer, Sridhar D.] CSIR, Natl Inst Oceanog, Panaji 403004, Goa, India; [Mukhopadhyay, Subir] Jadavpur Univ, Dept Geol Sci, Kolkata 700032, India</t>
  </si>
  <si>
    <t>Ministry of Earth Sciences (MoES) - India; National Centre for Polar and Ocean Research (NCPOR); Council of Scientific &amp; Industrial Research (CSIR) - India; CSIR - National Institute of Oceanography (NIO); Jadavpur University</t>
  </si>
  <si>
    <t>Ray, D (corresponding author), Natl Ctr Antarctic &amp; Ocean Res, Vasco Da Gama 403804, Goa, India.</t>
  </si>
  <si>
    <t>dwijesh@rediffmail.com</t>
  </si>
  <si>
    <t>Iyer, Sridhar/0000-0001-7744-3027</t>
  </si>
  <si>
    <t>ONR; CSIR Network Programme on Indian Ocean; Department of Ocean Development, New Delhi; Senior Research Fellowship; NIO [4617]</t>
  </si>
  <si>
    <t>ONR(Office of Naval Research); CSIR Network Programme on Indian Ocean(Council of Scientific &amp; Industrial Research (CSIR) - India); Department of Ocean Development, New Delhi; Senior Research Fellowship; NIO</t>
  </si>
  <si>
    <t>This research is partly funded by ONR grant and CSIR Network Programme on Indian Ocean ridges. Ship time was provided by the Department of Ocean Development, New Delhi. We appreciate the help extended by the Captain and crew members onboard ORV Sagar Kanya and other colleagues during the sampling operations. D. R. thanks CSIR, New Delhi, for financial support in the form of a Senior Research Fellowship. We thank an anonymous reviewer for valuable suggestions. This is NIO contribution no. 4617.</t>
  </si>
  <si>
    <t>OCT 25</t>
  </si>
  <si>
    <t>515OC</t>
  </si>
  <si>
    <t>WOS:000271480700026</t>
  </si>
  <si>
    <t>Karlsson, B; Randall, CE; Benze, S; Mills, M; Harvey, VL; Bailey, SM; Russell, JM</t>
  </si>
  <si>
    <t>Karlsson, B.; Randall, C. E.; Benze, S.; Mills, M.; Harvey, V. L.; Bailey, S. M.; Russell, J. M., III</t>
  </si>
  <si>
    <t>Intra-seasonal variability of polar mesospheric clouds due to inter-hemispheric coupling</t>
  </si>
  <si>
    <t>GRAVITY-WAVE; ICE</t>
  </si>
  <si>
    <t>Polar mesospheric cloud (PMC) observations have revealed that interannual variability near the polar summer mesopause can be forced by planetary wave activity in the winter stratosphere. We use data from the Aeronomy of Ice in the Mesosphere (AIM) satellite to investigate coupling between the Arctic winter stratosphere and PMC variability in the Antarctic summer of 2007-2008. We find a high correlation between zonal mean PMC frequency and Arctic winter zonal mean winds from the Goddard Earth Observing System, as well as Microwave Limb Sounder zonal mean temperatures. The time lag between changes in the winter stratosphere and the connected response in PMCs varies from 2 to 8 days. We suggest that the differences in lag times are related to the evolution of cloud altitudes throughout the season. The results here are the first to show evidence for intra-seasonal PMC variability forced by interhemispheric coupling. Citation: Karlsson, B., C. E. Randall, S. Benze, M. Mills, V. L. Harvey, S. M. Bailey, and J. M. Russell III (2009), Intra-seasonal variability of polar mesospheric clouds due to inter-hemispheric coupling, Geophys. Res. Lett., 36, L20802, doi: 10.1029/2009GL040348.</t>
  </si>
  <si>
    <t>[Karlsson, B.; Randall, C. E.; Benze, S.; Mills, M.; Harvey, V. L.] Univ Colorado, Atmospher &amp; Space Phys Lab, Boulder, CO 80305 USA; [Bailey, S. M.] Virginia Polytech Inst &amp; State Univ, Dept Elect Comp &amp; Engn, Blacksburg, VA 24061 USA; [Russell, J. M., III] Hampton Univ, Ctr Atmospher Sci, Hampton, VA 23668 USA</t>
  </si>
  <si>
    <t>University of Colorado System; University of Colorado Boulder; Virginia Polytechnic Institute &amp; State University; Hampton University</t>
  </si>
  <si>
    <t>Karlsson, B (corresponding author), Univ Colorado, Atmospher &amp; Space Phys Lab, Boulder, CO 80305 USA.</t>
  </si>
  <si>
    <t>bodil.karlsson@lasp.colorado.edu</t>
  </si>
  <si>
    <t>Karlsson, Bodil/AAD-8653-2019; Benze, Susanne/HSH-3450-2023; HARVEY, V LYNN/M-3995-2017; RANDALL, CORA/L-8760-2014; Mills, Michael/B-5068-2010</t>
  </si>
  <si>
    <t>HARVEY, V LYNN/0000-0002-7928-0804; RANDALL, CORA/0000-0002-4313-4397; Mills, Michael/0000-0002-8054-1346</t>
  </si>
  <si>
    <t>NASA's Small Explorers Program [NAS5-03132]; NSF CEDAR [ATM0737705]</t>
  </si>
  <si>
    <t>NASA's Small Explorers Program(National Aeronautics &amp; Space Administration (NASA)); NSF CEDAR(National Science Foundation (NSF))</t>
  </si>
  <si>
    <t>This work was supported by NASA's Small Explorers Program under contract NAS5-03132 and by NSF CEDAR grant ATM0737705.</t>
  </si>
  <si>
    <t>OCT 24</t>
  </si>
  <si>
    <t>L20802</t>
  </si>
  <si>
    <t>10.1029/2009GL040348</t>
  </si>
  <si>
    <t>510YL</t>
  </si>
  <si>
    <t>WOS:000271130200004</t>
  </si>
  <si>
    <t>Thomas, ER; Dennis, PF; Bracegirdle, TJ; Franzke, C</t>
  </si>
  <si>
    <t>Thomas, E. R.; Dennis, P. F.; Bracegirdle, T. J.; Franzke, C.</t>
  </si>
  <si>
    <t>Ice core evidence for significant 100-year regional warming on the Antarctic Peninsula</t>
  </si>
  <si>
    <t>HEMISPHERE ANNULAR MODE; CLIMATE VARIABILITY; TEMPERATURE; PRECIPITATION; OSCILLATION; SURFACE</t>
  </si>
  <si>
    <t>We present a new 150-year, high-resolution, stable isotope record (delta O-18) from the Gomez ice core, drilled on the data sparse south western Antarctic Peninsula, revealing a similar to 2.7 degrees C rise in surface temperatures since the 1950s. The record is highly correlated with satellite-derived temperature reconstructions and instrumental records from Faraday station on the north west coast, thus making it a robust proxy for local and regional temperatures since the 1850s. We conclude that the exceptional 50-year warming, previously only observed in the northern Peninsula, is not just a local phenomena but part of a statistically significant 100-year regional warming trend that began around 1900. A suite of coupled climate models are employed to demonstrate that the 50 and 100 year temperature trends are outside of the expected range of variability from pre-industrial control runs, indicating that the warming is likely the result of external climate forcing. Citation: Thomas, E. R., P. F. Dennis, T. J. Bracegirdle, and C. Franzke (2009), Ice core evidence for significant 100-year regional warming on the Antarctic Peninsula, Geophys. Res. Lett., 36, L20704, doi: 10.1029/2009GL040104.</t>
  </si>
  <si>
    <t>[Thomas, E. R.; Bracegirdle, T. J.; Franzke, C.] British Antarctic Survey, Cambridge CB3 0ET, England; [Dennis, P. F.] Univ E Anglia, Sch Environm Sci, Norwich NR4 7TJ, Norfolk, England</t>
  </si>
  <si>
    <t>UK Research &amp; Innovation (UKRI); Natural Environment Research Council (NERC); NERC British Antarctic Survey; University of East Anglia</t>
  </si>
  <si>
    <t>Thomas, ER (corresponding author), British Antarctic Survey, Madingley Rd, Cambridge CB3 0ET, England.</t>
  </si>
  <si>
    <t>Bracegirdle, Tom/AAD-6060-2020; Thomas, Elizabeth Ruth/ADF-3660-2022; Franzke, Christian/A-6191-2012</t>
  </si>
  <si>
    <t>Thomas, Elizabeth Ruth/0000-0002-3010-6493; Dennis, Paul/0000-0002-0307-4406; Bracegirdle, Thomas/0000-0002-8868-4739; Franzke, Christian/0000-0003-4111-1228</t>
  </si>
  <si>
    <t>Climate Model Diagnosis and Inter-comparison (PCMDI); WCRP's Working Group on Coupled Modelling (WGCM); Office of Science, U. S. Department of Energy; NERC [bas0100023] Funding Source: UKRI; Natural Environment Research Council [bas0100023] Funding Source: researchfish</t>
  </si>
  <si>
    <t>Climate Model Diagnosis and Inter-comparison (PCMDI); WCRP's Working Group on Coupled Modelling (WGCM); Office of Science, U. S. Department of Energy(United States Department of Energy (DOE)); NERC(UK Research &amp; Innovation (UKRI)Natural Environment Research Council (NERC)); Natural Environment Research Council(UK Research &amp; Innovation (UKRI)Natural Environment Research Council (NERC))</t>
  </si>
  <si>
    <t>We would like to thank those who helped in the field and the laboratories and E. Wolff, R. Mulvaney, J. King, J. Turner and two anonymous reviewers for valuable input. We acknowledge the modelling groups for making their simulations available for analysis, the Program for Climate Model Diagnosis and Inter-comparison (PCMDI) for collecting and archiving the CMIP3 model output, and the WCRP's Working Group on Coupled Modelling (WGCM) for organizing the model data analysis activity. The WCRP CMIP3 multimodel data set is supported by the Office of Science, U. S. Department of Energy. We thank C. Hughes for providing the DFA code.</t>
  </si>
  <si>
    <t>L20704</t>
  </si>
  <si>
    <t>10.1029/2009GL040104</t>
  </si>
  <si>
    <t>WOS:000271130200003</t>
  </si>
  <si>
    <t>Höpfner, M; Pitts, MC; Poole, LR</t>
  </si>
  <si>
    <t>Hoepfner, M.; Pitts, M. C.; Poole, L. R.</t>
  </si>
  <si>
    <t>Comparison between CALIPSO and MIPAS observations of polar stratospheric clouds</t>
  </si>
  <si>
    <t>LIMB EMISSION MEASUREMENTS; ACID TRIHYDRATE NAT; LIDAR MEASUREMENTS; WINTER 2002/2003; CIRRUS CLOUDS; AEROSOL; PSCS; MICROPHYSICS; WAVES; ICE</t>
  </si>
  <si>
    <t>Polar stratospheric cloud (PSC) detection, top height, and composition as derived from measurements by the infrared emission limb sounder Michelson Interferometer for Passive Atmospheric Sounding (MIPAS) on Envisat and the Cloud-Aerosol Lidar and Infrared Pathfinder Satellite Observation (CALIPSO) lidar have been compared. The comparisons are based on coincident observations from the 2006 and 2007 Antarctic and the 2006/2007 and 2007/2008 Arctic winters. During the middle of the Antarctic season, very good agreement in common PSC detection (around 90%) has been found. At the beginning and end of the Antarctic PSC season and in the Arctic, the frequency of common PSC detection is generally less (60-70%) which can be explained by cloud inhomogeneity and viewing geometry differences. MIPAS PSC top heights are about 0-2 km lower than CALIPSO top heights with larger offsets at higher altitudes. The negative bias of MIPAS PSC top heights can be modeled under the assumptions of limited horizontal cloud extent and a field-of-view-dependent sensitivity. The comparisons further show a high degree of consistency between PSC composition derived from the fundamentally different classification approaches of the two instruments. Remaining differences can be explained considering the physical limitations of each approach and the definition of composition boundaries within the classification scheme of each instrument.</t>
  </si>
  <si>
    <t>[Hoepfner, M.] Karlsruhe Inst Technol, Inst Meteorol &amp; Climate Res, D-76021 Karlsruhe, Germany; [Pitts, M. C.] NASA, Langley Res Ctr, Hampton, VA 23681 USA; [Poole, L. R.] Sci Syst &amp; Applicat Inc, Hampton, VA 23666 USA</t>
  </si>
  <si>
    <t>Helmholtz Association; Karlsruhe Institute of Technology; National Aeronautics &amp; Space Administration (NASA); NASA Langley Research Center; Science Systems and Applications Inc</t>
  </si>
  <si>
    <t>Höpfner, M (corresponding author), Karlsruhe Inst Technol, Inst Meteorol &amp; Climate Res, Postfach 3640, D-76021 Karlsruhe, Germany.</t>
  </si>
  <si>
    <t>michael.hoepfner@kit.edu; michael.c.pitts@nasa.gov; lamont.r.poole@nasa.gov</t>
  </si>
  <si>
    <t>Hopfner, Michael/A-7255-2013</t>
  </si>
  <si>
    <t>Hopfner, Michael/0000-0002-4174-9531</t>
  </si>
  <si>
    <t>Hal Maring, NASA Radiation Sciences program manager; NASA Headquarters Earth Science Division; NASA [NNL07AA00C]</t>
  </si>
  <si>
    <t>Hal Maring, NASA Radiation Sciences program manager(National Aeronautics &amp; Space Administration (NASA)); NASA Headquarters Earth Science Division(National Aeronautics &amp; Space Administration (NASA)); NASA(National Aeronautics &amp; Space Administration (NASA))</t>
  </si>
  <si>
    <t>We thank the European Space Agency for providing MIPAS spectra. CALIPSO PSC research is supported by Hal Maring, NASA Radiation Sciences program manager, and the NASA Headquarters Earth Science Division. Support for L. Poole is provided under NASA contract NNL07AA00C.</t>
  </si>
  <si>
    <t>D00H05</t>
  </si>
  <si>
    <t>10.1029/2009JD012114</t>
  </si>
  <si>
    <t>510ZA</t>
  </si>
  <si>
    <t>WOS:000271131800001</t>
  </si>
  <si>
    <t>Obbard, RW; Roscoe, HK; Wolff, EW; Atkinson, HM</t>
  </si>
  <si>
    <t>Obbard, Rachel W.; Roscoe, Howard K.; Wolff, Eric W.; Atkinson, Helen M.</t>
  </si>
  <si>
    <t>Frost flower surface area and chemistry as a function of salinity and temperature</t>
  </si>
  <si>
    <t>OZONE DEPLETION EVENTS; POLAR SUNRISE; SNOW CRYSTALS; SEA-ICE; ARCTIC ATMOSPHERE; RIVER PLUME; ADSORPTION; GROWTH; LAYER; DESTRUCTION</t>
  </si>
  <si>
    <t>Frost flowers play a role in air-ice exchange in polar regions, contribute to tropospheric halogen chemistry, and affect ice core interpretation. Frost flowers were observed and collected on the Hudson Bay in March 2008. Their specific surface area (SSA) was measured using CH4 adsorption at 77 K. The Brunauer-Emmett-Teller analysis produced SSA values between 63 and 299 cm(2) g(-1) (mean 162 cm(2) g(-1), accuracy and reproducibility 5%). This range is very similar to that of Domine et al. (2005) but our correlation of results with growth time and chemistry reveals the factors responsible for the wide range of SSA values. Longer growth time leads to higher SSA at low temperatures, so frost flowers are more likely to affect total surface area during colder periods. Chemical analysis was performed on frost flower melt and on local seawater and brine. We examined salinity and sulfate and bromide enrichment. The relationship between growth time and salinity varied spatially because of a freshwater plume from a nearby river and of tidal effects at the coast. Enrichment of certain ions in frost flowers, which affects their contribution to atmospheric chemistry, depends heavily on location, growth time, and temperature. No significant enrichment or depletion of bromide was detected. The low surface area index of frost flowers plus their lack of destruction in wind suggest their direct effect on sea salt mobilization and halogen chemistry may be less than previously thought, but their ability to salinate wind-blown snow may increase their indirect importance.</t>
  </si>
  <si>
    <t>[Obbard, Rachel W.; Roscoe, Howard K.; Wolff, Eric W.; Atkinson, Helen M.] British Antarctic Survey, Cambridge CB3 0ET, England</t>
  </si>
  <si>
    <t>Obbard, RW (corresponding author), British Antarctic Survey, Madingley Rd, Cambridge CB3 0ET, England.</t>
  </si>
  <si>
    <t>hkro@bas.ac.uk</t>
  </si>
  <si>
    <t>Wolff, Eric W/D-7925-2014</t>
  </si>
  <si>
    <t>Wolff, Eric W/0000-0002-5914-8531</t>
  </si>
  <si>
    <t>NERC [NE/D006104/1]; Natural Environment Research Council [bas0100024, NE/D005914/1, NE/D006287/1, NE/D006104/1] Funding Source: researchfish; NERC [NE/D006104/1, NE/D005914/1, NE/D006287/1, bas0100024] Funding Source: UKRI</t>
  </si>
  <si>
    <t>This work was funded under NERC grant NE/D006104/1, Impact of combined iodine and bromine release on the Arctic atmosphere (COBRA): An Arctic IPY consortium.'' The authors would like to thank Florent Domine and Jean-Charles Gallet of the Laboratoire de Glaciologie et Geophysique de l'Environnement (LGGE) in France for hosting a visit and providing training on the BET method. The volumetric BET apparatus at the British Antarctic Survey was built on the basis of observations made of the apparatus at LGGE and with the additional advice of Michael Kerbrat of the Paul Scherrer Institute in Switzerland. The authors also wish to acknowledge their partners at the University of Leeds and the University of York for their logistical assistance before and during the field work.</t>
  </si>
  <si>
    <t>D20305</t>
  </si>
  <si>
    <t>10.1029/2009JD012481</t>
  </si>
  <si>
    <t>WOS:000271131800003</t>
  </si>
  <si>
    <t>Ford, EAK; Hibbins, RE; Jarvis, MJ</t>
  </si>
  <si>
    <t>Ford, E. A. K.; Hibbins, R. E.; Jarvis, M. J.</t>
  </si>
  <si>
    <t>QBO effects on Antarctic mesospheric winds and polar vortex dynamics</t>
  </si>
  <si>
    <t>IMAGING DOPPLER INTERFEROMETER; QUASI-BIENNIAL OSCILLATION; MEAN WINDS; LOWER THERMOSPHERE; HALLEY; TIDES; TEMPERATURE; VARIABILITY; CIRCULATION; MODULATION</t>
  </si>
  <si>
    <t>A dynamical link is demonstrated between the equatorial quasi-biennial oscillation (QBO) and high-latitude mesospheric zonal winds recorded by an Imaging Doppler Interferometer (IDI) at Halley, Antarctica. Above similar to 80 km eastward winds in winter (an extension of the polar vortex into the mesosphere) are strengthened under easterly 50 hPa QBO conditions. This is similar to the Holton-Tan effect in the stratosphere but working in opposition. The weak winter time zonal winds are shown to differ by up to 2.6 m/s dependent on QBO phase. In spring, zonal winds are most strongly correlated with the equatorial 25 hPa QBO and are significantly more westerly in November, an extension of the QBO response in the stratosphere below. It is suggested that QBO modulation of the vortex winds in the Antarctic mesosphere is dependent on planetary-wave activity from the Antarctic in winter and Arctic in spring. Citation: Ford, E. A. K., R. E. Hibbins, and M. J. Jarvis (2009), QBO effects on Antarctic mesospheric winds and polar vortex dynamics, Geophys. Res. Lett., 36, L20801, doi:10.1029/2009GL039848.</t>
  </si>
  <si>
    <t>[Ford, E. A. K.; Hibbins, R. E.; Jarvis, M. J.] British Antarctic Survey, Cambridge CB3 0ET, England</t>
  </si>
  <si>
    <t>Ford, EAK (corresponding author), British Antarctic Survey, Madingley Rd, Cambridge CB3 0ET, England.</t>
  </si>
  <si>
    <t>eakf@bas.ac.uk</t>
  </si>
  <si>
    <t>Hibbins, Robert/0000-0002-6867-2255</t>
  </si>
  <si>
    <t>UK Natural Environment Research Council [NE/D002753/1]; NERC [bas0100023, NE/D002753/1] Funding Source: UKRI; Natural Environment Research Council [bas0100023, NE/D002753/1]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</si>
  <si>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</si>
  <si>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under the UK Natural Environment Research Council consortium grant SOLCLI (NE/D002753/1). The engineers and data managers at the British Antarctic Survey are thanked for the maintenance of the IDI. QBO data are courtesy of the National Centers for Environmental Prediction (NCEP).</t>
  </si>
  <si>
    <t>OCT 23</t>
  </si>
  <si>
    <t>L20801</t>
  </si>
  <si>
    <t>10.1029/2009GL039848</t>
  </si>
  <si>
    <t>510YI</t>
  </si>
  <si>
    <t>WOS:000271129900003</t>
  </si>
  <si>
    <t>Pfahl, S; Wernli, H</t>
  </si>
  <si>
    <t>Pfahl, Stephan; Wernli, Heini</t>
  </si>
  <si>
    <t>Lagrangian simulations of stable isotopes in water vapor: An evaluation of nonequilibrium fractionation in the Craig-Gordon model</t>
  </si>
  <si>
    <t>GENERAL-CIRCULATION MODEL; BULK PARAMETERIZATION; MEDITERRANEAN SEA; HYDROGEN ISOTOPES; DEUTERIUM-EXCESS; ANTARCTIC SNOW; EVAPORATION; PRECIPITATION; HEAT; TEMPERATURE</t>
  </si>
  <si>
    <t>The Craig-Gordon model is the basis for the parameterization of water isotope fractionation during evaporation from the ocean in many atmospheric isotope models. Its exact formulation (e.g., with respect to the nonequilibrium fractionation factor k) is mainly based on theoretical considerations and not very well constrained by observations. This study addresses this issue by combining a recently developed Lagrangian moisture source analysis with a Craig-Gordon fractionation parameterization for the identified evaporation events in order to model isotope ratios in water vapor. This technique is applied to 45 measurement days of isotopes in water vapor at Rehovot (Israel) during the years 2001-2006. A comparison of the simulated deuterium excess with the measurements reveals that a much better agreement can be achieved using a wind speed independent formulation of k instead of the classical parameterization introduced by Merlivat and Jouzel, which is widely applied in isotope GCMs. The numerical values of k that lead to the best agreement of simulated and observed deuterium excess (k(H218O) = 0.9925, k(HDO) = 0.9961) can be shown to be consistent with data from other studies. In future research, it should be tested if this empirically derived, wind speed independent parameterization also leads to an improvement of the performance of more complex models, including GCMs, in modeling deuterium excess.</t>
  </si>
  <si>
    <t>[Pfahl, Stephan; Wernli, Heini] Johannes Gutenberg Univ Mainz, Inst Atmospher Phys, Earth Syst Sci Res Ctr, D-55099 Mainz, Germany</t>
  </si>
  <si>
    <t>Johannes Gutenberg University of Mainz</t>
  </si>
  <si>
    <t>Pfahl, S (corresponding author), Johannes Gutenberg Univ Mainz, Inst Atmospher Phys, Earth Syst Sci Res Ctr, Becherweg 21, D-55099 Mainz, Germany.</t>
  </si>
  <si>
    <t>pfahl@uni-mainz.de</t>
  </si>
  <si>
    <t>Pfahl, Stephan/G-4194-2014; Wernli, Heini/F-1099-2016</t>
  </si>
  <si>
    <t>Wernli, Heini/0000-0001-9674-4837</t>
  </si>
  <si>
    <t>Earth System Science Research Centre</t>
  </si>
  <si>
    <t>This study was partly funded by the Earth System Science Research Centre Geocycles'' (Geocycles publication 625). We thank Dan Yakir, Ruth Ben-Mair and Joel Gat from the Weizmann Institute of Science for providing the isotope data. In addition, we are grateful to Kei Yoshimura (UC San Diego) for allowing us to use the results from his IsoGSM simulations. We thank Harald Sodemann for helpful comments on the manuscript. Furthermore, we are grateful to three anonymous reviewers for their constructive comments that helped us to improve the manuscript. The German Weather Service DWD is acknowledged for providing access to ECMWF analysis data. Some of the analyses and graphics were produced using the software package R. This study is part of the first author's Ph. D. thesis.</t>
  </si>
  <si>
    <t>D20108</t>
  </si>
  <si>
    <t>10.1029/2009JD012054</t>
  </si>
  <si>
    <t>510YZ</t>
  </si>
  <si>
    <t>WOS:000271131700003</t>
  </si>
  <si>
    <t>Sísa, M; Pla, D; Altuna, M; Francesch, A; Cuevas, C; Albericio, F; Alvarez, M</t>
  </si>
  <si>
    <t>Sisa, Miroslav; Pla, Daniel; Altuna, Marta; Francesch, Andres; Cuevas, Carmen; Albericio, Fernando; Alvarez, Mercedes</t>
  </si>
  <si>
    <t>Total Synthesis and Antiproliferative Activity Screening of (±)-Aplicyanins A, B and E and Related Analogues</t>
  </si>
  <si>
    <t>JOURNAL OF MEDICINAL CHEMISTRY</t>
  </si>
  <si>
    <t>MARINE NATURAL-PRODUCTS; CYTOTOXIC BROMOINDOLE DERIVATIVES; SPONGE KIRKPATRICKIA-VARIALOSA; ANTARCTIC SPONGE; DISCODERMIA-POLYDISCUS; ALKALOIDS; PYRIMIDINES; CHEMISTRY; ACCESS</t>
  </si>
  <si>
    <t>The first total synthesis of the indole alkaloids (+/-)-aplicyanins A, B, and E, plus 17 analogues, all in racemic form, is reported. Modifications to the parent compound included changing the number of bromine substituents on the indole, the nature of the substituents on the indole nitrogen (H, Me, or OMe), and/or the oxidation level of the heterocyclic core tetrahydropyrimidine. Each compound was screened against three human tumor cell lines, and 14 of the newly synthesized compounds showed considerable cytotoxicity. The assay results were used to establish structure-activity relationships. These results suggest that the presence of the bromine at position 5 of the indole is critical to activity, as well as the acetyl group on the imine nitrogen does in some compounds.</t>
  </si>
  <si>
    <t>[Sisa, Miroslav; Pla, Daniel; Altuna, Marta; Albericio, Fernando; Alvarez, Mercedes] Univ Barcelona, Inst Res Biomed, E-08028 Barcelona, Spain; [Pla, Daniel; Albericio, Fernando; Alvarez, Mercedes] CIBER BBN Networking Ctr Bioengn Biomat &amp; Nanomed, E-08028 Barcelona, Spain; [Francesch, Andres; Cuevas, Carmen] Pharma Mar SA, E-28770 Madrid, Spain; [Albericio, Fernando] Univ Barcelona, Dept Organ Chem, E-08028 Barcelona, Spain; [Alvarez, Mercedes] Univ Barcelona, Fac Pharm, Organ Chem Lab, E-08028 Barcelona, Spain</t>
  </si>
  <si>
    <t>University of Barcelona; Barcelona Institute of Science &amp; Technology; Institute for Research in Biomedicine - IRB Barcelona; CIBER - Centro de Investigacion Biomedica en Red; CIBERBBN; PharmaMar; University of Barcelona; University of Barcelona</t>
  </si>
  <si>
    <t>Albericio, F (corresponding author), Univ Barcelona, Inst Res Biomed, Barcelona Sci Pk,Baldiri Reixac 10, E-08028 Barcelona, Spain.</t>
  </si>
  <si>
    <t>mercedes.alvarez@irbbarcelona.org</t>
  </si>
  <si>
    <t>Pla, Daniel/J-3110-2014; Sisa, Miroslav/E-6803-2015; Albericio, Fernando/AEN-8081-2022; Pla, Daniel/Y-6778-2019; Albericio, Fernando/B-4383-2013</t>
  </si>
  <si>
    <t>Pla, Daniel/0000-0002-8703-8778; Pla, Daniel/0000-0002-8703-8778; Albericio, Fernando/0000-0002-8946-0462; Francesch, Andres/0000-0002-5928-9983</t>
  </si>
  <si>
    <t>CICYT [BQU 2006-03794]; Generalitat de Catalunya; Barcelona Science Park</t>
  </si>
  <si>
    <t>CICYT(Consejo Interinstitucional de Ciencia y Tecnologia (CICYT)Spanish Government); Generalitat de Catalunya(Generalitat de Catalunya); Barcelona Science Park</t>
  </si>
  <si>
    <t>This study was partially supported by CICYT (grant BQU 2006-03794), Generalitat de Catalunya, and the Barcelona Science Park.</t>
  </si>
  <si>
    <t>0022-2623</t>
  </si>
  <si>
    <t>1520-4804</t>
  </si>
  <si>
    <t>J MED CHEM</t>
  </si>
  <si>
    <t>J. Med. Chem.</t>
  </si>
  <si>
    <t>OCT 22</t>
  </si>
  <si>
    <t>10.1021/jm900544z</t>
  </si>
  <si>
    <t>Chemistry, Medicinal</t>
  </si>
  <si>
    <t>Science Citation Index Expanded (SCI-EXPANDED); Index Chemicus (IC); Current Chemical Reactions (CCR-EXPANDED)</t>
  </si>
  <si>
    <t>Pharmacology &amp; Pharmacy</t>
  </si>
  <si>
    <t>505EE</t>
  </si>
  <si>
    <t>WOS:000270671200008</t>
  </si>
  <si>
    <t>Lemarchand, D</t>
  </si>
  <si>
    <t>Lemarchand, Damien</t>
  </si>
  <si>
    <t>CLIMATE CHANGE Early survival of Antarctic ice</t>
  </si>
  <si>
    <t>BORON ISOTOPIC COMPOSITION; SEA; PH; GLACIATION; SEAWATER; RECORD</t>
  </si>
  <si>
    <t>EOST UdS, CNRS, UMR 7517, Lab Hydrol &amp; Geochim Strasbourg, F-67084 Strasbourg, France</t>
  </si>
  <si>
    <t>Centre National de la Recherche Scientifique (CNRS); CNRS - National Institute for Earth Sciences &amp; Astronomy (INSU); Universites de Strasbourg Etablissements Associes; Universite de Strasbourg</t>
  </si>
  <si>
    <t>Lemarchand, D (corresponding author), EOST UdS, CNRS, UMR 7517, Lab Hydrol &amp; Geochim Strasbourg, F-67084 Strasbourg, France.</t>
  </si>
  <si>
    <t>lemarcha@unistra.fr</t>
  </si>
  <si>
    <t>Lemarchand, Damien/0000-0002-3610-0113</t>
  </si>
  <si>
    <t>10.1038/4611065a</t>
  </si>
  <si>
    <t>509BU</t>
  </si>
  <si>
    <t>WOS:000270987600027</t>
  </si>
  <si>
    <t>Pearson, PN; Foster, GL; Wade, BS</t>
  </si>
  <si>
    <t>Pearson, Paul N.; Foster, Gavin L.; Wade, Bridget S.</t>
  </si>
  <si>
    <t>Atmospheric carbon dioxide through the Eocene-Oligocene climate transition</t>
  </si>
  <si>
    <t>BORON ISOTOPE; ANTARCTIC GLACIATION; SEAWATER; EVOLUTION; CYCLE; SEA; CALIBRATION; GREENHOUSE; BOUNDARY; RECORD</t>
  </si>
  <si>
    <t>Geological and geochemical evidence(1-3) indicates that the Antarctic ice sheet formed during the Eocene-Oligocene transition(4), 33.5-34.0 million years ago. Modelling studies(5,6) suggest that such ice-sheet formation might have been triggered when atmospheric carbon dioxide levels (p(CO2)(atm)) fell below a critical threshold of similar to 750 p. p. m. v., but the timing and magnitude of p(CO2)(atm) relative to the evolution of the ice sheet has remained unclear. Here we use the boron isotope pH proxy(7,8) on exceptionally well-preserved carbonate microfossils from a recently discovered geological section in Tanzania(9,10) to estimate p(CO2)(atm) before, during and after the climate transition. Our data suggest that a reduction in p(CO2)(atm) occurred before the main phase of ice growth, followed by a sharp recovery to pre-transition values and then a more gradual decline. During maximum ice-sheet growth, p(CO2)(atm) was between similar to 450 and similar to 1,500 p. p. m. v., with a central estimate of similar to 760 p. p. m. v. The ice cap survived the period of p(CO2)(atm) recovery, although possibly with some reduction in its volume, implying (as models predict(11)) a nonlinear response to climate forcing during melting. Overall, our results confirm the central role of declining p(CO2)(atm) in the development of the Antarctic ice sheet (in broad agreement with carbon cycle modelling(12)) and help to constrain mechanisms and feedbacks associated with the Earth's biggest climate switch of the past 65 Myr.</t>
  </si>
  <si>
    <t>[Pearson, Paul N.] Cardiff Univ, Sch Earth &amp; Ocean Sci, Cardiff CF10 3YE, Wales; [Foster, Gavin L.] Univ Bristol, Dept Earth Sci, Bristol Isotope Grp, Bristol BS8 1RJ, Avon, England; [Wade, Bridget S.] Texas A&amp;M Univ, Dept Geol &amp; Geophys, College Stn, TX 77843 USA</t>
  </si>
  <si>
    <t>Cardiff University; University of Bristol; Texas A&amp;M University System; Texas A&amp;M University College Station</t>
  </si>
  <si>
    <t>Pearson, PN (corresponding author), Cardiff Univ, Sch Earth &amp; Ocean Sci, Cardiff CF10 3YE, Wales.</t>
  </si>
  <si>
    <t>pearsonp@cardiff.ac.uk</t>
  </si>
  <si>
    <t>Foster, Gavin/CAF-4654-2022; Foster, Gavin/W-5968-2019; Wade, Bridget S/F-4987-2014; Pearson, Paul/B-2276-2009</t>
  </si>
  <si>
    <t>Foster, Gavin/0000-0003-3688-9668; Wade, Bridget S/0000-0002-7245-8614; Pearson, Paul/0000-0003-4628-9818</t>
  </si>
  <si>
    <t>NERC</t>
  </si>
  <si>
    <t>NERC(UK Research &amp; Innovation (UKRI)Natural Environment Research Council (NERC))</t>
  </si>
  <si>
    <t>This work was supported by NERC grants to P. N. P., B. S. W. and G. L. F. We thank the Tanzania Petroleum Development Corporation, the Tanzania Commission for Science and Technology and the Tanzania Drilling Project field team for support. We are grateful to T. Elliott for discussions.</t>
  </si>
  <si>
    <t>U204</t>
  </si>
  <si>
    <t>10.1038/nature08447</t>
  </si>
  <si>
    <t>WOS:000270987600041</t>
  </si>
  <si>
    <t>De Wever, A; Leliaert, F; Verleyen, E; Vanormelingen, P; Van der Gucht, K; Hodgson, DA; Sabbe, K; Vyverman, W</t>
  </si>
  <si>
    <t>De Wever, Aaike; Leliaert, Frederik; Verleyen, Elie; Vanormelingen, Pieter; Van der Gucht, Katleen; Hodgson, Dominic A.; Sabbe, Koen; Vyverman, Wim</t>
  </si>
  <si>
    <t>Hidden levels of phylodiversity in Antarctic green algae: further evidence for the existence of glacial refugia</t>
  </si>
  <si>
    <t>PROCEEDINGS OF THE ROYAL SOCIETY B-BIOLOGICAL SCIENCES</t>
  </si>
  <si>
    <t>Antarctica; biogeography; endemism; glacial refugia; green algae; molecular phylogeny</t>
  </si>
  <si>
    <t>SOUTHERN VICTORIA LAND; MCMURDO DRY VALLEYS; EAST ANTARCTICA; MOLECULAR CLOCK; LARSEMANN HILLS; FRESH-WATER; EUKARYOTE EVOLUTION; DIVERGENCE TIMES; MICROBIAL MATS; ABSOLUTE RATES</t>
  </si>
  <si>
    <t>Recent data revealed that metazoans such as mites and springtails have persisted in Antarctica throughout several glacial-interglacial cycles, which contradicts the existing paradigm that terrestrial life was wiped out by successive glacial events and that the current inhabitants are recent colonizers. We used molecular phylogenetic techniques to study Antarctic microchlorophyte strains isolated from lacustrine habitats from maritime and continental Antarctica. The 14 distinct chlorophycean and trebouxiophycean lineages observed point to a wide phylogenetic diversity of apparently endemic Antarctic lineages at different taxonomic levels. This supports the hypothesis that long-term survival took place in glacial refugia, resulting in a specific Antarctic flora. The majority of the lineages have estimated ages between 17 and 84 Ma and probably diverged from their closest relatives around the time of the opening of Drake Passage (30-45 Ma), while some lineages with longer branch lengths have estimated ages that precede the break-up of Gondwana. The variation in branch length and estimated age points to several independent but rare colonization events.</t>
  </si>
  <si>
    <t>[De Wever, Aaike; Verleyen, Elie; Vanormelingen, Pieter; Van der Gucht, Katleen; Sabbe, Koen; Vyverman, Wim] Univ Ghent, Lab Protistol &amp; Aquat Ecol, B-9000 Ghent, Belgium; [Leliaert, Frederik] Univ Ghent, Phycol Res Grp, Dept Biol, B-9000 Ghent, Belgium; [Hodgson, Dominic A.] British Antarctic Survey, Nat Environm Res Council, Cambridge CB3 0ET, England</t>
  </si>
  <si>
    <t>Ghent University; Ghent University; UK Research &amp; Innovation (UKRI); Natural Environment Research Council (NERC); NERC British Antarctic Survey</t>
  </si>
  <si>
    <t>De Wever, A (corresponding author), Univ Ghent, Lab Protistol &amp; Aquat Ecol, Krijgslaan 281-S8, B-9000 Ghent, Belgium.</t>
  </si>
  <si>
    <t>aaike.dewever@ugent.be</t>
  </si>
  <si>
    <t>Leliaert, Frederik/A-9162-2009; De Wever, Aaike/A-4691-2009; Dasseville, Renaat/B-3561-2010</t>
  </si>
  <si>
    <t>Leliaert, Frederik/0000-0002-4627-7318;</t>
  </si>
  <si>
    <t>EU; Belgian Federal Science Policy (BelSPO); NERC [bas0100024] Funding Source: UKRI; Natural Environment Research Council [bas0100024] Funding Source: researchfish</t>
  </si>
  <si>
    <t>EU(European Union (EU)); Belgian Federal Science Policy (BelSPO)(Belgian Federal Science Policy Office); NERC(UK Research &amp; Innovation (UKRI)Natural Environment Research Council (NERC)); Natural Environment Research Council(UK Research &amp; Innovation (UKRI)Natural Environment Research Council (NERC))</t>
  </si>
  <si>
    <t>This research was funded by the EU project MICROMAT and the Belgian Federal Science Policy (BelSPO) project AMBIO (Antarctic Microbial Biodiversity: the importance of geographical and ecological factors). We thank S. Cousin, K. Vanhoutte and A. De Beer for performing culture work, S. D'Hondt for obtaining sequence data, S. Boitsios for commenting on the manuscript and V. Chepurnov for providing pictures. F. L. and E. V. are post-doctoral research fellows with the Research Foundation-Flanders (FWO). The British Antarctic Survey, the Australian Antarctic Division and the Japanese Antarctic Research Expedition 48 (S. Imura, Hai Kanda and S. Kudoh) are thanked for the logistical support. Two anonymous reviewers are thanked for their valuable comments on an earlier version of the manuscript.</t>
  </si>
  <si>
    <t>0962-8452</t>
  </si>
  <si>
    <t>P R SOC B</t>
  </si>
  <si>
    <t>Proc. R. Soc. B-Biol. Sci.</t>
  </si>
  <si>
    <t>10.1098/rspb.2009.0994</t>
  </si>
  <si>
    <t>498VF</t>
  </si>
  <si>
    <t>WOS:000270172200004</t>
  </si>
  <si>
    <t>Seppälä, A; Randall, CE; Clilverd, MA; Rozanov, E; Rodger, CJ</t>
  </si>
  <si>
    <t>Seppala, A.; Randall, C. E.; Clilverd, M. A.; Rozanov, E.; Rodger, C. J.</t>
  </si>
  <si>
    <t>Geomagnetic activity and polar surface air temperature variability</t>
  </si>
  <si>
    <t>NORTH-ATLANTIC OSCILLATION; ENHANCEMENTS; STRATOSPHERE</t>
  </si>
  <si>
    <t>Here we use the ERA-40 and ECMWF operational surface level air temperature data sets from 1957 to 2006 to examine polar temperature variations during years with different levels of geomagnetic activity, as defined by the A(p) index. Previous modeling work has suggested that NOx produced at high latitudes by energetic particle precipitation can eventually lead to detectable changes in surface air temperatures (SATs). We find that during winter months, polar SATs in years with high A(p) index are different than in years with low A(p) index; the differences are statistically significant at the 2-sigma level and range up to about +/- 4.5 K, depending on location. The temperature differences are larger when years with wintertime Sudden Stratospheric Warmings (SSWs) are excluded. We take into account solar irradiance variations, unlike previous analyses of geomagnetic effects in ERA-40 and operational data. Although we cannot conclusively show that the polar SAT patterns are physically linked by geomagnetic activity, we conclude that geomagnetic activity likely plays a role in modulating wintertime surface air temperatures. We tested our SAT results against variation in the Quasi Biennial Oscillation, the El Nino Southern Oscillation and the Southern Annular Mode. The results suggested that these were not driving the observed polar SAT variability. However, significant uncertainty is introduced by the Northern Annular Mode, and we cannot robustly exclude a chance linkage between sea surface temperature variability and geomagnetic activity.</t>
  </si>
  <si>
    <t>[Seppala, A.; Clilverd, M. A.] British Antarctic Survey, NERC, Div Phys Sci, Cambridge CB3 0ET, England; [Seppala, A.] Finnish Meteorol Inst, FI-00101 Helsinki, Finland; [Randall, C. E.] Univ Colorado, Atmospher &amp; Space Phys Lab, Boulder, CO 80309 USA; [Randall, C. E.] Univ Colorado, Dept Atmospher &amp; Ocean Sci, Boulder, CO 80309 USA; [Rozanov, E.] World Radiat Ctr, Phys Meteorol Observ, CH-7260 Davos, Switzerland; [Rozanov, E.] ETH, Inst Atmospher &amp; Climate Sci, Zurich, Switzerland; [Rodger, C. J.] Univ Otago, Dept Phys, Dunedin 9054, New Zealand</t>
  </si>
  <si>
    <t>UK Research &amp; Innovation (UKRI); Natural Environment Research Council (NERC); NERC British Antarctic Survey; Finnish Meteorological Institute; University of Colorado System; University of Colorado Boulder; University of Colorado System; University of Colorado Boulder; Swiss Federal Institutes of Technology Domain; ETH Zurich; University of Otago</t>
  </si>
  <si>
    <t>Seppälä, A (corresponding author), British Antarctic Survey, NERC, Div Phys Sci, High Cross,Madingley Rd, Cambridge CB3 0ET, England.</t>
  </si>
  <si>
    <t>annika.seppala@fmi.fi</t>
  </si>
  <si>
    <t>Seppälä, Annika/C-8031-2014; Rodger, Craig/A-1501-2011; Rozanov, Eugene/A-9857-2012; Rozanov, Eugene/V-1881-2018; RANDALL, CORA/L-8760-2014</t>
  </si>
  <si>
    <t>Seppälä, Annika/0000-0002-5028-8220; Rozanov, Eugene/0000-0003-0479-4488; Rozanov, Eugene/0000-0003-0479-4488; Rodger, Craig J./0000-0002-6770-2707; RANDALL, CORA/0000-0002-4313-4397</t>
  </si>
  <si>
    <t>EPPIC [125336]; EPPIC-PR [128648]; THERMES [123275]; NASA LWS [NNX06AC05G]; Natural Environment Research Council [bas0100023] Funding Source: researchfish; NERC [bas0100023] Funding Source: UKRI</t>
  </si>
  <si>
    <t>EPPIC; EPPIC-PR; THERMES; NASA LWS(National Aeronautics &amp; Space Administration (NASA)); Natural Environment Research Council(UK Research &amp; Innovation (UKRI)Natural Environment Research Council (NERC)); NERC(UK Research &amp; Innovation (UKRI)Natural Environment Research Council (NERC))</t>
  </si>
  <si>
    <t>We thank the Academy of Finland for their support for the work of AS through the EPPIC (125336), EPPIC-PR (128648), and THERMES (123275) projects. We are grateful for ECMWF for providing the extended ERA-40 data set. A. S. thanks L. Tholix/FMI for valuable help with ERA-40 and L. V. Harvey/UC for useful conversations. C. E. R. was supported by NASA LWS grant NNX06AC05G. The ERA-40 and ECMWF operational data were available through FMI.</t>
  </si>
  <si>
    <t>OCT 21</t>
  </si>
  <si>
    <t>A10312</t>
  </si>
  <si>
    <t>10.1029/2008JA014029</t>
  </si>
  <si>
    <t>510ZV</t>
  </si>
  <si>
    <t>WOS:000271134000001</t>
  </si>
  <si>
    <t>Du, SY; Francisco, JS; Schenter, GK; Garrett, BC</t>
  </si>
  <si>
    <t>Du, Shiyu; Francisco, Joseph S.; Schenter, Gregory K.; Garrett, Bruce C.</t>
  </si>
  <si>
    <t>Interaction of ClO Radical with Liquid Water</t>
  </si>
  <si>
    <t>TRANSFERABLE INTERACTION MODELS; ANTARCTIC OZONE DEPLETION; COUPLED-CLUSTER THEORY; PARTICLE MESH EWALD; MOLECULAR-DYNAMICS; CHLORINE OXIDE; 1ST PRINCIPLES; ELECTRON CORRELATION; AIR/WATER INTERFACE; MASS ACCOMMODATION</t>
  </si>
  <si>
    <t>In the present work, the interaction between ClO radical and liquid water is studied using molecular dynamics simulations. We perform simulations of collisions of a ClO radical with the surface of liquid water to understand the accommodation of ClO by liquid water. Simulation results show that the ClO radical has a higher propensity to be adsorbed on the air-water interface than to be dissolved in the bulk The free energy profile is also calculated, and the solvation free energy and Henry's law constant are determined for ClO as Delta G(s) of -2.9 kcal/mol and 5.5 M/atm, respectively The mechanism of the ClO recombination reaction is also discussed, and the results are consistent with laboratory findings.</t>
  </si>
  <si>
    <t>[Du, Shiyu; Francisco, Joseph S.] Purdue Univ, Dept Chem, W Lafayette, IN 47907 USA; [Du, Shiyu; Francisco, Joseph S.] Purdue Univ, Dept Earth &amp; Atmospher Sci, W Lafayette, IN 47907 USA; [Schenter, Gregory K.; Garrett, Bruce C.] Pacific NW Natl Lab, Fundamental &amp; Computat Sci Directorate, Richland, WA 99352 USA</t>
  </si>
  <si>
    <t>Purdue University System; Purdue University; Purdue University System; Purdue University; United States Department of Energy (DOE); Pacific Northwest National Laboratory</t>
  </si>
  <si>
    <t>Francisco, JS (corresponding author), Purdue Univ, Dept Chem, W Lafayette, IN 47907 USA.</t>
  </si>
  <si>
    <t>francisc@purdue.edu</t>
  </si>
  <si>
    <t>Garrett, Bruce C/F-8516-2011; Francisco, Joseph/JMC-1122-2023; Schenter, Gregory/I-7655-2014</t>
  </si>
  <si>
    <t>Schenter, Gregory/0000-0001-5444-5484</t>
  </si>
  <si>
    <t>Chemical Sciences Division, Office of Basic Energy Sciences, Department of Energy</t>
  </si>
  <si>
    <t>Chemical Sciences Division, Office of Basic Energy Sciences, Department of Energy(United States Department of Energy (DOE))</t>
  </si>
  <si>
    <t>We would like to thank Collin D Wick and Tsun-Mei Chang for their assistance. Work by B C.G and G K.S. was supported by the Chemical Sciences Division, Office of Basic Energy Sciences, Department of Energy. The Pacific Northwest National Laboratory is operated by Battelle for the U.S. Department of Energy.</t>
  </si>
  <si>
    <t>10.1021/ja9033186</t>
  </si>
  <si>
    <t>512SV</t>
  </si>
  <si>
    <t>WOS:000271271800050</t>
  </si>
  <si>
    <t>Kula, J; Tulloch, AJ; Spell, TL; Wells, ML; Zanetti, KA</t>
  </si>
  <si>
    <t>Kula, Joseph; Tulloch, Andy J.; Spell, Terry L.; Wells, Michael L.; Zanetti, Kathleen A.</t>
  </si>
  <si>
    <t>Thermal evolution of the Sisters shear zone, southern New Zealand: Formation of the Great South Basin and onset of Pacific-Antarctic spreading</t>
  </si>
  <si>
    <t>METAMORPHIC CORE COMPLEX; STEWART-ISLAND; DEFORMATION; GEOLOGY; THERMOCHRONOMETRY; GONDWANA; SAMPLES; REGION; MARGIN; QUARTZ</t>
  </si>
  <si>
    <t>The separation of Zealandia from West Antarctica was the final stage in the Cretaceous breakup of the Gondwana Pacific margin. Continental extension resulting in formation of the Great South Basin and thinning of the Campbell Plateau leading to development of the Pacific-Antarctic spreading ridge was partially accommodated along the Sisters shear zone. This east-northeast striking brittle-ductile structure exposed along the southeast coast of Stewart Island, New Zealand, is a greenschist facies extensional shear zone that separates a hanging wall of chloritic, brecciated granites, and undeformed conglomerate from a footwall of mylonitic Carboniferous and Early Cretaceous granites. This complex structure exhibits bivergent kinematics and can be subdivided into a northern and southern segment. The (40)Ar/(39)Ar thermochronology indicates that cooling of the shear zone footwall began at similar to 94 Ma with accelerated cooling over the interval similar to 89-82 Ma. Structural and thermochronological data indicate a spatial and temporal link between the Sisters shear zone, initial sedimentation within the offshore Great South Basin, extension of the Campbell Plateau, and initiation of the Pacific-Antarctic spreading ridge. Citation: Kula, J., A. J. Tulloch, T. L. Spell, M. L. Wells, and K. A. Zanetti (2009), Thermal evolution of the Sisters shear zone, southern New Zealand: Formation of the Great South Basin and onset of Pacific-Antarctic spreading, Tectonics, 28, TC5015, doi:10.1029/2008TC002368.</t>
  </si>
  <si>
    <t>[Kula, Joseph; Spell, Terry L.; Wells, Michael L.; Zanetti, Kathleen A.] Univ Nevada, Dept Geosci, Las Vegas, NV 89154 USA; [Tulloch, Andy J.] GNS Sci, Dunedin, New Zealand</t>
  </si>
  <si>
    <t>Nevada System of Higher Education (NSHE); University of Nevada Las Vegas; GNS Science - New Zealand</t>
  </si>
  <si>
    <t>Kula, J (corresponding author), Syracuse Univ, Dept Earth Sci, Heroy Geol Lab 204, Syracuse, NY 13244 USA.</t>
  </si>
  <si>
    <t>jkula@syr.edu</t>
  </si>
  <si>
    <t>Geological Society of America (GSA) [8027-05, 7720-04]</t>
  </si>
  <si>
    <t>Geological Society of America (GSA)</t>
  </si>
  <si>
    <t>We thank Uwe Ring and Nick Mortimer for valuable discussion. We appreciate reviews on earlier versions of the paper by James Scott, Wanda Taylor, and Rod Metcalf. We are thankful for the detailed editorial reviews provided by two anonymous reviewers that greatly improved the paper. GNS Science provided funding for boat-based fieldwork in southern Stewart Island. Colin and Margaret Hopkins were generous hosts aboard the Aurora Australis. J.K.'s travel was funded by Geological Society of America (GSA) graduate student grants 8027-05 and 7720-04.</t>
  </si>
  <si>
    <t>OCT 20</t>
  </si>
  <si>
    <t>TC5015</t>
  </si>
  <si>
    <t>10.1029/2008TC002368</t>
  </si>
  <si>
    <t>511AI</t>
  </si>
  <si>
    <t>WOS:000271135400001</t>
  </si>
  <si>
    <t>Wang, H; Pinker, RT</t>
  </si>
  <si>
    <t>Wang, H.; Pinker, R. T.</t>
  </si>
  <si>
    <t>Shortwave radiative fluxes from MODIS: Model development and implementation</t>
  </si>
  <si>
    <t>CLOUD VERTICAL STRUCTURE; SOLAR-RADIATION; WATER-VAPOR; OPTICAL-PROPERTIES; CIRCULATION MODEL; DIURNAL-VARIATION; SNOW-COVER; SURFACE; CLIMATE; BUDGET</t>
  </si>
  <si>
    <t>A forward inference scheme driven with satellite-based information is developed to derive top of the atmosphere, surface, and atmospheric spectral shortwave radiative fluxes at global scale. The model takes into account all major atmospheric constituents, the characteristics of water and ice clouds, and the variation of cloud particle effective radius. The multilayered structure accounts for surface elevation effects and for the vertical distribution of the radiative fluxes. Spectral fluxes such as photosynthetically active radiation and near-infrared radiation can also be estimated. The model is implemented with products from the Moderate Resolution Imaging Spectroradiometer (MODIS) sensor both on Terra and Aqua at 1 degrees spatial resolution for a 3-year period (2003-2005) and at global scale. The derived surface fluxes are evaluated against the globally distributed Baseline Surface Radiation Network (BSRN) measurements and compared with products from independent sources. It is demonstrated that the twice a day MODIS-based estimates of daily radiative fluxes adjusted for the diurnal cycle and the ground observations have a correlation coefficient greater than 0.96, a relative root-mean-square error less than 18%, and a relative bias between 0 and 6% for BSRN sites located in the Antarctic, the Atlantic (islands), North America, Europe, and other continental sites.</t>
  </si>
  <si>
    <t>[Wang, H.; Pinker, R. T.] Univ Maryland, Dept Atmospher &amp; Ocean Sci, College Pk, MD 20742 USA</t>
  </si>
  <si>
    <t>University System of Maryland; University of Maryland College Park</t>
  </si>
  <si>
    <t>Wang, H (corresponding author), Univ Maryland, Dept Atmospher &amp; Ocean Sci, College Pk, MD 20742 USA.</t>
  </si>
  <si>
    <t>pinker@atmos.umd.edu</t>
  </si>
  <si>
    <t>Pinker, Rachel T/F-6565-2010; Keyes, Dennis/AAZ-9285-2021</t>
  </si>
  <si>
    <t>Pinker, Rachel/0000-0003-4249-4427</t>
  </si>
  <si>
    <t>NASA [NNG05GB35G, NNG04GD65G]; NSF [ATM0631685]</t>
  </si>
  <si>
    <t>Support from NASA under grants NNG05GB35G and NNG04GD65G and from NSF under grant ATM0631685 to the University of Maryland is greatly appreciated. We are grateful to the NASA Goddard Earth Sciences Data and Information Services Center (GES DISC) Giovanni web system for providing the MODIS data and to the various MODIS teams that produced information used in this study. We thank the Baseline Surface Radiation Network (BSRN) for providing the ground observations over land. Assistance from Margaret M. Wonsick and Xiaolei Niu in the preparation of the final version of the manuscript is greatly appreciated.</t>
  </si>
  <si>
    <t>OCT 16</t>
  </si>
  <si>
    <t>D20201</t>
  </si>
  <si>
    <t>10.1029/2008JD010442</t>
  </si>
  <si>
    <t>508OW</t>
  </si>
  <si>
    <t>WOS:000270943700001</t>
  </si>
  <si>
    <t>Noguchi, T; Nakamura, T; Misawa, K; Imae, N; Aoki, T; Toh, S</t>
  </si>
  <si>
    <t>Noguchi, Takaaki; Nakamura, Tomoki; Misawa, Keiji; Imae, Naoya; Aoki, Tomoaki; Toh, Shoichi</t>
  </si>
  <si>
    <t>Laihunite and jarosite in the Yamato 00 nakhlites: Alteration products on Mars?</t>
  </si>
  <si>
    <t>JOURNAL OF GEOPHYSICAL RESEARCH-PLANETS</t>
  </si>
  <si>
    <t>TRANSMISSION ELECTRON-MICROSCOPY; AQUEOUS ALTERATION; MARTIAN METEORITE; OLIVINE; ASSEMBLAGES; MIL-03346; OXIDATION; BASALT</t>
  </si>
  <si>
    <t>Nakhlites, Martian clinopyroxenites, are believed to have experienced aqueous alteration on the Martian surface, on the basis of the presence of reddish brown iddingsite'' on the rim and along cracks of large olivine crystals. Amorphous to poorly crystalline phyllosilicates (smectites) and carbonates are major products of aqueous alteration of the Yamato 00 nakhlites. The Yamato 000593 nakhlite and its pair Yamato 000749 contain large olivine crystals having opaque black material intimately associated with iddingsite on their rims and along cracks. Synchrotron radiation X-ray diffraction, micro-Raman spectroscopy, and transmission electron microscopy revealed that the opaque material is the nonstoichiometric olivine-type mineral laihunite square(0.42)(Mg2+, Fe2+)(0.79)Fe0.793+Si1.00O4, typically formed as a high-temperature oxidation product under nonequilibrium conditions. Because laihunite has been decomposed into a mixture of magnetite and amorphous silicate near the fusion crust, it is preterrestrial in origin. This is the first observation of large olivine crystals in Martian meteorites being replaced by laihunite, although its presence in olivine in the mesostasis of the Miller Range 03346 nakhlite has been suggested by micro-Raman spectroscopy. Because laihunite in the nakhlites does not form nanometer-sized intergrowth with iron oxides, fluid-assisted high-temperature oxidation may have played an important role in transporting away free Fe2+ cations liberated from olivine during laihunite formation. Although the Yamato 00 nakhlites also contain jarosite, we could not confirm the presence of preterrestrial jarosite based only on its occurrences.</t>
  </si>
  <si>
    <t>[Noguchi, Takaaki] Ibaraki Univ, Coll Sci, Mito, Ibaraki 3108512, Japan; [Nakamura, Tomoki; Aoki, Tomoaki] Kyushu Univ, Fac Sci, Dept Earth &amp; Planetary Sci, Fukuoka 8128581, Japan; [Misawa, Keiji; Imae, Naoya] Natl Inst Polar Res, Antarctic Meteorite Res Ctr, Tokyo 1908518, Japan; [Toh, Shoichi] Kyushu Univ, High Voltage Electron Microscope Lab, Fukuoka 8190395, Japan</t>
  </si>
  <si>
    <t>Ibaraki University; Kyushu University; Research Organization of Information &amp; Systems (ROIS); National Institute of Polar Research (NIPR) - Japan; Kyushu University</t>
  </si>
  <si>
    <t>Noguchi, T (corresponding author), Ibaraki Univ, Coll Sci, 2-1-1 Bunkyo, Mito, Ibaraki 3108512, Japan.</t>
  </si>
  <si>
    <t>tngc@mx.ibaraki.ac.jp</t>
  </si>
  <si>
    <t>Noguchi, Takaaki/IWV-1123-2023</t>
  </si>
  <si>
    <t>Noguchi, Takaaki/0000-0001-7211-2595</t>
  </si>
  <si>
    <t>National Institute of Polar Research</t>
  </si>
  <si>
    <t>National Institute of Polar Research(National Institute of Polar Research (NIPR) - Japan)</t>
  </si>
  <si>
    <t>First of all, we appreciate the associate editor R. Carlton, and the two reviewers J. C. Bridges and an anonymous reviewer. Our manuscript was considerably improved by their efforts. We thank M. Tanaka, T. Iwazumi, Y. Wakabayashi, and T. Mori for technical support for synchrotron radiation X-ray diffraction at the Photon Factory, Institute of Materials Structure Science, High-energy Accelerator Research Organization (KEK), and H. Nagahara and H. Yoshida for permission and technical support for the use of FE-SEM at the University of Tokyo. We thank the Natural History Museum, London, for allocation of a specimen of Nakhla. Y. Nakamuta is appreciated for permitting T. Aoki to join this investigation. We also thank M. Kitamura and S. Inoue for giving us specimens of laihunite. This study was supported by the scientific fund of the research project P8 of National Institute of Polar Research.</t>
  </si>
  <si>
    <t>2169-9097</t>
  </si>
  <si>
    <t>2169-9100</t>
  </si>
  <si>
    <t>J GEOPHYS RES-PLANET</t>
  </si>
  <si>
    <t>J. Geophys. Res.-Planets</t>
  </si>
  <si>
    <t>E10004</t>
  </si>
  <si>
    <t>10.1029/2009JE003364</t>
  </si>
  <si>
    <t>508PD</t>
  </si>
  <si>
    <t>WOS:000270944400001</t>
  </si>
  <si>
    <t>Auer, M; Wagenbach, D; Wild, EM; Wallner, A; Priller, A; Miller, H; Schlosser, C; Kutschera, W</t>
  </si>
  <si>
    <t>Auer, Matthias; Wagenbach, Dietmar; Wild, Eva Maria; Wallner, Anton; Priller, Alfred; Miller, Heinrich; Schlosser, Clemens; Kutschera, Walter</t>
  </si>
  <si>
    <t>Cosmogenic 26Al in the atmosphere and the prospect of a 26Al/10Be chronometer to date old ice</t>
  </si>
  <si>
    <t>Al-26; Be-10; accelerator mass spectrometry; dating; cosmogenic radionuclides</t>
  </si>
  <si>
    <t>ACCELERATOR MASS-SPECTROMETRY; HALF-LIFE; EXTRATERRESTRIAL MATTER; ANTARCTIC ICE; EARTHS ATMOSPHERE; COSMIC DUST; BE-10; AMS; RATES; CORE</t>
  </si>
  <si>
    <t>Cosmogenic radionuclides in the one-million-year half-life range offer unique possibilities for age determinations in geophysics. In measurements where the radioactive decay is being utilized as a clock, uncertainties in age determinations may be reduced if the ratio of two radioisotopes with different half-lives can be used as a chronometer. In this work we investigate the atomic ratio of atmospheric Al-26 (t(1/2) = 0.717 Ma) to Be-10 (t(1/2) = 1.386 Ma) measured with accelerator mass spectrometry (AMS), and its potential as a chronometer for dating old ice. The Al-26/Be-10 ratio decreases with an effective half-life of t(1/2)(Al-26/Be-10) = 1.49 Ma. For its application as a chronometer, the atmospheric Al-26/Be-10 ratio has to be well characterized. However, the properties of atmospheric Al-26 have been understood only poorly so far. At the VERA AMS facility of the University of Vienna, a first systematic study of the global variations of the Al-26/Be-10 ratio in the atmosphere and in surface firn has been carried out, and pilot measurements of the Al-26/Be-10 ratio in deep Antarctic ice have been performed. Our results indicate that this ratio is globally constant to within 5% in the atmosphere and in surface firn with a mean value of 1.89 x 10(-3). The data also suggest that non-atmospheric sources of Al-26, such as extraterrestrial, in situ produced or re-suspended Al-26 do not contribute significantly to the observed Al-26/Be-10 ratio. in addition, atmospheric mixing seems to exert only a minor influence. In a first application of the method, Al-26/Be-10 ratios were measured in chips collected in connection with the drilling of the lowest part of an ice core (2250 to 2760 m) in Dronning Maud Land, Antarctica. Surprisingly, variable Al-26/Be-10 ratios ranging between 0.5 and up to 2 times the atmospheric ratio were found at different locations in this deep ice core. While the cause for the ratios higher than atmospheric remains unexplained so far, the ratios lower than atmospheric may be caused by radioactive decay, allowing a first dating attempt using the Al-26/Be-10 ratio. Thus, at an ice depth of 2760 m an approximate date of (6.7 +/- 2.6) x 10(5) years was established. (C) 2009 Elsevier B.V. All rights reserved.</t>
  </si>
  <si>
    <t>[Auer, Matthias; Wild, Eva Maria; Wallner, Anton; Priller, Alfred; Kutschera, Walter] Univ Vienna, Fac Phys, VERA Lab, A-1090 Vienna, Austria; [Wagenbach, Dietmar] Heidelberg Univ, Inst Umweltphys, D-69120 Heidelberg, Germany; [Miller, Heinrich] Alfred Wegener Inst Polar &amp; Marine Res, D-27568 Bremerhaven, Germany; [Auer, Matthias; Schlosser, Clemens] Bundesamt Strahlenschutz, D-79098 Freiburg, Germany</t>
  </si>
  <si>
    <t>University of Vienna; Ruprecht Karls University Heidelberg; Helmholtz Association; Alfred Wegener Institute, Helmholtz Centre for Polar &amp; Marine Research</t>
  </si>
  <si>
    <t>Auer, M (corresponding author), Bundesamt Strahlenschutz, Rosastr 9, D-79098 Freiburg, Germany.</t>
  </si>
  <si>
    <t>m.auer1@gmx.de</t>
  </si>
  <si>
    <t>Wallner, Anton/G-1480-2011</t>
  </si>
  <si>
    <t>Wallner, Anton/0000-0003-2804-3670; Priller, Alfred/0000-0002-5008-2089; Miller, Heinrich/0000-0003-1015-2828</t>
  </si>
  <si>
    <t>Austrian Science Foundation (FWF) [P17442-N02]; European Project for Ice Coring in Antarctica (EPICA); EU; Austrian Science Fund (FWF) [P17442] Funding Source: Austrian Science Fund (FWF)</t>
  </si>
  <si>
    <t>Austrian Science Foundation (FWF)(Austrian Science Fund (FWF)); European Project for Ice Coring in Antarctica (EPICA); EU(European Union (EU)); Austrian Science Fund (FWF)(Austrian Science Fund (FWF))</t>
  </si>
  <si>
    <t>The authors would like to express their gratitude to Susanne Preunkert and co-workers (LGGE) for sampling the Cap Prudomme ice as well as to Herbert Gohla (CTBTO, Austria) and Gerhard Schauer (ZAMG, Austria) for providing aerosol samples from the Sonnblick Observatory and Dr. Lars-Erik de Geer (FOI, Sweden) for providing stratospheric aerosol filters from Sweden. We also thank two anonymous reviewers for their helpful suggestions. This work was funded by the Austrian Science Foundation (FWF), project number P17442-N02.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This is EPICA publication no. 236.</t>
  </si>
  <si>
    <t>OCT 15</t>
  </si>
  <si>
    <t>10.1016/j.epsl.2009.08.030</t>
  </si>
  <si>
    <t>522PQ</t>
  </si>
  <si>
    <t>WOS:000272010800018</t>
  </si>
  <si>
    <t>Gabrielli, P; Planchon, F; Barbante, C; Boutron, CF; Petit, JR; Bulat, S; Hong, S; Cozzi, G; Cescon, P</t>
  </si>
  <si>
    <t>Gabrielli, Paolo; Planchon, Frederic; Barbante, Carlo; Boutron, Claude F.; Petit, Jean Robert; Bulat, Sergey; Hong, Sungmin; Cozzi, Giulio; Cescon, Paolo</t>
  </si>
  <si>
    <t>Ultra-low rare earth element content in accreted ice from sub-glacial Lake Vostok, Antarctica</t>
  </si>
  <si>
    <t>WATER EXCHANGE; TRACE-ELEMENTS; GRAM LEVEL; POLAR ICE; DUST; REE; SEAWATER; CORE; SNOW; GEOCHEMISTRY</t>
  </si>
  <si>
    <t>This paper reports the first rare earth element (REE) concentrations in accreted ice refrozen from sub-glacial Lake Vostok (East Antarctica). REE were determined in various sections of the Vostok ice core in order to geochemically characterize its impurities. Samples were obtained from accreted ice and, for comparison, from the upper glacier ice of atmospheric origin (undisturbed, disturbed and glacial. our ice). REE concentrations ranged between 0.8-56 pg g(-1) for Ce and 0.0035-0.24 pg g(-1) for Lu in glacier ice, and between &lt;0.1-24 pg g(-1) for Ce and &lt; 0.0004-0.02 pg g(-1) for Lu in accreted ice. Interestingly, the REE concentrations in the upper accreted ice (AC(1); characterized by visible aggregates containing a mixture of very. ne terrigenous particles) and in the deeper accreted ice (AC(2); characterized by transparent ice) are lower than those in fresh water and seawater, respectively. We suggest that such ultra-low concentrations are unlikely to be representative of the real REE content in Lake Vostok, but instead may reflect phase exclusion processes occurring at the ice/water interface during refreezing. In particular, the uneven spatial distribution (on the order of a few cm) and the large range of REE concentrations observed in AC(1) are consistent with the occurrence/absence of the aggregates in adjacent ice, and point to the presence of solid-phase concentration/exclusion processes occurring within separate pockets of frazil ice during AC(1) formation. Interestingly, if the LREE enrichment found in AC(1) was not produced by chemical fractionation occurring in Lake Vostok water, this may reflect a contribution of bedrock material, possibly in combination with aeolian dust released into the lake by melting of the glacier ice. Collectively, this valuable information provides new insight into the accreted ice formation processes, the bedrock geology of East Antarctica as well as the water chemistry and circulation of Lake Vostok. Published by Elsevier Ltd.</t>
  </si>
  <si>
    <t>[Gabrielli, Paolo] Ohio State Univ, Sch Earth Sci, Columbus, OH 43210 USA; [Gabrielli, Paolo] Ohio State Univ, Byrd Polar Res Ctr, Columbus, OH 43210 USA; [Gabrielli, Paolo; Planchon, Frederic; Barbante, Carlo; Cescon, Paolo] Univ Venice, CNR, Inst Dynam Environm Proc, I-30123 Venice, Italy; [Barbante, Carlo; Cozzi, Giulio; Cescon, Paolo] Univ Venice, Dept Environm Sci, I-30123 Venice, Italy; [Boutron, Claude F.; Petit, Jean Robert; Bulat, Sergey] Univ Grenoble 1, CNRS, UMR 5183, Lab Glaciol &amp; Geophys Environm, F-38402 St Martin Dheres, France; [Bulat, Sergey] RAS, Petersburg Nucl Phys Inst, Div Mol &amp; Radiat Biophys, Gatchina 188300, Russia; [Hong, Sungmin] Korea Polar Res Inst, Inchon 406840, South Korea</t>
  </si>
  <si>
    <t>University System of Ohio; Ohio State University; University System of Ohio; Ohio State University; Consiglio Nazionale delle Ricerche (CNR); Istituto per la Dinamica dei Processi Ambientali (IDPA-CNR); Universita Ca Foscari Venezia; Universita Ca Foscari Venezia; Centre National de la Recherche Scientifique (CNRS); Communaute Universite Grenoble Alpes; Universite Grenoble Alpes (UGA); National Research Centre - Kurchatov Institute; Petersburg Nuclear Physics Institute; Russian Academy of Sciences; Korea Institute of Ocean Science &amp; Technology (KIOST); Korea Polar Research Institute (KOPRI)</t>
  </si>
  <si>
    <t>Gabrielli, P (corresponding author), Ohio State Univ, Sch Earth Sci, Columbus, OH 43210 USA.</t>
  </si>
  <si>
    <t>gabrielli.1@osu.edu</t>
  </si>
  <si>
    <t>Frederic, Planchon A.M./A-8651-2010; Cozzi, Giulio/F-6473-2010; Barbante, Carlo/B-3195-2011; Cozzi, Giulio/R-4554-2019</t>
  </si>
  <si>
    <t>Cozzi, Giulio/0000-0001-8796-4176; Barbante, Carlo/0000-0003-4177-2288; Planchon, Frederic/0000-0003-1288-9698; Cescon, Paolo/0000-0003-1836-6759; Bulat, Sergey/0000-0002-2574-882X</t>
  </si>
  <si>
    <t>European Community [HPMF-CT-2002-01772]; ENEA</t>
  </si>
  <si>
    <t>European Community; ENEA(ENEA, Italy)</t>
  </si>
  <si>
    <t>This work was supported in Italy by a Marie Curie Fellowship of the European Community (contract HPMF-CT-2002-01772) and by ENEA as part of the Antarctic National Research Program (under projects on Environmental Contamination and Glaciology). In France, it was supported by the Institut National des Sciences de l'Univers and the University Joseph Fourier of Grenoble. This is contribution number 1382 of the Byrd Polar Research Center. We thank the editor Karen Johannesson, Eric De Carlo, two other anonymous reviewers, Berry Lyons, Ellen Mosley-Thompson, Aron Buffen and Martine De Angelis for useful comments that significantly improved this manuscript. F. P. acknowledges support from the Balzan prize awarded to Claude Lorius.</t>
  </si>
  <si>
    <t>10.1016/j.gca.2009.05.050</t>
  </si>
  <si>
    <t>541LF</t>
  </si>
  <si>
    <t>WOS:000273416500001</t>
  </si>
  <si>
    <t>Jones, JM; Fogt, RL; Widmann, M; Marshall, GJ; Jones, PD; Visbeck, M</t>
  </si>
  <si>
    <t>Jones, Julie M.; Fogt, Ryan L.; Widmann, Martin; Marshall, Gareth J.; Jones, Phil D.; Visbeck, Martin</t>
  </si>
  <si>
    <t>Historical SAM Variability. Part I: Century-Length Seasonal Reconstructions</t>
  </si>
  <si>
    <t>SOUTHERN ANNULAR MODE; NCEP-NCAR REANALYSIS; SEA-LEVEL PRESSURE; EXTRATROPICAL CIRCULATION; MEAN STATE; HEMISPHERE; CLIMATE; TRENDS; OSCILLATION; TEMPERATURE</t>
  </si>
  <si>
    <t>Seasonal reconstructions of the Southern Hemisphere annular mode (SAM) index are derived to extend the record before the reanalysis period, using station sea level pressure (SLP) data as predictors. Two reconstructions using different predictands are obtained: one [Jones and Widmann (JW)] based on the first principal component (PC) of extratropical SLP and the other (Fogt) on the index of Marshall. A regional-based SAM index (Visbeck) is also considered. These predictands agree well post-1979; correlations decline in all seasons except austral summer for the full series starting in 1958. Predictand agreement is strongest in spring and summer; hence agreement between the reconstructions is highest in these seasons. The less zonally symmetric SAM structure in winter and spring influences the strength of the SAM signal over land areas, hence the number of stations included in the reconstructions. Reconstructions from 1865 were, therefore, derived in summer and autumn and from 1905 in winter and spring. This paper examines the skill of each reconstruction by comparison with observations and reanalysis data. Some of the individual peaks in the reconstructions, such as the most recent in austral summer, represent a full hemispheric SAM pattern, while others are caused by regional SLP anomalies over the locations of the predictors. The JW and Fogt reconstructions are of similar quality in summer and autumn, while in winter and spring the Marshall index is better reconstructed by Fogt than the PC index is by JW. In spring and autumn the SAM shows considerable variability prior to recent decades.</t>
  </si>
  <si>
    <t>[Jones, Julie M.] Univ Sheffield, Dept Geog, Sheffield S10 2TN, S Yorkshire, England; [Jones, Julie M.; Widmann, Martin] GKSS Forschungszentrum Geesthacht GmbH, Geesthacht, Germany; [Fogt, Ryan L.] Ohio State Univ, Byrd Polar Res Ctr, Polar Meteorol Grp, Columbus, OH 43210 USA; [Widmann, Martin] Univ Birmingham, Sch Geog Earth &amp; Environm Sci, Birmingham, W Midlands, England; [Marshall, Gareth J.] British Antarctic Survey, Cambridge CB3 0ET, England; [Jones, Phil D.] Univ E Anglia, Climat Res Unit, Norwich NR4 7TJ, Norfolk, England; [Visbeck, Martin] Leibniz Inst Marine Sci IFM Geomar, Kiel, Germany</t>
  </si>
  <si>
    <t>University of Sheffield; Helmholtz Association; Helmholtz-Zentrum Hereon; University System of Ohio; Ohio State University; University of Birmingham; UK Research &amp; Innovation (UKRI); Natural Environment Research Council (NERC); NERC British Antarctic Survey; University of East Anglia; Helmholtz Association; GEOMAR Helmholtz Center for Ocean Research Kiel</t>
  </si>
  <si>
    <t>Jones, JM (corresponding author), Univ Sheffield, Dept Geog, Winter St, Sheffield S10 2TN, S Yorkshire, England.</t>
  </si>
  <si>
    <t>julie.jones@sheffield.ac.uk</t>
  </si>
  <si>
    <t>Visbeck, Martin H/B-6541-2016; Visbeck, Martin/G-2461-2011; Jones, Philip Douglas/C-8718-2009; Fogt, Ryan L/B-6989-2008; Widmann, Martin/P-5178-2015</t>
  </si>
  <si>
    <t>Visbeck, Martin H/0000-0002-0844-834X; Visbeck, Martin/0000-0002-0844-834X; Jones, Philip Douglas/0000-0001-5032-5493; Fogt, Ryan L/0000-0002-5398-3990; Jones, Julie/0000-0003-2892-8647; Widmann, Martin/0000-0001-5447-5763</t>
  </si>
  <si>
    <t>German Climate Research Program; EC [EVK2-CT2002-00160 SOAP]; Office of Science (BER), U. S. Dept. of Energy [DE-FG02-98ER62601]; National Research Council; NSF [ATM-0751291]; NERC [bas0100023] Funding Source: UKRI; Natural Environment Research Council [bas0100023] Funding Source: researchfish</t>
  </si>
  <si>
    <t>German Climate Research Program; EC(European Union (EU)European Commission Joint Research Centre); Office of Science (BER), U. S. Dept. of Energy(United States Department of Energy (DOE)); National Research Council; NSF(National Science Foundation (NSF)); NERC(UK Research &amp; Innovation (UKRI)Natural Environment Research Council (NERC)); Natural Environment Research Council(UK Research &amp; Innovation (UKRI)Natural Environment Research Council (NERC))</t>
  </si>
  <si>
    <t>We thank the two anonymous reviewers, whose helpful comments greatly improved the paper. JMJ and MW acknowledge the support of the German Climate Research Program and the EC (Contract EVK2-CT2002-00160 SOAP). PDJ acknowledges support of the Office of Science (BER), U. S. Dept. of Energy, Grant DE-FG02-98ER62601. RLF acknowledges support from the National Research Council Research Associateship Programs and NSF Grant ATM-0751291. Tara Ansell, Rob Allan, and the Hadley Centre are thanked for providing station data and the HadSLP2 dataset. The European Centre for Medium-Range Weather Forecasts is acknowledged for provision of the ERA-40 reanalysis data and the British Antarctic Survey for use of the Antarctic Stations. Paul Coles is thanked for invaluable help with figure preparation.</t>
  </si>
  <si>
    <t>45 BEACON ST, BOSTON, MA 02108-3693, UNITED STATES</t>
  </si>
  <si>
    <t>10.1175/2009JCLI2785.1</t>
  </si>
  <si>
    <t>510HY</t>
  </si>
  <si>
    <t>Green Submitted, Green Accepted, Bronze</t>
  </si>
  <si>
    <t>WOS:000271080000003</t>
  </si>
  <si>
    <t>Fogt, RL; Perlwitz, J; Monaghan, AJ; Bromwich, DH; Jones, JM; Marshall, GJ</t>
  </si>
  <si>
    <t>Fogt, Ryan L.; Perlwitz, Judith; Monaghan, Andrew J.; Bromwich, David H.; Jones, Julie M.; Marshall, Gareth J.</t>
  </si>
  <si>
    <t>Historical SAM Variability. Part II: Twentieth-Century Variability and Trends from Reconstructions, Observations, and the IPCC AR4 Models</t>
  </si>
  <si>
    <t>SOUTHERN ANNULAR MODE; ANTARCTIC OSCILLATION; OZONE DEPLETION; CLIMATE-CHANGE; HEMISPHERE; CIRCULATION</t>
  </si>
  <si>
    <t>This second paper examines the Southern Hemisphere annular mode (SAM) variability from reconstructions, observed indices, and simulations from 17 Intergovernmental Panel on Climate Change (IPCC) Fourth Assessment Report (AR4) models from 1865 to 2005. Comparisons reveal the models do not fully simulate the duration of strong natural variability within the reconstructions during the 1930s and 1960s. Seasonal indices are examined to understand the relative roles of forced and natural fluctuations. The models capture the recent (1957-2005) positive SAM trends in austral summer, which reconstructions indicate is the strongest trend during the last 150 yr; ozone depletion is the dominant mechanism driving these trends. In autumn, negative trends after 1930 in the reconstructions are stronger than the recent positive trend. Furthermore, model trends in autumn during 1957-2005 are the most different from observations. Both of these conditions suggest the recent autumn trend is most likely natural climate variability, with external forcing playing a secondary role. Many models also produce significant spring trends during this period not seen in observations. Although insignificant, these differences arise because of vastly different spatial structures in the Southern Hemisphere pressure trends. As the trend differences between models and observations in austral spring have been increasing over the last 30 yr, care must be exercised when examining the future SAM projections and their impacts in this season.</t>
  </si>
  <si>
    <t>[Fogt, Ryan L.; Monaghan, Andrew J.; Bromwich, David H.] Ohio State Univ, Byrd Polar Res Ctr, Polar Meteorol Grp, Columbus, OH 43210 USA; [Fogt, Ryan L.; Perlwitz, Judith] NOAA ESRL PSD, Boulder, CO 80305 USA; [Bromwich, David H.] Ohio State Univ, Dept Geog, Atmospher Sci Program, Columbus, OH 43210 USA; [Jones, Julie M.] Univ Sheffield, Dept Geog, Sheffield S10 2TN, S Yorkshire, England; [Marshall, Gareth J.] British Antarctic Survey, Cambridge CB3 0ET, England</t>
  </si>
  <si>
    <t>University System of Ohio; Ohio State University; National Oceanic Atmospheric Admin (NOAA) - USA; University System of Ohio; Ohio State University; University of Sheffield; UK Research &amp; Innovation (UKRI); Natural Environment Research Council (NERC); NERC British Antarctic Survey</t>
  </si>
  <si>
    <t>Fogt, RL (corresponding author), NOAA ESRL PSD, 325 Broadway R PSD, Boulder, CO 80305 USA.</t>
  </si>
  <si>
    <t>ryan.fogt@noaa.gov</t>
  </si>
  <si>
    <t>Perlwitz, Judith/B-7201-2008; Fogt, Ryan L/B-6989-2008; Bromwich, David H/C-9225-2016</t>
  </si>
  <si>
    <t>Perlwitz, Judith/0000-0003-4061-2442; Fogt, Ryan L/0000-0002-5398-3990; Jones, Julie/0000-0003-2892-8647; Monaghan, Andrew/0000-0002-8170-2359</t>
  </si>
  <si>
    <t>National Science Foundation [OPP-0337943]; NSF [ATM-0751291]; NOAA; Natural Environment Research Council [bas0100023] Funding Source: researchfish; NERC [bas0100023] Funding Source: UKRI</t>
  </si>
  <si>
    <t>National Science Foundation(National Science Foundation (NSF)); NSF(National Science Foundation (NSF)); NOAA(National Oceanic Atmospheric Admin (NOAA) - USA); Natural Environment Research Council(UK Research &amp; Innovation (UKRI)Natural Environment Research Council (NERC)); NERC(UK Research &amp; Innovation (UKRI)Natural Environment Research Council (NERC))</t>
  </si>
  <si>
    <t>We acknowledge the modeling groups, the Program for Climate Model Diagnosis and Intercomparison and the WCRP's Working Group on Coupled Modelling for their roles in making available the WCRP CMIP3 multimodel dataset. Support of this dataset is provided by the Office of Science, U. S. Department of Energy. The majority of the research was completed while the lead author held a National Research-Council Research Associateship Award at NOAA. RLF, DHB, and AJM acknowledge partial support from the National Science Foundation Grant OPP-0337943, and DHB also acknowledges support from NSF Grant ATM-0751291. JP recognizes support from the NOAA Climate Program Office. We thank William Neff for comments on an earlier version of the manuscript, Julie Arblaster for assistance with the PCM simulations, and Martin Widmann for help with the statistical calculations in section 4b. Comments from two anonymous reviewers helped to clarify and strengthen the manuscript in several places, and are greatly appreciated.</t>
  </si>
  <si>
    <t>10.1175/2009JCLI2786.1</t>
  </si>
  <si>
    <t>WOS:000271080000004</t>
  </si>
  <si>
    <t>Meir, JU; Ponganis, PJ</t>
  </si>
  <si>
    <t>Meir, Jessica U.; Ponganis, Paul J.</t>
  </si>
  <si>
    <t>High-affinity hemoglobin and blood oxygen saturation in diving emperor penguins</t>
  </si>
  <si>
    <t>oxygen-hemoglobin dissociation curve; aerobic dive limit; hypoxia; P-O2; oxygen depletion</t>
  </si>
  <si>
    <t>APTENODYTES-FORSTERI; RESPIRATORY PROPERTIES; WEDDELL SEALS; DISSOCIATION CURVES; ELEPHANT SEALS; GAS TRANSPORT; HIGH-ALTITUDE; BIRD BLOOD; HEART-RATE; ADAPTATION</t>
  </si>
  <si>
    <t>The emperor penguin (Aptenodytes forsteri) thrives in the Antarctic underwater environment, diving to depths greater than 500m and for durations longer than 23 min. To examine mechanisms underlying the exceptional diving ability of this species and further describe blood oxygen (O-2) transport and depletion while diving, we characterized the O-2-hemoglobin (Hb) dissociation curve of the emperor penguin in whole blood. This allowed us to (1) investigate the biochemical adaptation of Hb in this species, and (2) address blood O-2 depletion during diving, by applying the dissociation curve to previously collected partial pressure of O-2 (P-O2) profiles to estimate in vivo Hb saturation (S-O2) changes during dives. This investigation revealed enhanced Hb-O-2 affinity (P-50=28mmHg, pH7.5) in the emperor penguin, similar to high-altitude birds and other penguin species. This allows for increased O-2 at low blood P-O2 levels during diving and more complete depletion of the respiratory O-2 store. S-O2 profiles during diving demonstrated that arterial S-O2 levels are maintained near 100% throughout much of the dive, not decreasing significantly until the final ascent phase. End-of-dive venous S-O2 values were widely distributed and optimization of the venous blood O-2 store resulted from arterialization and near complete depletion of venous blood O-2 during longer dives. The estimated contribution of the blood O-2 store to diving metabolic rate was low and highly variable. This pattern is due, in part, to the influx of O-2 from the lungs into the blood during diving, and variable rates of tissue O-2 uptake.</t>
  </si>
  <si>
    <t>[Meir, Jessica U.; Ponganis, Paul J.] Univ Calif San Diego, Scripps Inst Oceanog, Ctr Marine Biotechnol &amp; Biomed, La Jolla, CA 92093 USA</t>
  </si>
  <si>
    <t>University of California System; University of California San Diego; Scripps Institution of Oceanography</t>
  </si>
  <si>
    <t>Meir, JU (corresponding author), Univ Calif San Diego, Scripps Inst Oceanog, Ctr Marine Biotechnol &amp; Biomed, La Jolla, CA 92093 USA.</t>
  </si>
  <si>
    <t>jmeir@ucsd.edu</t>
  </si>
  <si>
    <t>National Science Foundation [02-29638, 05-38594]; NDSEG fellowship; Los Angeles ARCS fellowship; Philanthropic Educational Organization (P.E.O.) Scholar</t>
  </si>
  <si>
    <t>National Science Foundation(National Science Foundation (NSF)); NDSEG fellowship; Los Angeles ARCS fellowship; Philanthropic Educational Organization (P.E.O.) Scholar</t>
  </si>
  <si>
    <t>The authors are indebted to the Penguin Ranch teams (Torre Stockard, Ed Stockard, Cassondra Williams, Katherine Ponganis, Robert ` Red' Howard, Cory Champagne, Matt Tulis, Kozue Shiomi, and Brendan Tribble) and McMurdo Station personnel for invaluable logistical and field support. We would like to thank Frank Powell and Jeff Graham for use of the tonometers and gas mixing pumps (and Jeff Struthers for the fastidious refurbishment of this equipment); Judy St. Leger and Sea World staff for sea lion and harbor seal blood samples, Markus Horning and Jo-Ann Mellish for Weddell seal blood samples, and the San Diego County Vet lab for chicken blood samples. We thank Jeremy Goldbogen and Megan McKenna for useful comments on the manuscript. This work was supported by National Science Foundation grants 02-29638 and 05-38594. J. Meir was supported by an NDSEG fellowship, a Los Angeles ARCS fellowship made possible by Ed and Nadine Carson, and a Philanthropic Educational Organization (P.E.O.) Scholar Award.</t>
  </si>
  <si>
    <t>1477-9145</t>
  </si>
  <si>
    <t>10.1242/jeb.033761</t>
  </si>
  <si>
    <t>501WR</t>
  </si>
  <si>
    <t>WOS:000270414900017</t>
  </si>
  <si>
    <t>Uenzelmann-Neben, G; Huhn, K</t>
  </si>
  <si>
    <t>Uenzelmann-Neben, Gabriele; Huhn, Katrin</t>
  </si>
  <si>
    <t>Sedimentary deposits on the southern South African continental margin: Slumping versus non-deposition or erosion by oceanic currents?</t>
  </si>
  <si>
    <t>reflection seismic data; South African continental margin; erosion; oceanic currents; Neogene</t>
  </si>
  <si>
    <t>AGULHAS PLATEAU; TRANSKEI BASIN; INDIAN-OCEAN; INTEROCEAN EXCHANGE; SHELF; SEA; PATTERNS; HISTORY; CLIMATE; RECORD</t>
  </si>
  <si>
    <t>Seismic profiles extending from the southern South African shelf into the deep sea reveal a strong erosional activity, which affects large parts of the continental margin. Quaternary to Oligocene units and, in places, the complete sedimentary column appear to have been removed. Mass movements were previously considered as the origin of this erosion. However, structures indicating slumping can be identified in only a few places. The erosional activity is confined to specific water depths, which correlate well with the activity levels of water masses observed here. We thus suggest that the Agulhas Current, Antarctic Intermediate Water, North Atlantic Deep Water, and Antarctic Bottom Water have intensively shaped the sedimentary units over a long period. This indicates a stable circulation comparable to that at present day since the Neogene. (C) 2009 Elsevier B.V. All rights reserved.</t>
  </si>
  <si>
    <t>[Uenzelmann-Neben, Gabriele] Alfred Wegener Inst Polar &amp; Marine Res, D-27572 Bremerhaven, Germany; [Huhn, Katrin] Univ Bremen, Ctr Marine Environm Sci, MARUM, D-28359 Bremen, Germany</t>
  </si>
  <si>
    <t>Helmholtz Association; Alfred Wegener Institute, Helmholtz Centre for Polar &amp; Marine Research; University of Bremen</t>
  </si>
  <si>
    <t>Uenzelmann-Neben, G (corresponding author), Alfred Wegener Inst Polar &amp; Marine Res, Alten Hafen 26, D-27572 Bremerhaven, Germany.</t>
  </si>
  <si>
    <t>Gabriele.Uenzelmann-Neben@awi.de</t>
  </si>
  <si>
    <t>Uenzelmann-Neben, Gabriele/0000-0002-0115-5923</t>
  </si>
  <si>
    <t>German Bundesministerium fur Bildung und Forschung (BMBF) [03G0182A]</t>
  </si>
  <si>
    <t>German Bundesministerium fur Bildung und Forschung (BMBF)(Federal Ministry of Education &amp; Research (BMBF))</t>
  </si>
  <si>
    <t>We acknowledge with gratitude the cooperation of Captain Lutz Mallon and his crew of the German Research Vessel SONNE, who made it possible to obtain the seismic reflection data. We are grateful for the helpful comments of Dr. J. Compton and an unknown reviewer and the editor Dr. D. Piper. This project was funded by the German Bundesministerium fur Bildung und Forschung (BMBF) under contract no. 03G0182A. This is AWI publication no. n-17867 and Inkaba yeAfrica contribution No 31.</t>
  </si>
  <si>
    <t>1-4</t>
  </si>
  <si>
    <t>10.1016/j.margeo.2009.07.011</t>
  </si>
  <si>
    <t>516QO</t>
  </si>
  <si>
    <t>WOS:000271557600005</t>
  </si>
  <si>
    <t>Böhm, G; Ocakoglu, N; Picotti, S; De Santis, L</t>
  </si>
  <si>
    <t>Bohm, Gualtiero; Ocakoglu, Neslihan; Picotti, Stefano; De Santis, Laura</t>
  </si>
  <si>
    <t>West Antarctic Ice Sheet evolution: New insights from a seismic tomographic 3D depth model in the Eastern Ross Sea (Antarctica)</t>
  </si>
  <si>
    <t>glacial sediments; Ross Sea; West Antarctic Ice Sheet; 3D reflection tomography</t>
  </si>
  <si>
    <t>CONTINENTAL-SHELF</t>
  </si>
  <si>
    <t>This work presents the results of the research project WISE (West Antarctic Ice Sheet Evolution) the main aim of which is to provide new insights about WAIS (West Antarctic Ice Sheet) evolution in the Eastern Ross Sea (Antarctica) since the late Miocene times, from morphological and geophysical analysis of glacial sediments. A square grid of 1230 km high-resolution multi-channel seismic reflection data, multi-beam bathymetry data and nine Sound Velocity Profiles (SVP) were collected in January 2006 from the northwestern sector of the Glomar Challenger Basin (Eastern Ross Sea), and tied to Deep Sea Drilling Program site 271. This work provides a detailed seismic stratigraphic analysis of the Miocene-Quaternary Ross Sea Sequences (RSS) 5-8, previously mapped using regional lower-resolution seismic profiles. Eight seismic units are identified on WISE high-resolution seismic profiles. These units and their boundaries in most of the cases match with previously published stratigraphy, although three new horizons have been identified as reflecting lateral and time-transgressive facies changes. We applied travel time reflection tomography to obtain a detailed 3D model of the investigated area, defined by a depth-seismic velocity volume and by the geometry of 5 selected surfaces. The resulting model is used to reconstruct the geomorphological and depositional history of this sector of the outer continental shelf and to infer ice sheet dynamics during Miocene to Quaternary times. A high velocity anomaly observed in units below the Ross Sea Unconformity 2 (RSU2) of Pliocene age (3-3.7 Ma) is interpreted as indicative of glacial sediments over-compacted by large scale grounding ice sheet expansion. The low velocity of the unit above RSU1 (ca. 0.7 Ma), is associated with normally compacted sediments. Contour depth and isopach maps show migration of the sediment depocenter from RSS-6 to RSS-8, indicating a change in the direction of grounding ice advance over the continental shelf. Acoustic facies and seismic velocity changes occurred during deposition of RSS-8, possibly reflecting a major change in the WAIS dynamics in late Pliocene-Quaternary times. (C) 2009 Elsevier B.V. All rights reserved.</t>
  </si>
  <si>
    <t>[Bohm, Gualtiero; Picotti, Stefano; De Santis, Laura] Ist Nazl OGS, I-34010 Trieste, Italy; [Ocakoglu, Neslihan] Istanbul Tech Univ, Jeofiz Muhendisligi Bolumu, TR-34469 Istanbul, Turkey</t>
  </si>
  <si>
    <t>Istituto Nazionale di Oceanografia e di Geofisica Sperimentale; Istanbul Technical University</t>
  </si>
  <si>
    <t>Böhm, G (corresponding author), Ist Nazl OGS, Borgo Grotta Gigante 42-C, I-34010 Trieste, Italy.</t>
  </si>
  <si>
    <t>gbohm@ogs.trieste.it; neslhian@itu.edu.tr; spicotti@ogs.trieste.it; ldesantis@ogs.trieste.it</t>
  </si>
  <si>
    <t>Ocakoglu, Neslihan/ABA-8405-2020; Carcione, Jose M/T-9660-2019</t>
  </si>
  <si>
    <t>Ocakoglu, Neslihan/0000-0001-7641-2448; Carcione, Jose M/0000-0002-2839-705X; Bohm, Gualtiero/0000-0002-1234-392X; De Santis, Laura/0000-0002-7752-7754; picotti, stefano/0000-0001-7341-1095</t>
  </si>
  <si>
    <t>Italian National Program of Antarctic Research (PNRA)</t>
  </si>
  <si>
    <t>This work was supported by the Italian National Program of Antarctic Research (PNRA). We thank the 'OGS-Explora Research vessel' crew and the acquisition group for their professional supports during the Antarctic cruise. We also thank Philip Bart and the Ross Map Group for their useful suggestions and discussions.</t>
  </si>
  <si>
    <t>10.1016/j.margeo.2009.07.016</t>
  </si>
  <si>
    <t>WOS:000271557600008</t>
  </si>
  <si>
    <t>Reinardy, BTI; Pudsey, CJ; Hillenbrand, CD; Murray, T; Evans, J</t>
  </si>
  <si>
    <t>Reinardy, Benedict T. I.; Pudsey, Carol J.; Hillenbrand, Claus-Dieter; Murray, Tavi; Evans, Jeffrey</t>
  </si>
  <si>
    <t>Contrasting sources for glacial and interglacial shelf sediments used to interpret changing ice flow directions in the Larsen Basin, Northern Antarctic Peninsula</t>
  </si>
  <si>
    <t>glaciomarine sedimentation; provenance; Larsen Basin; grain petrology; Antarctic Peninsula Ice Sheet; clast roundness</t>
  </si>
  <si>
    <t>JAMES-ROSS-ISLAND; WEDDELL SEA; DEPOSITIONAL PROCESSES; GEOMORPHIC FEATURES; CONTINENTAL-SHELF; LATE PLEISTOCENE; STREAM-B; SHEET; HISTORY; TRANSPORT</t>
  </si>
  <si>
    <t>Marine sediment cores from the former Larsen A Ice Shelf area reveal three lithological units deposited during ice sheet advance and retreat from the continental shelf. The uppermost Unit 1 consists of a diatom-bearing silty clay with sparse ice-rafted debris (IRD). Clasts include rock types which can all be matched to onshore outcrops along the eastern side of the Antarctic Peninsula. Most clasts are very angular, angular or subangular. The clasts in this unit are interpreted as supraglacial or englacial debris deposited below an ice shelf distal from the grounding line and/or by icebergs in an open marine setting during the Holocene. In the underlying Units 2 and 3 clast lithologies are quite different and mainly comprise Cretaceous and Jurassic sedimentary rocks. These lithologies were derived locally from the continental shelf (the Larsen Basin) rather than the limited onshore outcrops. Of the 2750 clasts studied in Units 2 and 3, most are subrounded or subangular, and some are striated. Unit 2 is interpreted as being deposited beneath an ice shelf proximal to the grounding line. Unit 3 is interpreted as subglacial diamict deposited by grounded ice flowing across the shelf during the last glacial period. The availability of sedimentary rocks at the seabed may have facilitated the development of a deforming till layer with low shear strength (i.e. soft or deformation till) within Unit 3. There are no consistent differences in clast composition or roundness between the deformation till, which was probably deposited at the base of an ice stream, and an underlying till with high shear strength (i.e. stiff till). On the inner shelf where the bedrock lies very close to the seabed, clast composition in the subglacial diamicts affords a way of identifying the presence of Mesozoic stratigraphic units. The contrasting provenance of the coarse fraction between Unit 1 and Units 2 and 3 is used to interpret ice sheet basal thermal regime and produce a conceptual model of changing palaeo-flow directions between glacial and interglacial periods. Grain roundness and petrology are shown to be a potent method for interpreting different glacial/interglacial processes and environments. (C) 2009 Elsevier B.V. All rights reserved.</t>
  </si>
  <si>
    <t>[Reinardy, Benedict T. I.; Murray, Tavi] Swansea Univ, Sch Environm &amp; Soc, Swansea SA2 8PP, W Glam, Wales; [Pudsey, Carol J.; Hillenbrand, Claus-Dieter] British Antarctic Survey, Cambridge CB3 0ET, England; [Evans, Jeffrey] Univ Loughborough, Dept Geog, Loughborough LE11 3TU, Leics, England</t>
  </si>
  <si>
    <t>Swansea University; UK Research &amp; Innovation (UKRI); Natural Environment Research Council (NERC); NERC British Antarctic Survey; Loughborough University</t>
  </si>
  <si>
    <t>Reinardy, BTI (corresponding author), Swansea Univ, Sch Environm &amp; Soc, Singleton Pk, Swansea SA2 8PP, W Glam, Wales.</t>
  </si>
  <si>
    <t>371404@swansea.ac.uk</t>
  </si>
  <si>
    <t>Evans, Jeffrey/F-5548-2010; Reinardy, Benedict/HKO-3273-2023</t>
  </si>
  <si>
    <t>Reinardy, Benedict/0000-0002-3409-6747; Murray, Tavi/0000-0001-6714-6512</t>
  </si>
  <si>
    <t>NERC [bas010018, bosc01001] Funding Source: UKRI; Natural Environment Research Council [bosc01001, bas010018] Funding Source: researchfish</t>
  </si>
  <si>
    <t>10.1016/j.margeo.2009.08.003</t>
  </si>
  <si>
    <t>WOS:000271557600011</t>
  </si>
  <si>
    <t>Hepp, DA; Mörz, T; Hensen, C; Frederichs, T; Kasten, S; Riedinger, N; Hay, WW</t>
  </si>
  <si>
    <t>Hepp, Daniel A.; Moerz, Tobias; Hensen, Christian; Frederichs, Thomas; Kasten, Sabine; Riedinger, Natascha; Hay, William W.</t>
  </si>
  <si>
    <t>A late Miocene-early Pliocene Antarctic deepwater record of repeated iron reduction events</t>
  </si>
  <si>
    <t>ice sheet dynamic; magnetic susceptibility minima Zone; ODP Site 1095; Pliocene warming; Antarctic Peninsula</t>
  </si>
  <si>
    <t>CONTINENTAL RISE WEST; SEDIMENT DRIFT; SEA SEDIMENT; ANAEROBIC OXIDATION; PACIFIC MARGIN; BIOGENIC BLOOM; SOUTHERN-OCEAN; ATLANTIC-OCEAN; PENINSULA; ICE</t>
  </si>
  <si>
    <t>In this study we present a late Miocene-early Pliocene record of sixty-four zones with prominent losses in the magnetic susceptibility signal, taken on a sediment drift (ODP Site 1095.) on the Pacific continental rise of the West Antarctic Peninsula. The zones are comparable in shape and magnitude and occur commonly at glacial-to-interglacial transitions. High resolution records of organic matter, magnetic susceptibility and clay mineral composition from early Pliocene intervals demonstrate that neither dilution effects nor provenance changes of the sediments have caused the magnetic susceptibility losses. Instead, reductive dissolution of magnetite under suboxic conditions seems to be the most likely explanation. We propose that during the deglaciation exceptionally high organic fluxes in combination with weak bottom water currents and prominent sediment draping diatom ooze layers produced temporary suboxic conditions in the uppermost sediments. It is remarkable that synsedimentary suboxic conditions can be observed in one of the best ventilated open ocean regions of the World. (C) 2009 Elsevier B.V. All rights reserved.</t>
  </si>
  <si>
    <t>[Hepp, Daniel A.; Moerz, Tobias; Frederichs, Thomas] Univ Bremen, Dept Geosci, D-28334 Bremen, Germany; [Moerz, Tobias; Kasten, Sabine] Univ Bremen, MARUM Ctr Marine Environm Sci, D-28334 Bremen, Germany; [Hensen, Christian] Univ Kiel, Leibniz Inst Marine Sci, IFM GEOMAR, D-24148 Kiel, Germany; [Kasten, Sabine] Alfred Wegener Inst Polar &amp; Marine Res AWI, D-27570 Bremerhaven, Germany; [Riedinger, Natascha] Max Planck Inst Marine Microbiol, D-28359 Bremen, Germany; [Hay, William W.] Univ Colorado, Dept Geol Sci, Boulder, CO 80309 USA</t>
  </si>
  <si>
    <t>University of Bremen; University of Bremen; University of Kiel; Helmholtz Association; GEOMAR Helmholtz Center for Ocean Research Kiel; Helmholtz Association; Alfred Wegener Institute, Helmholtz Centre for Polar &amp; Marine Research; Max Planck Society; University of Colorado System; University of Colorado Boulder</t>
  </si>
  <si>
    <t>Hepp, DA (corresponding author), Univ Bremen, Dept Geosci, POB 330440, D-28334 Bremen, Germany.</t>
  </si>
  <si>
    <t>Hepp, Daniel A./P-6872-2017; Hensen, Christian/B-8161-2014</t>
  </si>
  <si>
    <t>Hepp, Daniel A./0000-0002-6895-8659; Kasten, Sabine/0000-0001-7453-5137; Riedinger, Natascha/0000-0001-6766-0749</t>
  </si>
  <si>
    <t>10.1016/j.margeo.2009.08.006</t>
  </si>
  <si>
    <t>WOS:000271557600014</t>
  </si>
  <si>
    <t>Pritchard, HD; Arthern, RJ; Vaughan, DG; Edwards, LA</t>
  </si>
  <si>
    <t>Pritchard, Hamish D.; Arthern, Robert J.; Vaughan, David G.; Edwards, Laura A.</t>
  </si>
  <si>
    <t>Extensive dynamic thinning on the margins of the Greenland and Antarctic ice sheets</t>
  </si>
  <si>
    <t>SEA-LEVEL RISE; MASS-BALANCE; ACCELERATION; GLACIERS</t>
  </si>
  <si>
    <t>Many glaciers along the margins of the Greenland and Antarctic ice sheets are accelerating and, for this reason, contribute increasingly to global sea-level rise(1-7). Globally, ice losses contribute similar to 1.8 mm yr(-1) (ref. 8), but this could increase if the retreat of ice shelves and tidewater glaciers further enhances the loss of grounded ice(9) or initiates the large-scale collapse of vulnerable parts of the ice sheets(10). Ice loss as a result of accelerated flow, known as dynamic thinning, is so poorly understood that its potential contribution to sea level over the twenty-first century remains unpredictable(11). Thinning on the ice-sheet scale has been monitored by using repeat satellite altimetry observations to track small changes in surface elevation, but previous sensors could not resolve most fast-flowing coastal glaciers(12). Here we report the use of high-resolution ICESat (Ice, Cloud and land Elevation Satellite) laser altimetry to map change along the entire grounded margins of the Greenland and Antarctic ice sheets. To isolate the dynamic signal, we compare rates of elevation change from both fast-flowing and slow-flowing ice with those expected from surface mass-balance fluctuations. We find that dynamic thinning of glaciers now reaches all latitudes in Greenland, has intensified on key Antarctic grounding lines, has endured for decades after ice-shelf collapse, penetrates far into the interior of each ice sheet and is spreading as ice shelves thin by ocean-driven melt. In Greenland, glaciers flowing faster than 100 m yr(-1) thinned at an average rate of 0.84 m yr(-1), and in the Amundsen Sea embayment of Antarctica, thinning exceeded 9.0 m yr(-1) for some glaciers. Our results show that the most profound changes in the ice sheets currently result from glacier dynamics at ocean margins.</t>
  </si>
  <si>
    <t>[Pritchard, Hamish D.; Arthern, Robert J.; Vaughan, David G.] British Antarctic Survey, NERC, Cambridge CB3 0ET, England; [Edwards, Laura A.] Univ Bristol, Sch Geog Sci, Bristol BS8 1SS, Avon, England</t>
  </si>
  <si>
    <t>UK Research &amp; Innovation (UKRI); Natural Environment Research Council (NERC); NERC British Antarctic Survey; University of Bristol</t>
  </si>
  <si>
    <t>Pritchard, HD (corresponding author), British Antarctic Survey, NERC, Madingley Rd, Cambridge CB3 0ET, England.</t>
  </si>
  <si>
    <t>hprit@bas.ac.uk</t>
  </si>
  <si>
    <t>Vaughan, David/C-8348-2011; Pritchard, Hamish Daniel/AAU-4696-2021</t>
  </si>
  <si>
    <t>Vaughan, David/0000-0002-9065-0570</t>
  </si>
  <si>
    <t>UK Natural Environment Research Council; Natural Environment Research Council [earth010003, bas010018] Funding Source: researchfish; NERC [earth010003, bas010018]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</si>
  <si>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</si>
  <si>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extremely grateful to the ICESat science team and all those at NASA involved in producing the ICESat data products distributed through the US National Snow and Ice Data Center. This work was funded by the UK Natural Environment Research Council.</t>
  </si>
  <si>
    <t>10.1038/nature08471</t>
  </si>
  <si>
    <t>506ZF</t>
  </si>
  <si>
    <t>WOS:000270817700045</t>
  </si>
  <si>
    <t>Garreaud, RD; Vuille, M; Compagnucci, R; Marengo, J</t>
  </si>
  <si>
    <t>Garreaud, Rene D.; Vuille, Mathias; Compagnucci, Rosa; Marengo, Jose</t>
  </si>
  <si>
    <t>Present-day South American climate</t>
  </si>
  <si>
    <t>Climate; Atmospheric circulation; Precipitation; Climate variability; South America</t>
  </si>
  <si>
    <t>SEA-SURFACE TEMPERATURE; INTERANNUAL RAINFALL VARIABILITY; EL-NINO; TROPICAL ATLANTIC; CENTRAL ANDES; TROPOSPHERIC CIRCULATION; INTERDECADAL VARIABILITY; ATMOSPHERIC CIRCULATION; CONVECTIVE CLOUDINESS; ANTARCTIC OSCILLATION</t>
  </si>
  <si>
    <t>This paper documents the main features of the climate and climate variability over South America, on the basis of instrumental observations gathered during the 20th Century. It should provide a modem reference framework for paleoclimate research in South America, targeting high-resolution proxies over the past few centuries. Several datasets suitable for present-day climate research are first described, highlighting their advantages as well as their limitations. We then provide a basic physical understanding of the mean annual cycle of the precipitation and atmospheric circulation over the continent and the adjacent oceans. In particular, the diversity of precipitation, temperature and wind patterns is interpreted in terms of the long meridional extent of the continent and the disruption of the large-scale circulation caused by the Andes cordillera, the contrasting oceanic boundary conditions and the landmass distribution. Similarly, the intensity and timing of the interannual and interdecadal climatic fluctuations exhibit considerable geographical dependence, as some regions are more influenced by large-scale phenomena rooted in the tropical oceans while others are more influenced by high-latitude phenomena. The impact of these large-scale phenomena over South America is documented by a regression analysis between selected atmospheric indices and the precipitation and temperature fields. We have included a discussion on the seasonality and long-term stability of such impacts, and complemented our general description by an updated review of the literature on climate variability over specific regions. (C) 2008 Elsevier B.V. All rights reserved.</t>
  </si>
  <si>
    <t>[Garreaud, Rene D.] Univ Chile, Dept Geophys, Santiago, Chile; [Vuille, Mathias] SUNY Albany, Dept Earth &amp; Atmospher Sci, Albany, NY 12222 USA; [Compagnucci, Rosa] Univ Buenos Aires, Fac Ciencias Exactas &amp; Nat, Dept Ciencias Atmosfera &amp; Oceanos, Buenos Aires, DF, Argentina; [Marengo, Jose] Ctr Previsao Tempo &amp; Estudos Climat INPE, Sao Paulo, Brazil</t>
  </si>
  <si>
    <t>Universidad de Chile; State University of New York (SUNY) System; State University of New York (SUNY) Albany; University of Buenos Aires</t>
  </si>
  <si>
    <t>Garreaud, RD (corresponding author), Univ Chile, Dept Geophys, Blanco Encalada 2002, Santiago, Chile.</t>
  </si>
  <si>
    <t>rgarreau@dgf.uchile.cl</t>
  </si>
  <si>
    <t>Marengo, Jose A/J-9382-2012; Vuille, Mathias/S-3906-2019; IPO, PAGES/JXY-7546-2024; Vuille, Mathias/O-8128-2019; Garreaud, Rene/JFS-4440-2023; Garreaud, Rene/I-6298-2016</t>
  </si>
  <si>
    <t>Vuille, Mathias/0000-0002-9736-4518; Garreaud, Rene/0000-0002-7875-2443</t>
  </si>
  <si>
    <t>CONICYT (Chile) [AC17-19]; NSF [EAR-0519415]; Proyecto de Investigacion Plurianual CONICET [PIP 5006]; Proyectos AGENCIA [PICT2004-26094, PICTR2002-00186, UBACYT X095]; MMA/BIRD/GEF/CNPq; UK Global Opportunity FundGOF Project; CLARIS-EU; Division Of Earth Sciences; Directorate For Geosciences [0836215] Funding Source: National Science Foundation</t>
  </si>
  <si>
    <t>CONICYT (Chile)(Comision Nacional de Investigacion Cientifica y Tecnologica (CONICYT)); NSF(National Science Foundation (NSF)); Proyecto de Investigacion Plurianual CONICET(Consejo Nacional de Investigaciones Cientificas y Tecnicas (CONICET)); Proyectos AGENCIA; MMA/BIRD/GEF/CNPq(Conselho Nacional de Desenvolvimento Cientifico e Tecnologico (CNPQ)); UK Global Opportunity FundGOF Project; CLARIS-EU; Division Of Earth Sciences; Directorate For Geosciences(National Science Foundation (NSF)NSF - Directorate for Geosciences (GEO))</t>
  </si>
  <si>
    <t>The authors thank R. Villalba and M. Grosjean for the organization of the PAGES meeting in Malargue that inspired this work. RG was supported by CONICYT (Chile) grant AC17-19. MV was supported by NSF EAR-0519415. RC is funded by Proyecto de Investigacion Plurianual CONICET (PIP 5006), Proyectos AGENCIA PICT2004-26094 y PICTR2002-00186 y Proyecto UBACYT X095. IM is funded by MMA/BIRD/GEF/CNPq (PROBIO Project), the UK Global Opportunity FundGOF Project Using Regional Climate Change Scenarios for Studies on Vulnerability and Adaptation in Brazil and South America, and the CLARIS-EU project.</t>
  </si>
  <si>
    <t>10.1016/j.palaeo.2007.10.032</t>
  </si>
  <si>
    <t>514AB</t>
  </si>
  <si>
    <t>WOS:000271364500002</t>
  </si>
  <si>
    <t>Martín, C; Gudmundsson, GH; Pritchard, HD; Gagliardini, O</t>
  </si>
  <si>
    <t>Martin, Carlos; Gudmundsson, G. Hilmar; Pritchard, Hamish D.; Gagliardini, Olivier</t>
  </si>
  <si>
    <t>On the effects of anisotropic rheology on ice flow, internal structure, and the age-depth relationship at ice divides</t>
  </si>
  <si>
    <t>SIPLE-DOME; WEST ANTARCTICA; ACCUMULATION PATTERN; SLIDING FRICTIONLESS; TEXTURE; APPROXIMATION; DEFORMATION; ISOCHRONES; EVOLUTION; FABRICS</t>
  </si>
  <si>
    <t>We use numerical modeling with a full-system Stokes solver to elucidate the effects of nonlinear rheology and strain-induced anisotropy on ice flow at ice divides. We find that anisotropic rheology profoundly affects the shape of both isochrone layering and surface topography. Anisotropic effects cause the formation of a downward curving fold, i.e., a syncline, in isochrones in the lower central area beneath the ice divide. When the resulting syncline is superimposed on the well-known Raymond anticline, a double-peaked Raymond bump is formed. Furthermore, to each side of the Raymond bump, flanking synclines are formed. In addition, anisotropic effects are found to give rise to a subtle concavity in the surface profile to both sides of the summit. The lower center syncline, the flanking synclines, and the near-summit surface concavity have all previously been observed in nature, but hitherto no explanation for the genesis of these features has been given. We compare modeling results with radiograms collected from Fuchs Ice Piedmont and Kealey Ice Rise, Antarctica. Good overall agreement is found. In particular, we are able to reproduce all observed qualitative features of surface geometry and internal layering by including, and only by including, the effects of induced nonlinear rheological anisotropy on flow. Rheological anisotropy has the potential to profoundly affect the age distribution with depth, and caution must be exercised when estimating age of ice from ice cores with an isotropic model. The occurrence of linear features parallel to the ridge of ice divides, often seen in satellite imagery, is indicative of long-term stability rather than signs of ongoing ice divide migration as previously suggested. Such ice divides are ideal locations for extracting ice cores.</t>
  </si>
  <si>
    <t>[Gagliardini, Olivier] UJF Grenoble I, CNRS, Lab Glaciol &amp; Geophys Environm, F-38402 St Martin Dheres, France; [Martin, Carlos; Gudmundsson, G. Hilmar; Pritchard, Hamish D.] British Antarctic Survey, Nat Environm Res Council, Div Phys Sci, Cambridge CB3 0ET, England</t>
  </si>
  <si>
    <t>Communaute Universite Grenoble Alpes; Universite Grenoble Alpes (UGA); Centre National de la Recherche Scientifique (CNRS); UK Research &amp; Innovation (UKRI); Natural Environment Research Council (NERC); NERC British Antarctic Survey</t>
  </si>
  <si>
    <t>Martín, C (corresponding author), British Antarctic Survey, Nat Environm Res Council, Div Phys Sci, High Cross,Madingley Rd, Cambridge CB3 0ET, England.</t>
  </si>
  <si>
    <t>cama@bas.ac.uk; ghg@bas.ac.uk; hprit@bas.ac.uk; gagliar@lgge.obs.ujf-grenoble.fr</t>
  </si>
  <si>
    <t>Gagliardini, Olivier/GQQ-1222-2022; Gudmundsson, Gudmundur Hilmar/F-6499-2012; Gudmundsson, Gudmundur Hilmar/AAU-5987-2020; Pritchard, Hamish Daniel/AAU-4696-2021; Martin, Carlos/S-2778-2018</t>
  </si>
  <si>
    <t>Gagliardini, Olivier/0000-0001-9162-3518; Gudmundsson, Gudmundur Hilmar/0000-0003-4236-5369; Gudmundsson, Gudmundur Hilmar/0000-0003-4236-5369; Martin, Carlos/0000-0002-2661-169X</t>
  </si>
  <si>
    <t>NERC; Natural Environment Research Council [bas010018] Funding Source: researchfish; NERC [bas010018] Funding Source: UKRI</t>
  </si>
  <si>
    <t>This work was supported by NERC GEF loan 785. The radargram of Fletcher Promontory shown in Figure 2 was collected by Richard C. A. Hindmarsh and processed by Edward King. We</t>
  </si>
  <si>
    <t>OCT 14</t>
  </si>
  <si>
    <t>F04001</t>
  </si>
  <si>
    <t>10.1029/2008JF001204</t>
  </si>
  <si>
    <t>508OY</t>
  </si>
  <si>
    <t>WOS:000270943900001</t>
  </si>
  <si>
    <t>Bevis, M; Kendrick, E; Smalley, R; Dalziel, I; Caccamise, D; Sasgen, I; Helsen, M; Taylor, FW; Zhou, H; Brown, A; Raleigh, D; Willis, M; Wilson, T; Konfal, S</t>
  </si>
  <si>
    <t>Bevis, Michael; Kendrick, Eric; Smalley, Robert, Jr.; Dalziel, Ian; Caccamise, Dana; Sasgen, Ingo; Helsen, Michiel; Taylor, F. W.; Zhou, Hao; Brown, Abel; Raleigh, David; Willis, Michael; Wilson, Terry; Konfal, Stephanie</t>
  </si>
  <si>
    <t>Geodetic measurements of vertical crustal velocity in West Antarctica and the implications for ice mass balance</t>
  </si>
  <si>
    <t>geodesy; geodynamics; postglacial rebound; GPS; GRACE; ice mass balance</t>
  </si>
  <si>
    <t>GLACIAL-ISOSTATIC-ADJUSTMENT; GRAVITY; SURFACE; PLATE; EARTH; MODEL</t>
  </si>
  <si>
    <t>We present preliminary geodetic estimates for vertical bedrock velocity at twelve survey GPS stations in the West Antarctic GPS Network, an additional survey station in the northern Antarctic Peninsula, and eleven continuous GPS stations distributed across the continent. The spatial pattern of these velocities is not consistent with any postglacial rebound (PGR) model known to us. Four leading PGR models appear to be overpredicting uplift rates in the Transantarctic Mountains and West Antarctica and underpredicting them in the peninsula north of 65 degrees. This discrepancy cannot be explained in terms of an elastic response to modern ice loss (except, perhaps, in part of the peninsula). Therefore, our initial geodetic results suggest that most GRACE ice mass rate estimates, which are critically dependent on a PGR correction, are systematically biased and are overpredicting ice loss for the continent as a whole.</t>
  </si>
  <si>
    <t>[Bevis, Michael; Kendrick, Eric; Caccamise, Dana; Zhou, Hao; Brown, Abel; Raleigh, David; Willis, Michael; Wilson, Terry; Konfal, Stephanie] Ohio State Univ, Sch Earth Sci, Mendenhall Lab 275, Columbus, OH 43210 USA; [Smalley, Robert, Jr.] Univ Memphis, Ctr Earthquake Res &amp; Informat, Memphis, TN 38152 USA; [Dalziel, Ian; Taylor, F. W.] Univ Texas Austin, Inst Geophys, Austin, TX 78758 USA; [Sasgen, Ingo] Deutsch GeoForschungsZentrum, D-14473 Potsdam, Germany; [Helsen, Michiel] Univ Utrecht, Inst Marine &amp; Atmospher Res, NL-3508 TA Utrecht, Netherlands</t>
  </si>
  <si>
    <t>University System of Ohio; Ohio State University; University of Memphis; University of Texas System; University of Texas Austin; Helmholtz Association; Helmholtz-Center Potsdam GFZ German Research Center for Geosciences; Utrecht University</t>
  </si>
  <si>
    <t>Bevis, M (corresponding author), Ohio State Univ, Sch Earth Sci, Mendenhall Lab 275, 125 S Oval Mall, Columbus, OH 43210 USA.</t>
  </si>
  <si>
    <t>mbevis@osu.edu</t>
  </si>
  <si>
    <t>Taylor, Frederick/HKV-2523-2023; Dalziel, Ian W. D./G-5926-2010; Taylor, Frederick/A-2195-2009</t>
  </si>
  <si>
    <t>Office of Polar Programs at the U. S. National Science Foundation</t>
  </si>
  <si>
    <t>Office of Polar Programs at the U. S. National Science Foundation(National Science Foundation (NSF))</t>
  </si>
  <si>
    <t>This research was funded by the Office of Polar Programs at the U. S. National Science Foundation. Logistical support was provided by the U. S. Antarctic Program. GPS measurements made after 2006, in the framework of WAGN's successor project POLENET, were supported by field engineers from UNAVCO, Inc. We thank the Jet Propulsion Laboratory for providing their early GPS data from station MBL1 and the British Antarctic Survey and the Technical University of Dresden for providing us with early GPS data from station HAAG. Reviews by R. Reilinger and M. Hamburger were greatly appreciated.</t>
  </si>
  <si>
    <t>OCT 13</t>
  </si>
  <si>
    <t>Q10005</t>
  </si>
  <si>
    <t>10.1029/2009GC002642</t>
  </si>
  <si>
    <t>508OJ</t>
  </si>
  <si>
    <t>WOS:000270942400003</t>
  </si>
  <si>
    <t>Dodd, PA; Heywood, KJ; Meredith, MP; Naveira-Garabato, AC; Marca, AD; Falkner, KK</t>
  </si>
  <si>
    <t>Dodd, Paul A.; Heywood, Karen J.; Meredith, Michael P.; Naveira-Garabato, Alberto C.; Marca, Alina D.; Falkner, Kelly K.</t>
  </si>
  <si>
    <t>Sources and fate of freshwater exported in the East Greenland Current</t>
  </si>
  <si>
    <t>FRAM STRAIT; ARCTIC-OCEAN; SEA-ICE; CIRCULATION; TRANSPORT; VELOCITY; FLUXES</t>
  </si>
  <si>
    <t>Monitoring the sources and fate of freshwater in the East Greenland Current (EGC) is important, as this water has the potential to suppress deep convection in the Nordic and Labrador Seas if the outflow of freshwater from the Arctic Ocean increases in response to climate change. Here, hydrographic, oxygen isotope ratio and dissolved barium concentration sections across Denmark Strait collected in 1998 and 1999 are used to determine the freshwater composition of the EGC at these times. Comparison of meltwater fluxes at Denmark Strait and Fram Strait indicates a net melting of sea ice into the EGC between these two locations, with a significant proportion of sea ice drifting into the Nordic Seas or on to the East Greenland Shelf. We conclude that the phase of freshwater exiting the Arctic Ocean through Fram Strait is important in determining its possible impact on deep water formation in the Nordic and Labrador Seas. Citation: Dodd, P. A., K. J. Heywood, M. P. Meredith, A. C. Naveira-Garabato, A. D. Marca, and K. K. Falkner (2009), Sources and fate of freshwater exported in the East Greenland Current, Geophys. Res. Lett., 36, L19608, doi: 10.1029/2009GL039663.</t>
  </si>
  <si>
    <t>[Dodd, Paul A.; Heywood, Karen J.; Marca, Alina D.] Univ E Anglia, Sch Environm Sci, Norwich NR4 7TJ, Norfolk, England; [Meredith, Michael P.] British Antarctic Survey, Cambridge CB3 0ET, England; [Naveira-Garabato, Alberto C.] Natl Oceanog Ctr, Southampton SO14 3ZH, Hants, England; [Falkner, Kelly K.] Oregon State Univ, Coll Ocean &amp; Atmospher Sci, Corvallis, OR 97331 USA</t>
  </si>
  <si>
    <t>University of East Anglia; UK Research &amp; Innovation (UKRI); Natural Environment Research Council (NERC); NERC British Antarctic Survey; NERC National Oceanography Centre; Oregon State University</t>
  </si>
  <si>
    <t>Dodd, PA (corresponding author), Polar Environm Ctr, Polar Inst, Hjalmar Johansens Gate 14, N-9296 Tromso, Norway.</t>
  </si>
  <si>
    <t>paul.dodd@npolar.no</t>
  </si>
  <si>
    <t>Garabato, Alberto Naveira/AAQ-1114-2020; Heywood, Karen/L-1757-2016</t>
  </si>
  <si>
    <t>Garabato, Alberto Naveira/0000-0001-6071-605X; Meredith, Michael/0000-0002-7342-7756; Heywood, Karen/0000-0001-9859-0026</t>
  </si>
  <si>
    <t>US Office of Naval Research Young Investigator Award; US NSF [OPP- 9747459]; Natural Environment Research Council [NE/C517633/1, NER/T/S/2000/00991, bas0100028] Funding Source: researchfish; NERC [bas0100028] Funding Source: UKRI</t>
  </si>
  <si>
    <t>US Office of Naval Research Young Investigator Award(Office of Naval Research); US NSF(National Science Foundation (NSF)); Natural Environment Research Council(UK Research &amp; Innovation (UKRI)Natural Environment Research Council (NERC)); NERC(UK Research &amp; Innovation (UKRI)Natural Environment Research Council (NERC))</t>
  </si>
  <si>
    <t>Thanks are due to the officers and crew of the RRS James Clark Ross and FS Polarstern for their support of this work. K. Falkner acknowledges support for this work under a US Office of Naval Research Young Investigator Award as well as US NSF grant OPP- 9747459.</t>
  </si>
  <si>
    <t>L19608</t>
  </si>
  <si>
    <t>10.1029/2009GL039663</t>
  </si>
  <si>
    <t>508OM</t>
  </si>
  <si>
    <t>WOS:000270942700002</t>
  </si>
  <si>
    <t>Velicogna, I</t>
  </si>
  <si>
    <t>Velicogna, I.</t>
  </si>
  <si>
    <t>Increasing rates of ice mass loss from the Greenland and Antarctic ice sheets revealed by GRACE</t>
  </si>
  <si>
    <t>BALANCE; SYSTEM</t>
  </si>
  <si>
    <t>We use monthly measurements of time-variable gravity from the GRACE (Gravity Recovery and Climate Experiment) satellite gravity mission to determine the ice mass-loss for the Greenland and Antarctic Ice Sheets during the period between April 2002 and February 2009. We find that during this time period the mass loss of the ice sheets is not a constant, but accelerating with time, i.e., that the GRACE observations are better represented by a quadratic trend than by a linear one, implying that the ice sheets contribution to sea level becomes larger with time. In Greenland, the mass loss increased from 137 Gt/yr in 2002-2003 to 286 Gt/yr in 2007-2009, i.e., an acceleration of -30 +/- 11 Gt/yr(2) in 2002-2009. In Antarctica the mass loss increased from 104 Gt/yr in 2002-2006 to 246 Gt/yr in 2006-2009, i. e., an acceleration of -26 +/- 14 Gt/yr(2) in 2002-2009. The observed acceleration in ice sheet mass loss helps reconcile GRACE ice mass estimates obtained for different time periods. Citation: Velicogna, I. (2009), Increasing rates of ice mass loss from the Greenland and Antarctic ice sheets revealed by GRACE, Geophys. Res. Lett., 36, L19503, doi: 10.1029/2009GL040222.</t>
  </si>
  <si>
    <t>[Velicogna, I.] Univ Calif Irvine, Dept Earth Syst Sci, Irvine, CA 92697 USA; [Velicogna, I.] CALTECH, Jet Prop Lab, Pasadena, CA USA</t>
  </si>
  <si>
    <t>University of California System; University of California Irvine; National Aeronautics &amp; Space Administration (NASA); NASA Jet Propulsion Laboratory (JPL); California Institute of Technology</t>
  </si>
  <si>
    <t>Velicogna, I (corresponding author), Univ Calif Irvine, Dept Earth Syst Sci, 3226 Croul Hall, Irvine, CA 92697 USA.</t>
  </si>
  <si>
    <t>isabella@uci.edu</t>
  </si>
  <si>
    <t>Velicogna, Isabella/R-5561-2018</t>
  </si>
  <si>
    <t>NASA's Cryospheric Science Program; Solid Earth and Natural Hazards Program; Terrestrial Hydrology Program; NSF Office of Polar Programs; Office of Polar Programs (OPP); Directorate For Geosciences [0840619] Funding Source: National Science Foundation</t>
  </si>
  <si>
    <t>NASA's Cryospheric Science Program(National Aeronautics &amp; Space Administration (NASA)); Solid Earth and Natural Hazards Program; Terrestrial Hydrology Program(National Aeronautics &amp; Space Administration (NASA)); NSF Office of Polar Programs(National Science Foundation (NSF)); Office of Polar Programs (OPP); Directorate For Geosciences(National Science Foundation (NSF)NSF - Directorate for Geosciences (GEO))</t>
  </si>
  <si>
    <t>This work was performed at the University of California Irvine and at the Jet Propulsion Laboratory, California Institute of Technology and was supported by grants from NASA's Cryospheric Science Program, Solid Earth and Natural Hazards Program, Terrestrial Hydrology Program and by the NSF Office of Polar Programs.</t>
  </si>
  <si>
    <t>L19503</t>
  </si>
  <si>
    <t>10.1029/2009GL040222</t>
  </si>
  <si>
    <t>WOS:000270942700005</t>
  </si>
  <si>
    <t>Pieretti, G; Nicolaus, B; Poli, A; Corsaro, MM; Lanzetta, R; Parrilli, M</t>
  </si>
  <si>
    <t>Pieretti, Giuseppina; Nicolaus, Barbara; Poli, Aannarita; Corsaro, Maria Michela; Lanzetta, Rosa; Parrilli, Michelangelo</t>
  </si>
  <si>
    <t>Structural determination of the O-chain polysaccharide from the haloalkaliphilic Halomonas alkaliantarctica bacterium strain CRSS</t>
  </si>
  <si>
    <t>CARBOHYDRATE RESEARCH</t>
  </si>
  <si>
    <t>Lipopolysaccharide; NMR spectroscopy; Haloalkaliphiles; Halomonas alkaliantarctica; Structure elucidation</t>
  </si>
  <si>
    <t>LAKE CAPE-RUSSELL; SP NOV.; ACE LAKE; ANTARCTICA; MICROORGANISMS; STRESS</t>
  </si>
  <si>
    <t>In hypersaline environments there are plenty of microorganisms belonging to both Bacteria and Archaea domains. These extremophiles have developed biochemical adaptations which comprise the accumulation of molar concentrations of potassium and chloride and the biosynthesis and/or the accumulation of organic osmotic solutes (osmolytes) within the cytoplasm. Moreover, to maintain the turgor of the cells halophiles enhance the production of anionic phospholipids and alter the fatty acid composition of the membrane lipids, but very little is known about adaptational structural changes of the lipopolysaccharides (LPS), the main constituent of the outer leaflet of the outer membrane of Gram-negative bacteria. The aim of this work is to investigate the chemical structure of these LPS in order to provide insight into the adaptation mechanism of halophiles to live at high salt concentration. For this, Halomonas alkaliantarctica, a haloalkaliphilic Gram-negative bacterium isolated from salt sediments of a saline lake in Cape Russell in the Antarctic continent, was cultivated and the LPS were extracted and analysed. The structure of the O-chain of the LPS from H. alkaliantarctica was determined by chemical analysis, 1-D and 2-D NMR spectroscopy. The polysaccharide was constituted of a linear trisaccharidic repeating unit as follows: -&gt; 3)-b-L-Rhap-(1 -&gt; 4)-a-L-Rhap-(1 -&gt; 3)-a-L-Rhap-(1 -&gt; A comparison among the O-chain structures of H. alkaliantarctica and other Halomonas species is also reported. (C) 2009 Elsevier Ltd. All rights reserved.</t>
  </si>
  <si>
    <t>[Pieretti, Giuseppina; Corsaro, Maria Michela; Lanzetta, Rosa; Parrilli, Michelangelo] Univ Naples Federico II, Dipartimento Chim Organ &amp; Biochim, I-80126 Naples, Italy; [Nicolaus, Barbara; Poli, Aannarita] CNR, ICB, I-80078 Pozzuoli, Italy</t>
  </si>
  <si>
    <t>University of Naples Federico II; Consiglio Nazionale delle Ricerche (CNR); Istituto di Chimica Biomolecolare (ICB-CNR)</t>
  </si>
  <si>
    <t>Corsaro, MM (corresponding author), Univ Naples Federico II, Dipartimento Chim Organ &amp; Biochim, Complesso Univ Monte S Angelo,Via Cinthia 4, I-80126 Naples, Italy.</t>
  </si>
  <si>
    <t>corsaro@unina.it</t>
  </si>
  <si>
    <t>Corsaro, Maria Michela/T-6190-2019</t>
  </si>
  <si>
    <t>Corsaro, Maria Michela/0000-0002-6834-8682; LANZETTA, Rosa/0000-0002-1472-5825; Parrilli, Michelangelo/0000-0001-8858-3623</t>
  </si>
  <si>
    <t>0008-6215</t>
  </si>
  <si>
    <t>1873-426X</t>
  </si>
  <si>
    <t>CARBOHYD RES</t>
  </si>
  <si>
    <t>Carbohydr. Res.</t>
  </si>
  <si>
    <t>OCT 12</t>
  </si>
  <si>
    <t>10.1016/j.carres.2009.06.022</t>
  </si>
  <si>
    <t>Biochemistry &amp; Molecular Biology; Chemistry, Applied; Chemistry, Organic</t>
  </si>
  <si>
    <t>Biochemistry &amp; Molecular Biology; Chemistry</t>
  </si>
  <si>
    <t>509UG</t>
  </si>
  <si>
    <t>WOS:000271043300019</t>
  </si>
  <si>
    <t>Kuchiki, K; Aoki, T; Tanikawa, T; Kodama, Y</t>
  </si>
  <si>
    <t>Kuchiki, Katsuyuki; Aoki, Teruo; Tanikawa, Tomonori; Kodama, Yuji</t>
  </si>
  <si>
    <t>Retrieval of snow physical parameters using a ground-based spectral radiometer</t>
  </si>
  <si>
    <t>APPLIED OPTICS</t>
  </si>
  <si>
    <t>GRAIN-SIZE; BIDIRECTIONAL REFLECTANCE; OPTICAL-PROPERTIES; SOLAR-RADIATION; ANTARCTIC SNOW; ALBEDO; MODEL; SURFACE; PRODUCTS; AEROSOLS</t>
  </si>
  <si>
    <t>A ground-based spectral radiometer system for albedo and flux (GSAF) was developed to retrieve a mass concentration of snow impurities and effective snow grain size automatically. The GSAF measures spectral albedo and diffuse fraction with a single sensor to omit a radiometric calibration. The deviation from an ideal cosine response of the sensor to insolation is precisely corrected. The snow physical parameters can be retrieved with the GSAF even under cloudy conditions, because the effect of illumination conditions on albedo is considered in a retrieval algorithm. Continuous measurements with the GSAF at two snowfields in Hokkaido, Japan, showed the correlations between the retrieved parameters and in situ measurements (R = 0.595 to 0.940). (C) 2009 Optical Society of America</t>
  </si>
  <si>
    <t>[Kuchiki, Katsuyuki; Aoki, Teruo] Meteorol Res Inst, Tsukuba, Ibaraki 3050052, Japan; [Tanikawa, Tomonori] Stevens Inst Technol, Hoboken, NJ 07030 USA; [Kodama, Yuji] Hokkaido Univ, Inst Low Temp Sci, Kita Ku, Sapporo, Hokkaido 0600819, Japan</t>
  </si>
  <si>
    <t>Meteorological Research Institute - Japan; Stevens Institute of Technology; Hokkaido University</t>
  </si>
  <si>
    <t>Kuchiki, K (corresponding author), Meteorol Res Inst, 1-1 Nagamine, Tsukuba, Ibaraki 3050052, Japan.</t>
  </si>
  <si>
    <t>kkuchiki@mri-jma.go.jp</t>
  </si>
  <si>
    <t>Ministry of Education, Culture, Sports, Science and Technology [18340146]; Japan Society for the Promotion of Science for Young Scientists; Grants-in-Aid for Scientific Research [18340146] Funding Source: KAKEN</t>
  </si>
  <si>
    <t>Ministry of Education, Culture, Sports, Science and Technology(Ministry of Education, Culture, Sports, Science and Technology, Japan (MEXT)); Japan Society for the Promotion of Science for Young Scientists(Ministry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</si>
  <si>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 J. Yasunari, M. Takahashi, T. Kuno, Y. Sawada, K. Shimoyama, T. Nakai, T. Sueyoshi, and J. Mori of Hokkaido University for performing the snow pit work at Sapporo, and E. Tanaka of the Japan Meteorological Agency and M. Niwano of the Meteorological Research Institute for analysis of snow impurities. We also thank Y. Iwata and T. Hirota of the National Agricultural Research Center for Hokkaido Region for providing the observational site and meteorological data in Memuro, and K. Inei and T. Seguchi of Predo Co., Ltd., Fussa, Japan, for developing and maintaining the GSAF system. This study was supported by the Ministry of Education, Culture, Sports, Science and Technology, Grant-in-Aid for Scientific Research (B), 18340146, 2006, and in part by Research Fellowships of the Japan Society for the Promotion of Science for Young Scientists.</t>
  </si>
  <si>
    <t>OPTICAL SOC AMER</t>
  </si>
  <si>
    <t>2010 MASSACHUSETTS AVE NW, WASHINGTON, DC 20036 USA</t>
  </si>
  <si>
    <t>1559-128X</t>
  </si>
  <si>
    <t>2155-3165</t>
  </si>
  <si>
    <t>APPL OPTICS</t>
  </si>
  <si>
    <t>Appl. Optics</t>
  </si>
  <si>
    <t>OCT 10</t>
  </si>
  <si>
    <t>10.1364/AO.48.005567</t>
  </si>
  <si>
    <t>Optics</t>
  </si>
  <si>
    <t>505DC</t>
  </si>
  <si>
    <t>WOS:000270667800020</t>
  </si>
  <si>
    <t>Horne, RB; Lam, MM; Green, JC</t>
  </si>
  <si>
    <t>Horne, Richard B.; Lam, Mai Mai; Green, Janet C.</t>
  </si>
  <si>
    <t>Energetic electron precipitation from the outer radiation belt during geomagnetic storms</t>
  </si>
  <si>
    <t>MAGNETIC STORMS; EMIC WAVES; DIFFUSION; ACCELERATION; PLASMA; TIME</t>
  </si>
  <si>
    <t>Relativistic electron precipitation changes the chemistry of the upper atmosphere and depletes ozone, but the spatial and temporal distributions are poorly known. Here we survey more than 9 years of data from low altitude satellites for different phases of geomagnetic storms. We find that for the outer radiation belt, electron precipitation &gt;300 keV peaks during the main phase of storms whereas that &gt;1 MeV peaks during the recovery phase. Precipitation &gt;300 keV can occur at all geographic longitudes in both hemispheres whereas that &gt;1 MeV occurs mainly poleward of the South Atlantic anomaly (SAA) region. The data suggest that wave-particle interactions are strong enough to precipitate &gt;300 keV electrons into the bounce loss cone, but precipitate &gt;1 MeV electrons into the drift loss cone. We find that whistler mode chorus waves alone cannot account for the higher MeV precipitation flux during the recovery phase. We suggest that whistler mode chorus waves accelerate electrons up to MeV energies during the recovery phase which are then precipitated by EMIC waves. The effects on atmospheric chemistry due to MeV electron precipitation are more likely to occur in the southern hemisphere poleward of the SAA region with a delay of 1-2 days or more from the peak of the storm. Citation: Horne, R. B., M. M. Lam, and J. C. Green (2009), Energetic electron precipitation from the outer radiation belt during geomagnetic storms, Geophys. Res. Lett., 36, L19104, doi:10.1029/2009GL040236.</t>
  </si>
  <si>
    <t>[Horne, Richard B.; Lam, Mai Mai] British Antarctic Survey, Cambridge CB3 0ET, England; [Green, Janet C.] NOAA, Space Weather Predict Ctr, Boulder, CO 80305 USA; [Horne, Richard B.] Univ Sheffield, Dept Automat Control &amp; Syst Engn, Sheffield, S Yorkshire, England</t>
  </si>
  <si>
    <t>UK Research &amp; Innovation (UKRI); Natural Environment Research Council (NERC); NERC British Antarctic Survey; National Oceanic Atmospheric Admin (NOAA) - USA; University of Sheffield</t>
  </si>
  <si>
    <t>Horne, RB (corresponding author), British Antarctic Survey, Madingley Rd, Cambridge CB3 0ET, England.</t>
  </si>
  <si>
    <t>rh@bas.ac.uk; mlam@bas.ac.uk; janet.green@noaa.gov</t>
  </si>
  <si>
    <t>Horne, Richard B/U-3764-2019</t>
  </si>
  <si>
    <t>Horne, Richard B/0000-0002-0412-6407</t>
  </si>
  <si>
    <t>Natural Environment Research Council in UK; NERC [bas0100023] Funding Source: UKRI; STFC [PP/E000983/1] Funding Source: UKRI; Natural Environment Research Council [bas0100023] Funding Source: researchfish; Science and Technology Facilities Council [PP/E000983/1] Funding Source: researchfish</t>
  </si>
  <si>
    <t>Natural Environment Research Council in UK;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</si>
  <si>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research was supported in the UK by the Natural Environment Research Council.</t>
  </si>
  <si>
    <t>OCT 9</t>
  </si>
  <si>
    <t>L19104</t>
  </si>
  <si>
    <t>10.1029/2009GL040236</t>
  </si>
  <si>
    <t>505MC</t>
  </si>
  <si>
    <t>WOS:000270696700007</t>
  </si>
  <si>
    <t>Cheng, H; Edwards, RL; Broecker, WS; Denton, GH; Kong, XG; Wang, YJ; Zhang, R; Wang, XF</t>
  </si>
  <si>
    <t>Cheng, Hai; Edwards, R. Lawrence; Broecker, Wallace S.; Denton, George H.; Kong, Xinggong; Wang, Yongjin; Zhang, Rong; Wang, Xianfeng</t>
  </si>
  <si>
    <t>Ice Age Terminations</t>
  </si>
  <si>
    <t>ABRUPT CLIMATE-CHANGE; MILLENNIAL-SCALE; ASIAN MONSOON; HIGH-RESOLUTION; DONGGE CAVE; HULU CAVE; ATLANTIC; RECORD; VARIABILITY; HOLOCENE</t>
  </si>
  <si>
    <t>Th-230-dated oxygen isotope records of stalagmites from Sanbao Cave, China, characterize Asian Monsoon (AM) precipitation through the ends of the third-and fourthmost recent ice ages. As a result, AM records for the past four glacial terminations can now be precisely correlated with those from ice cores and marine sediments, establishing the timing and sequence of major events. In all four cases, observations are consistent with a classic Northern Hemisphere summer insolation intensity trigger for an initial retreat of northern ice sheets. Meltwater and icebergs entering the North Atlantic alter oceanic and atmospheric circulation and associated fluxes of heat and carbon, causing increases in atmospheric CO2 and Antarctic temperatures that drive the termination in the Southern Hemisphere. Increasing CO2 and summer insolation drive recession of northern ice sheets, with probable positive feedbacks between sea level and CO2.</t>
  </si>
  <si>
    <t>[Cheng, Hai; Edwards, R. Lawrence; Wang, Xianfeng] Univ Minnesota, Dept Geol &amp; Geophys, Minneapolis, MN 55455 USA; [Broecker, Wallace S.] Columbia Univ, Lamont Doherty Earth Observ, Palisades, NY 10964 USA; [Denton, George H.] Univ Maine, Climate Change Inst, Bryand Global Sci Ctr, Dept Earth Sci, Orono, ME 04469 USA; [Kong, Xinggong; Wang, Yongjin] Nanjing Normal Univ, Coll Geog Sci, Nanjing 210097, Peoples R China; [Zhang, Rong] NOAA, Geophys Fluid Dynam Lab, Princeton, NJ 08540 USA</t>
  </si>
  <si>
    <t>University of Minnesota System; University of Minnesota Twin Cities; Columbia University; University of Maine System; University of Maine Orono; Nanjing Normal University; National Oceanic Atmospheric Admin (NOAA) - USA</t>
  </si>
  <si>
    <t>Edwards, RL (corresponding author), Univ Minnesota, Dept Geol &amp; Geophys, Minneapolis, MN 55455 USA.</t>
  </si>
  <si>
    <t>edwar001@umn.edu</t>
  </si>
  <si>
    <t>Edwards, R. Lawrence/I-3124-2014; Edwards, Richard/JAX-3732-2023; NSONWU-ANYANWU, AUGUSTA CHINYERE/P-3820-2019; Usoro, Chinyere A.O./N-6860-2018; CHENG, HAI/H-3413-2017; Zhang, Rong/D-9767-2014; Wang, Xianfeng/F-1233-2014</t>
  </si>
  <si>
    <t>Usoro, Chinyere A.O./0000-0001-5864-4798; CHENG, HAI/0000-0002-5305-9458; Zhang, Rong/0000-0002-8493-6556; Wang, Xianfeng/0000-0002-8614-5627</t>
  </si>
  <si>
    <t>U.S. NSF [0502535]; Gary Comer Science and Education Foundation [CC8]; NOAA; National Natural Science Foundation of China [40631003, 40771009]; Directorate For Geosciences; Div Atmospheric &amp; Geospace Sciences [0502535] Funding Source: National Science Foundation</t>
  </si>
  <si>
    <t>U.S. NSF(National Science Foundation (NSF)); Gary Comer Science and Education Foundation; NOAA(National Oceanic Atmospheric Admin (NOAA) - USA); National Natural Science Foundation of China(National Natural Science Foundation of China (NSFC)); Directorate For Geosciences; Div Atmospheric &amp; Geospace Sciences(National Science Foundation (NSF)NSF - Directorate for Geosciences (GEO))</t>
  </si>
  <si>
    <t>We thank the late Gary Comer for his generous support and J. Severinghaus, V. Masson-Delmotte, and P. Clark for valuable suggestions. This work was supported by U.S. NSF grant 0502535, Gary Comer Science and Education Foundation grant CC8, NOAA grants to G. H. D., and National Natural Science Foundation of China grants 40631003 and 40771009.</t>
  </si>
  <si>
    <t>1095-9203</t>
  </si>
  <si>
    <t>10.1126/science.1177840</t>
  </si>
  <si>
    <t>504EX</t>
  </si>
  <si>
    <t>WOS:000270599500033</t>
  </si>
  <si>
    <t>Bijl, PK; Schouten, S; Sluijs, A; Reichart, GJ; Zachos, JC; Brinkhuis, H</t>
  </si>
  <si>
    <t>Bijl, Peter K.; Schouten, Stefan; Sluijs, Appy; Reichart, Gert-Jan; Zachos, James C.; Brinkhuis, Henk</t>
  </si>
  <si>
    <t>Early Palaeogene temperature evolution of the southwest Pacific Ocean</t>
  </si>
  <si>
    <t>SEA-SURFACE TEMPERATURES; EOCENE; CLIMATE; MIDDLE</t>
  </si>
  <si>
    <t>Relative to the present day, meridional temperature gradients in the Early Eocene age (similar to 56-53 Myr ago) were unusually low, with slightly warmer equatorial regions(1) but with much warmer subtropical Arctic(2) and mid-latitude(3) climates. By the end of the Eocene epoch (similar to 34 Myr ago), the first major Antarctic ice sheets had appeared(4,5), suggesting that major cooling had taken place. Yet the global transition into this icehouse climate remains poorly constrained, as only a few temperature records are available portraying the Cenozoic climatic evolution of the high southern latitudes. Here we present a uniquely continuous and chronostratigraphically well-calibrated TEX86 record of sea surface temperature (SST) from an ocean sediment core in the East Tasman Plateau (palaeolatitude similar to 65 degrees S). We show that southwest Pacific SSTs rose above presentday tropical values (to similar to 34 degrees C) during the Early Eocene age (similar to 53 Myr ago) and had gradually decreased to about 21 degrees C by the early Late Eocene age (similar to 36 Myr ago). Our results imply that there was almost no latitudinal SST gradient between subequatorial and subpolar regions during the Early Eocene age (55-50 Myr ago). Thereafter, the latitudinal gradient markedly increased. In theory, if Eocene cooling was largely driven by a decrease in atmospheric greenhouse gas concentration(6), additional processes are required to explain the relative stability of tropical SSTs given that there was more significant cooling at higher latitudes.</t>
  </si>
  <si>
    <t>[Bijl, Peter K.; Sluijs, Appy; Brinkhuis, Henk] Univ Utrecht, Palaeobot &amp; Palynol Lab, Fac Sci, Inst Environm Biol, NL-3584 CD Utrecht, Netherlands; [Reichart, Gert-Jan] Univ Utrecht, Fac Geosci, Dept Geochem, NL-3584 CD Utrecht, Netherlands; [Schouten, Stefan] NIOZ Royal Netherlands Inst Sea Res, Dept Marine Organ Biogeochem, NL-1790 AB Den Burg, Netherlands; [Zachos, James C.] Univ Calif Santa Cruz, Dept Earth &amp; Planetary Sci, Santa Cruz, CA 95064 USA; [Zachos, James C.] Univ Calif Santa Cruz, Inst Marine Sci, Santa Cruz, CA 95064 USA</t>
  </si>
  <si>
    <t>Utrecht University; Utrecht University; Utrecht University; Royal Netherlands Institute for Sea Research (NIOZ); University of California System; University of California Santa Cruz; University of California System; University of California Santa Cruz</t>
  </si>
  <si>
    <t>Bijl, PK (corresponding author), Univ Utrecht, Palaeobot &amp; Palynol Lab, Fac Sci, Inst Environm Biol, Budapestlaan 4, NL-3584 CD Utrecht, Netherlands.</t>
  </si>
  <si>
    <t>p.k.bijl@uu.nl</t>
  </si>
  <si>
    <t>Brinkhuis, Henk/IUO-8165-2023; Brinkhuis, Henk/B-4223-2009; Sluijs, Appy/B-3726-2009; Reichart, Gert-Jan/N-6308-2018; Zachos, James/A-7674-2008</t>
  </si>
  <si>
    <t>Brinkhuis, Henk/0000-0003-0253-6610; Sluijs, Appy/0000-0003-2382-0215; Bijl, Peter/0000-0002-1710-4012; Reichart, Gert-Jan/0000-0002-7256-2243; Zachos, James/0000-0001-8439-1886</t>
  </si>
  <si>
    <t>Utrecht University; Netherlands Organisation for Scientific Research; LPP Foundation; US National Science Foundation</t>
  </si>
  <si>
    <t>Utrecht University; Netherlands Organisation for Scientific Research(Netherlands Organization for Scientific Research (NWO)); LPP Foundation; US National Science Foundation(National Science Foundation (NSF))</t>
  </si>
  <si>
    <t>Funding for this research was provided by Utrecht University, the Netherlands Organisation for Scientific Research (VICI grant to S. S.; VENI grant to A. S.) and the LPP Foundation. This research used samples and data provided by the Ocean Drilling Program (ODP). The ODP was sponsored by the US National Science Foundation and participating countries under the management of Joint Oceanographic Institutions, Inc. G. Nobbe, E. van Bentum, E. Speelman, J. Ossebaar, A. Mets and E. Hopmans are thanked for technical support. We acknowledge C. J. Hollis, P. N. Pearson and P. F. Sexton for providing published data. A. J. P. ( Sander) Houben, P. N. Pearson and M. Huber are thanked for critical comments.</t>
  </si>
  <si>
    <t>OCT 8</t>
  </si>
  <si>
    <t>10.1038/nature08399</t>
  </si>
  <si>
    <t>503OR</t>
  </si>
  <si>
    <t>WOS:000270547500032</t>
  </si>
  <si>
    <t>Abel, GA; Freeman, MP; Chisham, G</t>
  </si>
  <si>
    <t>Abel, G. A.; Freeman, M. P.; Chisham, G.</t>
  </si>
  <si>
    <t>IMF clock angle control of multifractality in ionospheric velocity fluctuations</t>
  </si>
  <si>
    <t>INTERPLANETARY MAGNETIC-FIELD; SOLAR-WIND; AE INDEXES; SUPERDARN; RADAR; CONVECTION; DYNAMICS; SPECTRA; CUSP; TIME</t>
  </si>
  <si>
    <t>We present an analysis of 8 years of meridional line-of-sight ionospheric plasma velocity measurements from the Halley SuperDARN radar which investigates the effect of the interplanetary magnetic field (IMF) clock angle on the scaling exponents of the first three order velocity structure functions. We only use velocity measurements made poleward of the open/closed magnetic field line boundary in the nightside ionosphere. The measured scaling exponents are consistent with multifractal Kraichnan-Iroshnikov turbulence for all clock angles but with varying intermittency that decreases to zero during purely northward IMF conditions. We thus propose that intermittency is inherited from the solar wind but also discuss other possible reasons for this relationship. Citation: Abel, G. A., M. P. Freeman, and G. Chisham (2009), IMF clock angle control of multifractality in ionospheric velocity fluctuations, Geophys. Res. Lett., 36, L19102, doi:10.1029/2009GL040336.</t>
  </si>
  <si>
    <t>[Abel, G. A.; Freeman, M. P.; Chisham, G.] British Antarctic Survey, Nat Environm Res Council, Cambridge CB3 0ET, England</t>
  </si>
  <si>
    <t>Abel, GA (corresponding author), British Antarctic Survey, Nat Environm Res Council, High Cross,Madingley Rd, Cambridge CB3 0ET, England.</t>
  </si>
  <si>
    <t>gaab@bas.ac.uk; mpf@bas.ac.uk; gchi@bas.ac.uk</t>
  </si>
  <si>
    <t>Abel, Gary/ABE-1765-2021; Freeman, Mervyn/E-5687-2019</t>
  </si>
  <si>
    <t>Abel, Gary/0000-0003-2231-5161; Freeman, Mervyn/0000-0002-8653-8279</t>
  </si>
  <si>
    <t>NERC [bas0100025, bas010021, bas0100026] Funding Source: UKRI; Natural Environment Research Council [bas010021, bas0100025, bas0100026] Funding Source: researchfish</t>
  </si>
  <si>
    <t>OCT 7</t>
  </si>
  <si>
    <t>L19102</t>
  </si>
  <si>
    <t>10.1029/2009GL040336</t>
  </si>
  <si>
    <t>505LY</t>
  </si>
  <si>
    <t>WOS:000270696300004</t>
  </si>
  <si>
    <t>Oliveira, LR; Piola, AR; Mata, MM; Soares, ID</t>
  </si>
  <si>
    <t>Oliveira, Leopoldo R.; Piola, Alberto R.; Mata, Mauricio M.; Soares, Ivan D.</t>
  </si>
  <si>
    <t>Brazil Current surface circulation and energetics observed from drifting buoys</t>
  </si>
  <si>
    <t>EDDY KINETIC-ENERGY; SOUTH-ATLANTIC; GULF-STREAM; MEAN CIRCULATION; NORTH-ATLANTIC; NATAL PULSES; NEAR-SURFACE; VARIABILITY; ALTIMETER; MOMENTUM</t>
  </si>
  <si>
    <t>The southwestern Atlantic mean surface circulation, its associated variability and energetics are studied through the analysis of 13 years of surface drifter data binned onto a 0.5 degrees x 0.5 degrees grid. Special attention is given to the following three main regional features of the domain: the Brazil Current, the Malvinas Current, and the Brazil-Malvinas Confluence. For the western boundary currents, the mean field reveals velocities larger than 45 cm s(-1), associated with high levels of variability (standard deviation of more than 15 cm s(-1)), while the highest values of standard deviation are found in the Brazil-Malvinas Confluence (&gt; 25 cm s(-1)). Conversely, over most of the domain the mean velocities found (20-30 cm s(-1)) and associated standard deviations (&lt; 15 cm s(-1)) are generally lower. High values of kinetic energy of the mean flow per unit mass (265-1000 cm(2) s(-2)) are estimated in the western boundary currents and their extensions. Eddy kinetic energy along the main jet of the western boundary currents is generally lower than the kinetic energy of the mean flow, except for some areas along the Brazil Current path. In contrast, the Brazil-Malvinas Confluence reveals eddy kinetic energy levels comparable or larger (similar to 2500 cm(2) s(-2)) than the mean kinetic energy. Away from the boundary, most of the kinetic energy of the surface circulation is in the eddy field. Furthermore, the analysis of the kinetic energy conversion term suggests the presence of barotropic instabilities along the Brazil Current. Over most of the Brazil Current core, the kinetic energy conversion term points from the mean to eddy kinetic energy.</t>
  </si>
  <si>
    <t>[Oliveira, Leopoldo R.; Mata, Mauricio M.; Soares, Ivan D.] Univ Fed Rio Grande, Inst Oceanog, Lab Estudos Oceanos &amp; Clima, BR-96201900 Rio Grande, RS, Brazil; [Piola, Alberto R.] Univ Buenos Aires, Fac Ciencias Exactas &amp; Nat, Serv Hidrog Naval, Dept Ciencias Atmosfera &amp; Oceanos, Buenos Aires, DF, Argentina</t>
  </si>
  <si>
    <t>Universidade Federal do Rio Grande; Servicio de Hidrografia Naval; University of Buenos Aires</t>
  </si>
  <si>
    <t>Oliveira, LR (corresponding author), Univ Fed Rio Grande, Inst Oceanog, Lab Estudos Oceanos &amp; Clima, Rua Eng Alfredo Huch 475, BR-96201900 Rio Grande, RS, Brazil.</t>
  </si>
  <si>
    <t>leopoldorota@yahoo.com.br</t>
  </si>
  <si>
    <t>Piola, Alberto/HZI-5475-2023; Mata, Mauricio/H-4605-2011; Piola, Alberto/O-2280-2013</t>
  </si>
  <si>
    <t>Mata, Mauricio/0000-0002-9028-8284; Piola, Alberto/0000-0002-5003-8926</t>
  </si>
  <si>
    <t>Brazilian Research Council/Brazilian Antarctic Program (CNPq/PROANTAR) [550370/2002-1, 520189/2006-0]; Inter-American Institute for Global Change Research (IAI) [CRN 2076]; U.S. National Science Foundation [GEO-0452325]; Brazilian Ministry of the Environment; CAPES/FURG doctoral fellowship [BEX 382217/2007-1]; CNPq [Pq 301623/2006-6]; Agencia Nacional de Promocion Cientifica y Tecnologica, Argentina [PICT04-25533]</t>
  </si>
  <si>
    <t>Brazilian Research Council/Brazilian Antarctic Program (CNPq/PROANTAR)(Conselho Nacional de Desenvolvimento Cientifico e Tecnologico (CNPQ)); Inter-American Institute for Global Change Research (IAI); U.S. National Science Foundation(National Science Foundation (NSF)); Brazilian Ministry of the Environment; CAPES/FURG doctoral fellowship(Coordenacao de Aperfeicoamento de Pessoal de Nivel Superior (CAPES)); CNPq(Conselho Nacional de Desenvolvimento Cientifico e Tecnologico (CNPQ)); Agencia Nacional de Promocion Cientifica y Tecnologica, Argentina(ANPCyT)</t>
  </si>
  <si>
    <t>This research was funded by grants 550370/2002-1 ( GOAL) and 520189/2006-0 ( SOS-CLIMATE) of the Brazilian Research Council/Brazilian Antarctic Program (CNPq/PROANTAR) and it was carried out with the aid of a grant from the Inter-American Institute for Global Change Research (IAI) CRN 2076, which is supported by the U. S. National Science Foundation ( grant GEO-0452325). We also thank the support given by the Brazilian Ministry of the Environment (MMA) to GOAL activities. L. R. O. and M. M. M. were supported by a CAPES/FURG doctoral fellowship (BEX 382217/2007-1) and CNPq research grant (Pq 301623/2006-6), respectively. Additional funding was provided by PICT04-25533 from Agencia Nacional de Promocion Cientifica y Tecnologica, Argentina. The authors wish to thank AOML/NOAA for providing the drifter data.</t>
  </si>
  <si>
    <t>C10006</t>
  </si>
  <si>
    <t>10.1029/2008JC004900</t>
  </si>
  <si>
    <t>505OO</t>
  </si>
  <si>
    <t>WOS:000270703800001</t>
  </si>
  <si>
    <t>Sakamoto, KQ; Takahashi, A; Iwata, T; Trathan, PN</t>
  </si>
  <si>
    <t>Sakamoto, Kentaro Q.; Takahashi, Akinori; Iwata, Takashi; Trathan, Philip N.</t>
  </si>
  <si>
    <t>From the Eye of the Albatrosses: A Bird-Borne Camera Shows an Association between Albatrosses and a Killer Whale in the Southern Ocean</t>
  </si>
  <si>
    <t>PLOS ONE</t>
  </si>
  <si>
    <t>Albatrosses fly many hundreds of kilometers across the open ocean to find and feed upon their prey. Despite the growing number of studies concerning their foraging behaviour, relatively little is known about how albatrosses actually locate their prey. Here, we present our results from the first deployments of a combined animal-borne camera and depth data logger on free-ranging black-browed albatrosses (Thalassarche melanophrys). The still images recorded from these cameras showed that some albatrosses actively followed a killer whale (Orcinus orca), possibly to feed on food scraps left by this diving predator. The camera images together with the depth profiles showed that the birds dived only occasionally, but that they actively dived when other birds or the killer whale were present. This association with diving predators or other birds may partially explain how albatrosses find their prey more efficiently in the apparently 'featureless' ocean, with a minimal requirement for energetically costly diving or landing activities.</t>
  </si>
  <si>
    <t>[Sakamoto, Kentaro Q.] Hokkaido Univ, Grad Sch Vet Med, Sapporo, Hokkaido, Japan; [Takahashi, Akinori; Iwata, Takashi] Natl Inst Polar Res, Dept Polar Sci, Grad Univ Adv Studies, Tachikawa, Tokyo, Japan; [Trathan, Philip N.] NERC, British Antarctic Survey, Cambridge, England</t>
  </si>
  <si>
    <t>Hokkaido University; Graduate University for Advanced Studies - Japan; Research Organization of Information &amp; Systems (ROIS); National Institute of Polar Research (NIPR) - Japan; UK Research &amp; Innovation (UKRI); Natural Environment Research Council (NERC); NERC British Antarctic Survey</t>
  </si>
  <si>
    <t>Sakamoto, KQ (corresponding author), Hokkaido Univ, Grad Sch Vet Med, Sapporo, Hokkaido, Japan.</t>
  </si>
  <si>
    <t>atak@nipr.ac.jp</t>
  </si>
  <si>
    <t>Sakamoto, Kentaro/N-7424-2019; Sakamoto, Kentaro/A-4843-2012; Iwata, Takashi/U-7234-2018</t>
  </si>
  <si>
    <t>Sakamoto, Kentaro/0000-0002-8499-799X; Sakamoto, Kentaro/0000-0002-8499-799X; Iwata, Takashi/0000-0001-5492-9411</t>
  </si>
  <si>
    <t>NERC [bas0100025] Funding Source: UKRI; Natural Environment Research Council [bas0100025] Funding Source: researchfish</t>
  </si>
  <si>
    <t>PUBLIC LIBRARY SCIENCE</t>
  </si>
  <si>
    <t>SAN FRANCISCO</t>
  </si>
  <si>
    <t>1160 BATTERY STREET, STE 100, SAN FRANCISCO, CA 94111 USA</t>
  </si>
  <si>
    <t>1932-6203</t>
  </si>
  <si>
    <t>PLoS One</t>
  </si>
  <si>
    <t>e7322</t>
  </si>
  <si>
    <t>10.1371/journal.pone.0007322</t>
  </si>
  <si>
    <t>504DJ</t>
  </si>
  <si>
    <t>Green Accepted, Green Published, gold</t>
  </si>
  <si>
    <t>WOS:000270594000006</t>
  </si>
  <si>
    <t>Wan, SM; Kürschner, WM; Clift, PD; Li, AC; Li, TG</t>
  </si>
  <si>
    <t>Wan, Shiming; Kurschner, Wolfram M.; Clift, Peter D.; Li, Anchun; Li, Tiegang</t>
  </si>
  <si>
    <t>Extreme weathering/erosion during the Miocene Climatic Optimum: Evidence from sediment record in the South China Sea</t>
  </si>
  <si>
    <t>ATMOSPHERIC CARBON-DIOXIDE; LATE CENOZOIC UPLIFT; EVOLUTION; BURIAL; RATES; VEGETATION; PALEOSOLS; DECLINE; MONSOON; CYCLE</t>
  </si>
  <si>
    <t>Investigating the interplay between continental weathering and erosion, climate, and atmospheric CO2 concentrations is significant in understanding the mechanisms that force the Cenozoic global cooling and predicting the future climatic and environmental response to increasing temperature and CO2 levels. The Miocene represents an ideal test case as it encompasses two distinct extreme climate periods, the Miocene Climatic Optimum (MCO) with the warmest time since 35 Ma in Earth's history and the transition to the Late Cenozoic icehouse mode with the establishment of the east Antarctic ice sheet. However the precise role of continental weathering during this period of major climate change is poorly understood. Here we show changes in the rates of Miocene continental chemical weathering and physical erosion, which we tracked using the chemical index of alteration ( CIA) and mass accumulation rate ( MAR) respectively from Ocean Drilling Program (ODP) Site 1146 and 1148 in the South China Sea. We found significantly increased CIA values and terrigenous MARs during the MCO (ca. 17-15 Ma) compared to earlier and later periods suggests extreme continental weathering and erosion at that time. Similar high rates were revealed in the early-middle Miocene of Asia, the European Alps, and offshore Angola. This suggests that rapid sedimentation during the MCO was a global erosion event triggered by climate rather than regional tectonic activity. The close coherence of our records with high temperature, strong precipitation, increased burial of organic carbon and elevated atmospheric CO2 concentration during the MCO argues for long-term, close coupling between continental silicate weathering, erosion, climate and atmospheric CO2 during the Miocene. Citation: Wan, S., W. M. Kurschner, P. D. Clift, A. Li, and T. Li (2009), Extreme weathering/ erosion during the Miocene Climatic Optimum: Evidence from sediment record in the South China Sea, Geophys. Res. Lett., 36, L19706, doi: 10.1029/2009GL040279.</t>
  </si>
  <si>
    <t>[Wan, Shiming; Li, Anchun; Li, Tiegang] Chinese Acad Sci, Inst Oceanol, Key Lab Marine Geol &amp; Environm, Qingdao 266071, Peoples R China; [Wan, Shiming] Chinese Acad Sci, Inst Geol &amp; Geophys, Beijing, Peoples R China; [Kurschner, Wolfram M.] Univ Utrecht, Dept Palaeoecol, Inst Environm Biol, NL-3584 CD Utrecht, Netherlands; [Clift, Peter D.] Univ Aberdeen, Sch Geosci, Kings Coll, Aberdeen AB24 3UE, Scotland</t>
  </si>
  <si>
    <t>Chinese Academy of Sciences; Institute of Oceanology, CAS; Chinese Academy of Sciences; Institute of Geology &amp; Geophysics, CAS; Utrecht University; University of Aberdeen</t>
  </si>
  <si>
    <t>Wan, SM (corresponding author), Chinese Acad Sci, Inst Oceanol, Key Lab Marine Geol &amp; Environm, Naihai Rd 7, Qingdao 266071, Peoples R China.</t>
  </si>
  <si>
    <t>wanshiming@ms.qdio.ac.cn</t>
  </si>
  <si>
    <t>Wan, Shiming/B-4735-2011; Clift, Peter/JWO-3915-2024; Kürschner, Wolfram Michael/B-4724-2009; Kürschner, Wolfram Michael/AAC-7769-2020; Clift, Peter D/A-8972-2012; Wan, Shiming/B-4735-2011</t>
  </si>
  <si>
    <t>Wan, Shiming/0000-0001-9335-2248; Kürschner, Wolfram Michael/0000-0001-6883-6486; Kürschner, Wolfram Michael/0000-0001-6883-6486; Wan, Shiming/0000-0002-1593-563X</t>
  </si>
  <si>
    <t>National Natural Science Foundation of China [40706025]; National Basic Research Program [2007CB411703]; Knowledge Innovation Program of CAS [KZCX2-YW-229]; China Postdoctoral Science Foundation; Netherlands Research School of Sedimentary Geology [20090802]</t>
  </si>
  <si>
    <t>National Natural Science Foundation of China(National Natural Science Foundation of China (NSFC)); National Basic Research Program(National Basic Research Program of China); Knowledge Innovation Program of CAS(Knowledge Innovation Program of the Chinese Academy of Sciences); China Postdoctoral Science Foundation(China Postdoctoral Science Foundation); Netherlands Research School of Sedimentary Geology</t>
  </si>
  <si>
    <t>All samples for this study were supplied by the Ocean Drilling Program. This work was supported by the National Natural Science Foundation of China ( 40706025), National Basic Research Program (2007CB411703), Knowledge Innovation Program of CAS (KZCX2-YW-229), and China Postdoctoral Science Foundation funded project. This is publication 20090802 of the Netherlands Research School of Sedimentary Geology. We thank the editor, N. Diffenbaugh and two anonymous reviewers for their helpful reviews.</t>
  </si>
  <si>
    <t>OCT 6</t>
  </si>
  <si>
    <t>L19706</t>
  </si>
  <si>
    <t>10.1029/2009GL040279</t>
  </si>
  <si>
    <t>505LX</t>
  </si>
  <si>
    <t>WOS:000270696200006</t>
  </si>
  <si>
    <t>Griggs, JA; Bamber, JL</t>
  </si>
  <si>
    <t>Griggs, J. A.; Bamber, J. L.</t>
  </si>
  <si>
    <t>Ice shelf thickness over Larsen C, Antarctica, derived from satellite altimetry</t>
  </si>
  <si>
    <t>MASS-BALANCE; RADAR INTERFEROMETRY; WEST ANTARCTICA; CLIMATE; SHEETS; CONTINENT; GREENLAND; ACCURACY; COLLAPSE; GLACIER</t>
  </si>
  <si>
    <t>Satellite radar altimetry can be used to infer the thickness of floating ice shelves around Antarctica under the assumption of hydrostatic equilibrium. Ice shelf thickness is an essential parameter in mass budget calculations and is one of the more poorly characterised. Using data from the ERS-1 radar altimeter recorded in 1994-5, we calculate the thickness of Larsen C ice shelf on the Antarctic Peninsula. The surface elevation was determined to an accuracy of -2.3 +/- 4.35 m as compared to elevations from the laser altimeter onboard ICESat. Using a model for firn depth and density, we created a 1 km grid of ice shelf thickness for Larsen C. The accuracy of the ice thickness retrieval was determined from independent airborne radio echo sounding data. The results indicated a bias of -0.22 m and random error of 36.7 m, which is equivalent to 12.7% of the mean thickness for this ice shelf. Citation: Griggs, J. A., and J. L. Bamber (2009), Ice shelf thickness over Larsen C, Antarctica, derived from satellite altimetry, Geophys. Res. Lett., 36, L19501, doi: 10.1029/2009GL039527.</t>
  </si>
  <si>
    <t>[Griggs, J. A.; Bamber, J. L.] Univ Bristol, Sch Geog Sci, Bristol Glaciol Ctr, Bristol BS8 1SS, Avon, England</t>
  </si>
  <si>
    <t>University of Bristol</t>
  </si>
  <si>
    <t>Griggs, JA (corresponding author), Univ Bristol, Sch Geog Sci, Bristol Glaciol Ctr, Bristol BS8 1SS, Avon, England.</t>
  </si>
  <si>
    <t>Bamber, Jonathan/C-7608-2011</t>
  </si>
  <si>
    <t>Bamber, Jonathan/0000-0002-2280-2819</t>
  </si>
  <si>
    <t>NERC [NE/E004032/1]; NERC [NE/E004032/1] Funding Source: UKRI; Natural Environment Research Council [NE/E004032/1]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</si>
  <si>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</si>
  <si>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the following data contributors: CReSIS, University of Kansas, for the in situ ice thickness profile, H. Corr (British Antarctic Survey) for the in situ ice thickness validation data, W. Krabill (NASA Goddard Wallops Flight Facility) for the surface elevation profile, H. J. Zwally (NASA Goddard Space Flight Center) for the elevation change data, and M. van den Broeke (IMAU, Utrecht University) for the firn correction. This work was supported by NERC grant NE/E004032/1.</t>
  </si>
  <si>
    <t>OCT 3</t>
  </si>
  <si>
    <t>L19501</t>
  </si>
  <si>
    <t>10.1029/2009GL039527</t>
  </si>
  <si>
    <t>502LX</t>
  </si>
  <si>
    <t>WOS:000270462700001</t>
  </si>
  <si>
    <t>Chown, SL; Spear, D; Lee, JE; Shaw, JD</t>
  </si>
  <si>
    <t>Chown, Steven L.; Spear, Dian; Lee, Jennifer E.; Shaw, Justine D.</t>
  </si>
  <si>
    <t>Animal introductions to southern systems: lessons for ecology and for policy</t>
  </si>
  <si>
    <t>AFRICAN ZOOLOGY</t>
  </si>
  <si>
    <t>barriers; biological invasions; legislation; mammals; propagule pressure; Marion Island; South Africa</t>
  </si>
  <si>
    <t>SUB-ANTARCTIC MARION; PRINCE-EDWARD-ISLANDS; INVASIVE SPECIES REMOVAL; BIOLOGICAL INVASIONS; CLIMATE-CHANGE; FLORISTIC HOMOGENIZATION; TAXONOMIC HOMOGENIZATION; BIOTIC HOMOGENIZATION; OCEAN ISLANDS; HUMAN IMPACTS</t>
  </si>
  <si>
    <t>Numerous animal species have been introduced to areas from which they were previously absent, and many of these have become invasive, with substantial impacts. However, in other cases, impacts are assumed from theory. Empirical demonstrations are uncommon, making evidence-based conservation policy difficult to achieve. Here we review the broader ecological and conservation lessons from recent work on non-indigenous species in two southern systems, the policy implications thereof, and the subsequent changes to policy as a result of this work. First, we discuss invasions in the Antarctic region. Strong relationships exist between numbers of animal invasions and numbers of human visitors to Southern Ocean Islands, abiotic factors are often limiting for introduced species, homogenization across islands differs among taxonomic groups, and control actions can rapidly result in unintended consequences. This knowledge has influenced national policy and decisions within the Antarctic Treaty System. Second, we discuss ungulate introductions and translocations, both in South Africa and elsewhere. We show that substantial homogenization has resulted from both processes. However, firm evidence for impacts of ungulate introductions and translocations is sometimes difficult to find, despite the theoretical likelihood thereof. Such a lack of information may have profound consequences for the effective implementation of policy.</t>
  </si>
  <si>
    <t>[Chown, Steven L.; Spear, Dian; Lee, Jennifer E.; Shaw, Justine D.] Univ Stellenbosch, Dept Bot &amp; Zool, Ctr Invas Biol, ZA-7602 Matieland, South Africa</t>
  </si>
  <si>
    <t>Stellenbosch University</t>
  </si>
  <si>
    <t>Chown, SL (corresponding author), Univ Stellenbosch, Dept Bot &amp; Zool, Ctr Invas Biol, Private Bag X1, ZA-7602 Matieland, South Africa.</t>
  </si>
  <si>
    <t>slchown@sun.ac.za</t>
  </si>
  <si>
    <t>Spear, Dian/B-2469-2009; Chown, Steven/ABD-7646-2021; Chown, Steven/H-3347-2011</t>
  </si>
  <si>
    <t>Spear, Dian/0000-0002-2417-3980; Chown, Steven/0000-0001-6069-5105</t>
  </si>
  <si>
    <t>National Research Foundation; C.A.PE. programme; Stellenbosch University; South African National Antarctic Programme</t>
  </si>
  <si>
    <t>We thank Michelle Hamer and the organizers of the 50th Anniversary symposium of the Zoological Society of Southern Africa for inviting one of us (S.L.C.) to present a version of this work at the meeting, the Editors of African Zoology for inviting this contribution, and Melodie McGeoch for comments on a previous version of the manuscript. This work was supported by the National Research Foundation, the C.A.PE. programme, and by a grant from the Stellenbosch University Overarching Strategic Plan Fund. We thank the South African National Antarctic Programme for logistical support.</t>
  </si>
  <si>
    <t>ZOOLOGICAL SOC SOUTHERN AFRICA</t>
  </si>
  <si>
    <t>SCOTTSVILLE</t>
  </si>
  <si>
    <t>AFRICAN ZOOLOGY CIRCULATION OFFICE, UNIV KWAZULU-NATAL, SCHOOL BIOL &amp; CONSERVATION SCI, P B X01, SCOTTSVILLE 3209, SOUTH AFRICA</t>
  </si>
  <si>
    <t>1562-7020</t>
  </si>
  <si>
    <t>2224-073X</t>
  </si>
  <si>
    <t>AFR ZOOL</t>
  </si>
  <si>
    <t>Afr. Zool.</t>
  </si>
  <si>
    <t>OCT</t>
  </si>
  <si>
    <t>10.3377/004.044.0213</t>
  </si>
  <si>
    <t>547NQ</t>
  </si>
  <si>
    <t>WOS:000273896700013</t>
  </si>
  <si>
    <t>Rodger, K; Moore, SA; Newsome, D</t>
  </si>
  <si>
    <t>Rodger, Kate; Moore, Susan A.; Newsome, David</t>
  </si>
  <si>
    <t>WILDLIFE TOURISM, SCIENCE AND ACTOR NETWORK THEORY</t>
  </si>
  <si>
    <t>ANNALS OF TOURISM RESEARCH</t>
  </si>
  <si>
    <t>actor-network theory; wildlife tourism; sociology of science</t>
  </si>
  <si>
    <t>BREEDING SUCCESS; PERSPECTIVE; DISTURBANCE; GUIDELINES; BEHAVIOR</t>
  </si>
  <si>
    <t>Wildlife tourism is all important component of tourism worldwide. However, for many species little is known about the possible impacts from tourist-wildlife interactions. Previous research has identified barriers to such science being undertaken brit this science-wildlife tourism interface remains poorly understood. Actor-network theory, with its attention to the actors and relationships that. make science possible, was used to describe and analyze the development and decline of scientific research into the effects of tourism on wildlife in the Antarctic region. This study concludes that actor-network theory provides a robust description of the complex role and positioning of science in wildlife tourism, while at the same time suggesting that further attention to actors' relative power and scientists' normative belief's are essential elements of analysis.</t>
  </si>
  <si>
    <t>[Rodger, Kate; Moore, Susan A.; Newsome, David] Murdoch Univ, Murdoch, WA 6150, Australia</t>
  </si>
  <si>
    <t>Murdoch University</t>
  </si>
  <si>
    <t>Rodger, K (corresponding author), Murdoch Univ, Murdoch, WA 6150, Australia.</t>
  </si>
  <si>
    <t>k.rodger@murdoch.edu.au</t>
  </si>
  <si>
    <t>0160-7383</t>
  </si>
  <si>
    <t>ANN TOURISM RES</t>
  </si>
  <si>
    <t>Ann. Touris. Res.</t>
  </si>
  <si>
    <t>10.1016/j.annals.2009.06.001</t>
  </si>
  <si>
    <t>Hospitality, Leisure, Sport &amp; Tourism; Sociology</t>
  </si>
  <si>
    <t>Social Sciences - Other Topics; Sociology</t>
  </si>
  <si>
    <t>533HT</t>
  </si>
  <si>
    <t>WOS:000272815100005</t>
  </si>
  <si>
    <t>Hofmann, E</t>
  </si>
  <si>
    <t>Hofmann, Eileen</t>
  </si>
  <si>
    <t>Southern Ocean GLOBEC Research and the Future</t>
  </si>
  <si>
    <t>Old Dominion Univ, Norfolk, VA 23529 USA</t>
  </si>
  <si>
    <t>Old Dominion University</t>
  </si>
  <si>
    <t>Hofmann, E (corresponding author), Old Dominion Univ, Norfolk, VA 23529 USA.</t>
  </si>
  <si>
    <t>10.1017/S0954102009990484</t>
  </si>
  <si>
    <t>509RD</t>
  </si>
  <si>
    <t>WOS:000271035000001</t>
  </si>
  <si>
    <t>Allison, I; Alley, RB; Fricker, HA; Thomas, RH; Warner, RC</t>
  </si>
  <si>
    <t>Allison, I.; Alley, R. B.; Fricker, H. A.; Thomas, R. H.; Warner, R. C.</t>
  </si>
  <si>
    <t>Ice sheet mass balance and sea level</t>
  </si>
  <si>
    <t>Antarctica; Greenland; mass budget; sea level rise</t>
  </si>
  <si>
    <t>JAKOBSHAVN ISBRAE; SUBGLACIAL WATER; SURFACE MELT; GREENLAND; ANTARCTICA; CLIMATE; ACCELERATION; SHELF; RISE; FUTURE</t>
  </si>
  <si>
    <t>Determining the mass balance of the Greenland and Antarctic ice sheets (GIS and AIS) has long been a major challenge for polar science. But until recent advances in measurement technology, the uncertainty in ice sheet mass balance estimates was greater than any net contribution to sea level change. The Fourth Assessment Report of the Intergovernmental Panel on Climate Change (AR4) was able, for the first time, to conclude that, taken together, the GIS and AIS have probably been contributing to sea level rise over the period 1993-2003 at an average rate estimated at 0.4 nine yr(-1). Since the cut-off date for work included in AR4, a number of further studies of the mass balance of GIS and AIS have been made using satellite altimetry, satellite gravity measurements and estimates of mass influx and discharge using a variety of techniques. Overall, these studies reinforce the conclusion that the ice sheets are contributing to present sea level rise, and suggest that the rate of loss from GIS has recently increased. The largest unknown in the projections of sea level rise over the next century is the potential for rapid dynamic collapse of ice sheets.</t>
  </si>
  <si>
    <t>[Allison, I.; Warner, R. C.] Australian Antarctic Div, Hobart, Tas 7050, Australia; [Allison, I.; Warner, R. C.] Antarctic Climate &amp; Ecosyst Cooperat Res Ctr, Hobart, Tas 7050, Australia; [Alley, R. B.] Penn State Univ, Dept Geosci, University Pk, PA 16802 USA; [Alley, R. B.] Penn State Univ, Earth &amp; Environm Syst Inst, University Pk, PA 16802 USA; [Fricker, H. A.] Univ Calif San Diego, Inst Geophys &amp; Planetary Phys, Scripps Inst Oceanog, La Jolla, CA 92093 USA; [Thomas, R. H.] EG&amp;G Tech Serv Inc, Chincoteague, VA 23336 USA</t>
  </si>
  <si>
    <t>Australian Antarctic Division; Antarctic Climate &amp; Ecosystems Cooperative Research Centre (ACE CRC);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San Diego; Scripps Institution of Oceanography</t>
  </si>
  <si>
    <t>Allison, I (corresponding author), Australian Antarctic Div, Channel Highway, Hobart, Tas 7050, Australia.</t>
  </si>
  <si>
    <t>Ian.allison@aad.gov.au</t>
  </si>
  <si>
    <t>Allison, Ian F/I-4477-2015; Warner, Roland Charles/ISS-2485-2023; Warner, Robert R./M-5342-2013</t>
  </si>
  <si>
    <t>Allison, Ian F/0000-0001-9599-0251; Warner, Roland Charles/0000-0002-9778-3544; Fricker, Helen Amanda/0000-0002-0921-1432</t>
  </si>
  <si>
    <t>Australian Government's Cooperative Research Centres Programme through the Antarctic Climate and Ecosystems Cooperative Research Centre (ACE CRC); NASA's Cryospheric Sciences Program; US National Science Foundation [0531211, 0440899, 0424589]; Corner Science and Education Foundation</t>
  </si>
  <si>
    <t>Australian Government's Cooperative Research Centres Programme through the Antarctic Climate and Ecosystems Cooperative Research Centre (ACE CRC)(Australian GovernmentDepartment of Industry, Innovation and ScienceCooperative Research Centres (CRC) Programme); NASA's Cryospheric Sciences Program(National Aeronautics &amp; Space Administration (NASA)); US National Science Foundation(National Science Foundation (NSF)); Corner Science and Education Foundation</t>
  </si>
  <si>
    <t>This paper reviews a rapidly developing field of polar science. We are grateful to the many scientists who have contributed the original work on which it is based. We are particularly grateful to those engineers and scientists with the vision and technical foresight that has led to the space-based systems that are finally providing definitive answers on the role of ice sheets in sea level rise. The contributions of JA and RW to this paper were supported by the Australian Government's Cooperative Research Centres Programme through the Antarctic Climate and Ecosystems Cooperative Research Centre (ACE CRC); those from RT were supported by NASA's Cryospheric Sciences Program; RBA acknowledges support from the US National Science Foundation (including grants 0531211, 0440899 and 0424589) and the Corner Science and Education Foundation.</t>
  </si>
  <si>
    <t>10.1017/S0954102009990137</t>
  </si>
  <si>
    <t>WOS:000271035000002</t>
  </si>
  <si>
    <t>Zhu, RB; Liu, YS; Ma, ED; Sun, JJ; Xu, H; Sun, LG</t>
  </si>
  <si>
    <t>Zhu, Renbin; Liu, Yashu; Ma, Erdeng; Sun, Jianjun; Xu, Hua; Sun, Liguang</t>
  </si>
  <si>
    <t>Nutrient compositions and potential greenhouse gas production in penguin guano, ornithogenic soils and seal colony soils in coastal Antarctica</t>
  </si>
  <si>
    <t>carbon dioxide; methane; nitrous oxide</t>
  </si>
  <si>
    <t>NITROUS-OXIDE EMISSIONS; VICTORIA LAND; ISOTOPIC COMPOSITION; MARITIME ANTARCTICA; METHANE EMISSIONS; ORGANIC-CARBON; TUNDRA SOILS; CRYOSOLS; FLUXES; ROOKERIES</t>
  </si>
  <si>
    <t>We investigated nutrient composition and the potential for greenhouse gas production in Antarctic penguin guano, ornithogenic soils and seal colony soils through a laboratory incubation experiment. Total organic carbon contents ranged from 0.2-14.7% and total nitrogen contents ranged from 0.05-3.60% across all the samples. Penguin guano and the soils had the delta C-13(org) values of -28.4 parts per thousand to -22.8 parts per thousand and highly enriched delta N-15 values (8.28-35.51 parts per thousand), indicating a rapid N cycling in local ecosystems. The mean CO2 and CH4 emission rates from penguin guano were significantly higher than those from the soils under aerobic or anaerobic conditions. The CO2-C/TOC rate indicated that the bioavailability of TOC was markedly higher in penguin guano than in the soils. These soils showed higher N2O emission rates under anaerobic conditions, indicating that denitrification may be the major process in N2O emission. The CO2 and CH4 emissions have a significant correlation with TOC in both penguin guano and the soils. Our results show that marine animal excreta are an important factor determining storage and composition of nutrients in coastal Antarctica, and that they may considerably affect current and future net fluxes of greenhouse gases in this region.</t>
  </si>
  <si>
    <t>[Zhu, Renbin; Liu, Yashu; Sun, Jianjun; Sun, Liguang] Univ Sci &amp; Technol China, Inst Polar Environm, Hefei 230026, Anhui, Peoples R China; [Zhu, Renbin; Ma, Erdeng; Xu, Hua]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</si>
  <si>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</si>
  <si>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Inst Polar Environm, Hefei 230026, Anhui, Peoples R China.</t>
  </si>
  <si>
    <t>zhurb@ustc.edu.cn</t>
  </si>
  <si>
    <t>National Natural Science Foundation of China [40676005, 40730107]</t>
  </si>
  <si>
    <t>This work was funded by the National Natural Science Foundation of China (grant nos. 40676005 and 40730107). We thank Polar Office of National Ocean Bureau of China and the members of the 22nd Chinese Antarctic Research Expedition for their support.</t>
  </si>
  <si>
    <t>10.1017/S0954102009990204</t>
  </si>
  <si>
    <t>WOS:000271035000003</t>
  </si>
  <si>
    <t>Majewski, W; Taturz, A</t>
  </si>
  <si>
    <t>Majewski, Wojciech; Taturz, Andrzej</t>
  </si>
  <si>
    <t>A new Antarctic foraminiferal species for detecting climate change in sub-Recent glacier-proximal sediments</t>
  </si>
  <si>
    <t>benthic foraminifera; Cribroelphidium webbi sp nov.; stable isotopes; tidewater glaciers; West Antarctica</t>
  </si>
  <si>
    <t>KING-GEORGE-ISLAND; SOUTH SHETLAND ISLANDS; BENTHIC FORAMINIFERA; MAXWELL BAY; ICE SHELF; PENINSULA; FJORDS; SEA; ASSEMBLAGES; ADVENTFJORDEN</t>
  </si>
  <si>
    <t>Cribroelphidium webbi sp. nov. is the only adequately described sub-Recent elphidiid foraminifer from Antarctica. In Admiralty Bay (King George Island, South Shetland Islands), it is found at several locations within inner fiord setting at water depths between 33 and 165 m, but most commonly shallower than 100 m. In outer basins this foraminifer is absent. In the cores analysed, C. webbi sp. nov. is present in well-constrained sub-Recent horizons that are clearly related to climate warming and deglaciation. These horizons represent a diachronous facies marker rather than a single stratigraphic layer. Cribroelphidium webbi sp. nov. shows clear association with retreating tidewater glaciers, therefore it is an important sensitive glacier-proximal indicator. It appears that it shares similar ecologic affinities with Cribroelphidium excavatum clavatum, which is widely distributed throughout the Arctic.</t>
  </si>
  <si>
    <t>[Majewski, Wojciech] Polish Acad Sci, Inst Paleobiol, PL-00818 Warsaw, Poland; [Taturz, Andrzej] Polish Acad Sci, Dept Antarctic Biol, PL-02141 Warsaw, Poland</t>
  </si>
  <si>
    <t>Polish Academy of Sciences; Institute of Paleobiology of the Polish Academy of Sciences; Polish Academy of Sciences</t>
  </si>
  <si>
    <t>wmaj@twarda.pan.pl</t>
  </si>
  <si>
    <t>Majewski, Wojciech/D-9255-2017</t>
  </si>
  <si>
    <t>10.1017/S0954102009990150</t>
  </si>
  <si>
    <t>WOS:000271035000004</t>
  </si>
  <si>
    <t>McClintock, JB; Angus, RA; Mcdonald, MR; Amsler, CD; Catledge, SA; Vohra, YK</t>
  </si>
  <si>
    <t>McClintock, James B.; Angus, Robert A.; Mcdonald, Michelle R.; Amsler, Charles D.; Catledge, Shane A.; Vohra, Yogesh K.</t>
  </si>
  <si>
    <t>Rapid dissolution of shells of weakly calcified Antarctic benthic macroorganisms indicates high vulnerability to ocean acidification</t>
  </si>
  <si>
    <t>Antarctica; aragonite; brachiopod; calcite; coralline alga; mollusc</t>
  </si>
  <si>
    <t>CLIMATE-CHANGE; ISOTOPIC COMPOSITION; ATMOSPHERIC CO2; CARBON; GROWTH; SEAWATER; CALCITE; MICROSTRUCTURE; TEMPERATURES; SOLUBILITY</t>
  </si>
  <si>
    <t>Antarctic calcified macroorganisms are particularly vulnerable to ocean acidification because many are weakly calcified, the dissolution rates of calcium carbonate are inversely related to temperature, and high latitude seas are predicted to become undersaturated in aragonite by the year 2100. We examined the post-mortem dissolution rates of aragonitic and calcitic shells from four species of Antarctic benthic marine invertebrates (two bivalves, one limpet, one brachiopod) and the thallus of a limpet shell-encrusting coralline alga exposed to acidified pH (7.4) or non-acidified pH (8.2) seawater at a constant temperature of 4 C. Within a period of only 14-35 days, shells of all four species held in pH 7.4 seawater had suffered significant dissolution. Despite calcite being 35% less soluble in seawater than aragonite, there was surprisingly, no consistent pattern of calcitic shells having slower dissolution rates than aragonitic shells. Outer surfaces of shells held in pH 7.4 seawater exhibited deterioration by day 35, and by day 56 there was exposure of aragonitic or calcitic prisms within the shell architecture of three of the macroinvertebrate species. Dissolution of coralline algae was confirmed by differences in weight loss in limpet shells with and without coralline algae. By day 56, thalli of the coralline alga held in pH 7.4 displayed a loss of definition of the conceptacle pores and cracking was evident at the zone of interface with limpet shells. Experimental studies are needed to evaluate whether there are adequate compensatory mechanisms in these and other calcified Antarctic benthic macroorganisms to cope with anticipated ocean acidification. In their absence, these organisms, and the communities they comprise, are likely to be among the first to experience the cascading impacts of ocean acidification.</t>
  </si>
  <si>
    <t>[McClintock, James B.; Angus, Robert A.; Mcdonald, Michelle R.; Amsler, Charles D.] Univ Alabama Birmingham, Dept Biol, Birmingham, AL 35294 USA; [Catledge, Shane A.; Vohra, Yogesh K.] Univ Alabama Birmingham, Dept Phys, Ctr Nanoscale Mat &amp; Biointegrat, Birmingham, AL 35294 USA</t>
  </si>
  <si>
    <t>University of Alabama System; University of Alabama Birmingham; University of Alabama System; University of Alabama Birmingham</t>
  </si>
  <si>
    <t>McClintock, JB (corresponding author), Univ Alabama Birmingham, Dept Biol, Birmingham, AL 35294 USA.</t>
  </si>
  <si>
    <t>Amsler, Charles/0000-0002-4843-3759; Catledge, Shane/0000-0003-3202-3234</t>
  </si>
  <si>
    <t>Office of Polar Programs of the National Science Foundation [OPP0442769]; Friends of Conservation (FOC); University of Alabama at Birmingham</t>
  </si>
  <si>
    <t>Office of Polar Programs of the National Science Foundation; Friends of Conservation (FOC); University of Alabama at Birmingham</t>
  </si>
  <si>
    <t>We thank Margaret Arrtsler, Philip BLIcolo, and Craig Aumack for assistance in field collections. Liz Harper made valuable recommendations on an earlier draft of this manuscript. We also thank those individuals employed by Raytheon Polar Services for providing valuable logistical support in Antarctica. This research was facilitated by the generous support of the Office of Polar Programs of the National Science Foundation to J.B.M. and C.D.A. (OPP0442769). JBM also thanks the Friends of Conservation (FOC) and an endowment from the University of Alabama at Birmingham for financial support.</t>
  </si>
  <si>
    <t>10.1017/S0954102009990198</t>
  </si>
  <si>
    <t>WOS:000271035000005</t>
  </si>
  <si>
    <t>Hewes, CD</t>
  </si>
  <si>
    <t>Hewes, Christopher D.</t>
  </si>
  <si>
    <t>Cell size of Antarctic phytoplankton as a biogeochemical condition</t>
  </si>
  <si>
    <t>community composition; size-fraction; microbial trophodynamics; microplankton; nanoplankton; picoplankton</t>
  </si>
  <si>
    <t>SOUTHERN-OCEAN; ELEPHANT-ISLAND; ATLANTIC SECTOR; INDIAN SECTOR; BIOMASS; IRON; CHLOROPHYLL; PRODUCTIVITY; GROWTH; WATERS</t>
  </si>
  <si>
    <t>Two contrasting high nutrient/low chlorophyll regions having different conditions that control phytoplankton production, and separated by an area of blooming, are found during summer in the vicinity of the South Shetland Islands (Antarctica). Low chlorophyll conditions occur either in Fe-rich, deeply mixed and high salinity Weddell Sea shelf waters, or the Fe-poor, shoaled and low salinity Drake Passage Antarctic Circumpolar Current waters, while phytoplankton blooms are located between in mid salinity water. Contrasting phytoplankton communities were found to populate these different biogeochemical provinces. In data from six field seasons (1999-2007), nanoplankton (2-20 mu m) were found to be dominant in the phytoplankton populations from light-controlled coastal waters, including blooms, with most chlorophyll found in the 2-5 mu m size class. In contrast, the adjacent and presumably Fe-controlled Drake Passage waters were dominated by the microplankton (&gt; 20 mu m) size class. The asymmetrical distribution of phytoplankton size classes across the salinity gradient, when analysed independently of total chlorophyll concentration, supports the hypothesis that the different food web grazing dynamics are dependent upon biogeochemical provinces.</t>
  </si>
  <si>
    <t>Univ Calif San Diego, Scripps Inst Oceanog, Div Marine Biol Res, Polar Res Program, La Jolla, CA 92093 USA</t>
  </si>
  <si>
    <t>Hewes, CD (corresponding author), Univ Calif San Diego, Scripps Inst Oceanog, Div Marine Biol Res, Polar Res Program, La Jolla, CA 92093 USA.</t>
  </si>
  <si>
    <t>chewes@ucsd.edu</t>
  </si>
  <si>
    <t>National Oceanic and Atmospheric Administration; U.S. Department of Commerce [NA17RJ1231]; NSF Office of Polar Programs [OPP0230433, ANT0444134]</t>
  </si>
  <si>
    <t>National Oceanic and Atmospheric Administration(National Oceanic Atmospheric Admin (NOAA) - USA); U.S. Department of Commerce; NSF Office of Polar Programs(National Science Foundation (NSF))</t>
  </si>
  <si>
    <t>This work was supported by the U.S. AMLR program, administered by the Antarctic Ecosystem Research Division at NOAA's Southwest Fisheries Research Center, La Jolla, California, funded in part by the National Oceanic and Atmospheric Administration, U.S. Department of Commerce, under grant NA17RJ1231 (O. Holm-Hansen), and NSF Office of Polar Programs grant numbers: OPP0230433/ANT0444134 (G. Mitchell). Thanks to O. Holm-Hansen and C.S. Reiss for comments, and the two anonymous reviewers for their questions and suggestions. Views contained herein are those of CDH and do not reflect those of NOAA, NSF, or any of their subsidiaries.</t>
  </si>
  <si>
    <t>10.1017/S0954102009990125</t>
  </si>
  <si>
    <t>WOS:000271035000006</t>
  </si>
  <si>
    <t>Lee, JE; Chown, SL</t>
  </si>
  <si>
    <t>Lee, Jennifer E.; Chown, Steven L.</t>
  </si>
  <si>
    <t>Quantifying the propagule load associated with the construction of an Antarctic research station</t>
  </si>
  <si>
    <t>dispersal; invasion; Halley VI; propagule pressure; risk assessment; vector</t>
  </si>
  <si>
    <t>PLANT INVASIONS; SOUTHERN-OCEAN; CONSERVATION; IMPACTS; ISLANDS; BIODIVERSITY; MARION</t>
  </si>
  <si>
    <t>Although the impacts of biological invasions are widely appreciated, a bias exists in research effort to post dispersal processes because of the difficulties of measuring propagule pressure. Here we quantify the propagule pressure associated with the construction of a research station in Antarctica. Based on quantitative assessment of different classes of cargo, we predict that over 5000 seeds will be entrained during the period of building the station. Seeds from 34 taxa were identified, including known invasive species.</t>
  </si>
  <si>
    <t>[Lee, Jennifer E.; Chown, Steven L.] Univ Stellenbosch, Dept Bot &amp; Zool, Ctr Invas Biol, ZA-7602 Matieland, South Africa</t>
  </si>
  <si>
    <t>Lee, JE (corresponding author), Univ Stellenbosch, Dept Bot &amp; Zool, Ctr Invas Biol, Private Bag X1, ZA-7602 Matieland, South Africa.</t>
  </si>
  <si>
    <t>jlee@sun.ac.za</t>
  </si>
  <si>
    <t>10.1017/S0954102009990162</t>
  </si>
  <si>
    <t>WOS:000271035000007</t>
  </si>
  <si>
    <t>Hawes, TC</t>
  </si>
  <si>
    <t>Hawes, T. C.</t>
  </si>
  <si>
    <t>Origins and dispersal of the Antarctic fairy shrimp</t>
  </si>
  <si>
    <t>Antarctic Peninsula; Branchinecta; passive dispersal; zoophoresy</t>
  </si>
  <si>
    <t>BRANCHINECTA-GAINI DADAY; LAST GLACIAL MAXIMUM; LARSEMANN HILLS; WIND DISPERSAL; BRINE SHRIMPS; LIFE-HISTORY; ANOSTRACA; BRANCHIOPODA; INVERTEBRATES; CRUSTACEA</t>
  </si>
  <si>
    <t>Passive dispersal has traditionally formed a fundamental component of biogeographical theories of the origin of the fauna that occupy the ice-free habitats of mainland Antarctica. But in the context of an emerging picture of endemism for many Antarctic terrestrial invertebrates, is there still a place for such stochastic processes in Antarctic biogeography? The case of the Antarctic fairy shrimp, Branchinecta gaini Daday 1910, may provide an answer - or, at least, an important exception to the rule. Although passive dispersal is certainly a stochastic and contingent phenomenon in Antarctica, the occurrence of B. gaini on the Antarctic Peninsula can only be explained satisfactorily by resort to this explanation. It is, at present, probably the best example of an Antarctic invertebrate with a biogeographic signature of passive - in particular, zoophoretic - dispersal.</t>
  </si>
  <si>
    <t>Univ Otago, Dept Zool, Dunedin, New Zealand</t>
  </si>
  <si>
    <t>University of Otago</t>
  </si>
  <si>
    <t>Hawes, TC (corresponding author), Univ Otago, Dept Zool, POB 56, Dunedin, New Zealand.</t>
  </si>
  <si>
    <t>tinstone12@hotmail.com</t>
  </si>
  <si>
    <t>Leverhuhne Trust</t>
  </si>
  <si>
    <t>TCH is funded by the Leverhuhne Trust. Thanks to Peter Fretwell (MAGIC, BAS) for preparing the unannotated version of the map and to Roger Worland for first introducing me to the Branchinecta pools of Marguerite Bay. The paper was improved by the comments of two anonymous referees.</t>
  </si>
  <si>
    <t>10.1017/S095410200900203X</t>
  </si>
  <si>
    <t>WOS:000271035000008</t>
  </si>
  <si>
    <t>Berger, GW; Ante, S; Domack, EW</t>
  </si>
  <si>
    <t>Berger, Glenn W.; Ante, Sara; Domack, Eugene W.</t>
  </si>
  <si>
    <t>Seasonal and water-depth variations in sediment luminescence and in sedimentation from sediment trap samples at Gerlache Strait, Antarctic Peninsula</t>
  </si>
  <si>
    <t>Antarctica; dating; deposition; glaciomarine</t>
  </si>
  <si>
    <t>WESTERN BRANSFIELD STRAIT; PALMER-DEEP; PARTICULATE MATTER; AUSTRAL SUMMER; DIATOM RECORD; PARTICLE-FLUX; MARINE; SHELF; QUATERNARY; DEPOSITS</t>
  </si>
  <si>
    <t>Sediment trap arrays were deployed in Brialmont Cove and Andvord Bay, eastern Gerlache Strait, from December 2001-March 2003. The recovered sediments (representing instantaneous deposition from the viewpoint of luminescence dating) encompass all the annual and local glaciomarine depositional processes. Magnetic susceptibility profiles were used to infer seasonality in the trap cores, and thus to select subsamples for luminescence measurements. Multi-aliquot infrared stimulated luminescence (IRSL) apparent ages were used to assess the effectiveness of 'clock zeroing' (by daylight) of light sensitive luminescence within fine silt polymineral samples from each trap depth. IRSL apparent ages for 24 samples indicate that the largest age-depth differences occur with the autumn season samples at both trap sites, suggesting a previously unrecognized and regional (within the Gerlache Strait) change in depositional controls in the autumn compared to other seasons. The apparent ages also indicate some differences between the fjords, and a more complex oceanographic regime at Andvord Bay than at Brialmont Cove. Dry-mass sediment fluxes varied from 0.4 to 0.7 g cm(-2) yr(-1), with the largest flux at Brialmont Cove (similar to 0.7 g cm(-2) yr(-1)) occurring in the bottom trap, whereas at Andvord Bay, the largest flux (similar to 0.6 g cm(-2) yr(-1)) occurred in the middle trap (similar to 45 m above seafloor).</t>
  </si>
  <si>
    <t>[Berger, Glenn W.; Ante, Sara] Desert Res Inst, Reno, NV 89512 USA; [Domack, Eugene W.] Hamilton Coll, Dept Geosci, Clinton, NY 13323 USA</t>
  </si>
  <si>
    <t>Nevada System of Higher Education (NSHE); Desert Research Institute NSHE; Hamilton College</t>
  </si>
  <si>
    <t>Berger, GW (corresponding author), Desert Res Inst, 2215 Raggio Pkwy, Reno, NV 89512 USA.</t>
  </si>
  <si>
    <t>glenn.berger@dri.edu</t>
  </si>
  <si>
    <t>US National Science Foundation [OPP99-09665]</t>
  </si>
  <si>
    <t>US National Science Foundation(National Science Foundation (NSF))</t>
  </si>
  <si>
    <t>The multi-aliquot luminescence experiments and interpretation formed the MS thesis project of Ante, and were supported by US National Science Foundation grant OPP99-09665 to Berger and Domack. We thank Dr R. Karlin (University of Nevada, Reno) for the loan of his susceptibility meter. We also thank Dr S. Roeske of the University of California, Davis for helping Ante with the SEM-EDX analyses. We thank three students at Hamilton College for conducting the grain size analyses there. Finally, we thank especially Dr Bob Gilbert (Queen's University, Ontario, Canada) for an eager and effective effort in trap assembly and deployment, and Dr A. Leventer (Colgate University, New York) for help in trap recovery. We are especially grateful for the help of the officers and crews of the research vessels NA Palmer during cruise NBP01-07 and L.G. Gould during cruise LMG03-03, as well as the technical support staff of Raytheon Polar Services. Finally, we thank Stefanie Brachfeld and an anonymous reviewer for helpfully detailed and insightful critiques of an earlier version of this manuscript.</t>
  </si>
  <si>
    <t>10.1017/S0954102009990186</t>
  </si>
  <si>
    <t>WOS:000271035000009</t>
  </si>
  <si>
    <t>Cione, AL; Medina, F</t>
  </si>
  <si>
    <t>Luis Cione, Alberto; Medina, Francisco</t>
  </si>
  <si>
    <t>The oldest hexanchiform shark from the Southern Hemisphere (Neoselachii; Early Cretaceous, Antarctica)</t>
  </si>
  <si>
    <t>Aptian; Hexanchiformes; James Ross Island; Neoselachii</t>
  </si>
  <si>
    <t>SEYMOUR-ISLAND; AUSTRALIA; CHONDRICHTHYES; QUEENSLAND; EOCENE; BASIN</t>
  </si>
  <si>
    <t>The oldest record of the hexanchiform sharks from the Southern Hemisphere and the second chondrichthyan report known from Carboniferous to Early Cretaceous beds in Antarctica is given. The material was collected in late Aptian rocks of the Kotick Point Formation outcropping in the western part of James Ross Island, near Antarctic Peninsula. It consists of an isolated tooth assignable to a hexanchiform different from the other described genera. The tooth shows putative plesiomorphic cusp (few cusps, no serrations) and apomorphic root characters (relatively deep, quadrangular). It could be related to a species close to the origin of Hexanchus (unknown in beds older than Cenomanian).</t>
  </si>
  <si>
    <t>[Luis Cione, Alberto] Museo La Plata, Div Paleontol Vertebrados, RA-1900 La Plata, Argentina; [Medina, Francisco] Univ Buenos Aires, Dept Ciencias Biol, Fac Ciencias Exactas &amp; Nat, RA-1428 Buenos Aires, DF, Argentina</t>
  </si>
  <si>
    <t>National University of La Plata; Museo La Plata; University of Buenos Aires</t>
  </si>
  <si>
    <t>Cione, AL (corresponding author), Museo La Plata, Div Paleontol Vertebrados, RA-1900 La Plata, Argentina.</t>
  </si>
  <si>
    <t>acione@museo.fcnym.unlp.edu.ar</t>
  </si>
  <si>
    <t>Agencia Nacional de Promocion Cientifica y Tecnologica; Consejo Nacional de lnvestigaciones Cientificas y Tecnicas; Universidad Nacional de La Plata</t>
  </si>
  <si>
    <t>Agencia Nacional de Promocion Cientifica y Tecnologica(ANPCyTSpanish Government); Consejo Nacional de lnvestigaciones Cientificas y Tecnicas(Consejo Nacional de Investigaciones Cientificas y Tecnicas (CONICET)); Universidad Nacional de La Plata(National University of La Plata)</t>
  </si>
  <si>
    <t>We would like to thank the Agencia Nacional de Promocion Cientifica y Tecnologica, Consejo Nacional de lnvestigaciones Cientificas y Tecnicas, and Universidad Nacional de La Plata, for permanent financial support. To Dr C.A. Rinaldi, former Director of the Instituto Antartico Argentino, and Fuerza Aerea Argentina, for field support. We also thank the reviewers John Long and Jiirgen Kriwet for valuable comments.</t>
  </si>
  <si>
    <t>10.1017/S0954102009990228</t>
  </si>
  <si>
    <t>WOS:000271035000010</t>
  </si>
  <si>
    <t>Wendt, A; Casassa, G; Rivera, A; Wendt, J</t>
  </si>
  <si>
    <t>Wendt, Anja; Casassa, Gino; Rivera, Andres; Wendt, Jens</t>
  </si>
  <si>
    <t>Reassessment of ice mass balance at Horseshoe Valley, Antarctica</t>
  </si>
  <si>
    <t>Ellsworth Mountains; Global Positioning System; ice elevation change</t>
  </si>
  <si>
    <t>SHEET; GREENLAND; SNOWFALL; FLOW</t>
  </si>
  <si>
    <t>Horseshoe Valley (80 degrees 18'5, 81 degrees 22'W) is a 30km wide glaciated valley at the south-eastern end of Ellsworth Mountains draining into the Hercules inlet, Ronne Ice Shelf. The ice at Horseshoe Valley has been considered stable; now we use Global Positioning System (GPS) measurements obtained between 1996 and 2006 to investigate ice elevation change and mass balance. Comparison of surface heights on a profile across Horseshoe Valley reveals a slight but significant elevation increase of 0.04 m a(-1) +/- 0.002 to a(-1). The blue ice area of Patriot Hills (similar to 13 km(2)) at the mount of Horseshoe Valley shows large interannual variability in area, with a maximum extent in 1997, an exceptionally warm summer, but no clear multi-year trend, and an elevation increase of 0.05 m a(-1) in eight years, which agrees with the result from Horseshoe Valley.</t>
  </si>
  <si>
    <t>[Wendt, Anja; Casassa, Gino; Rivera, Andres; Wendt, Jens] Ctr Estudios Cient, Valdivia, Chile; [Rivera, Andres] Ctr Ingn Innovac CECS, Valdivia, Chile; [Rivera, Andres] Univ Chile, Dept Geografia, Santiago 250, Chile</t>
  </si>
  <si>
    <t>Universidad de Chile</t>
  </si>
  <si>
    <t>Wendt, A (corresponding author), Ctr Estudios Cient, Av Arturo Prat 514, Valdivia, Chile.</t>
  </si>
  <si>
    <t>awendt@cecs.cl</t>
  </si>
  <si>
    <t>Casassa, Gino/AAX-6142-2020</t>
  </si>
  <si>
    <t>Rivera, Andres/0000-0002-2779-4192</t>
  </si>
  <si>
    <t>Programme of the German Academic Exchange Service (DAAD); Chilean Government through the Millennium Science Initiative and the Centers of Excellence Base Financing Program of CONICYT; Antofagasta Minerals; Arauco; Empresas CMPC; Indura; Naviera Ultragas; Telefonica del Sur</t>
  </si>
  <si>
    <t>Programme of the German Academic Exchange Service (DAAD)(Deutscher Akademischer Austausch Dienst (DAAD)); Chilean Government through the Millennium Science Initiative and the Centers of Excellence Base Financing Program of CONICYT; Antofagasta Minerals; Arauco; Empresas CMPC; Indura; Naviera Ultragas; Telefonica del Sur</t>
  </si>
  <si>
    <t>We thank Antarctic Logistics and Expedition and the Chilean Army for logistic support in the 2004, 2006, and 2007 seasons. Ice thickness measurements in 2007 were conducted by D. Ulloa and analysed by R. Zamora. The figures were produced using the Generic Mapping Tools GMT (Wessel &amp; Smith 1998). ASTER satellite images were obtained from the project Global Land Ice Measurements from Space (GUMS). This work was supported by a fellowship within the Postdoctoral Programme of the German Academic Exchange Service (DAAD). The Centro de Estudios Cientificos (CECS) is funded by the Chilean Government through the Millennium Science Initiative and the Centers of Excellence Base Financing Program of CONICYT. CECS is also supported by a group of private companies which at present includes Antofagasta Minerals, Arauco, Empresas CMPC, Indura, Naviera Ultragas and Telefonica del Sur. We thank Tom Neumann and an anonymous reviewer for their comments that helped improve the paper.</t>
  </si>
  <si>
    <t>10.1017/S0954102009002053</t>
  </si>
  <si>
    <t>WOS:000271035000011</t>
  </si>
  <si>
    <t>Fricker, HA; Coleman, R; Padman, L; Scambos, TA; Bohlander, J; Brunt, KM</t>
  </si>
  <si>
    <t>Fricker, Helen Amanda; Coleman, Richard; Padman, Laurie; Scambos, Ted A.; Bohlander, Jennifer; Brunt, Kelly M.</t>
  </si>
  <si>
    <t>Mapping the grounding zone of the Amery Ice Shelf, East Antarctica using InSAR, MODIS and ICESat</t>
  </si>
  <si>
    <t>grounding lines; ice shelves; remote sensing; tides</t>
  </si>
  <si>
    <t>TIDAL FLEXURE; RADAR INTERFEROMETRY; VELOCITY; FILCHNER; GLACIER; SIGNAL; MODEL</t>
  </si>
  <si>
    <t>We use a combination of satellite techniques (interferometric synthetic aperture radar (InSAR), visible-band imagery, and repeat-track laser altimetry) to develop a benchmark map for the Amery Ice Shelf (AIS) grounding zone (GZ), including its islands and ice rises. The break-in-slope, as an indirect estimate of grounding line location, was mapped for the entire AIS. We have also mapped similar to 55% of the landward edge and similar to 30% of the seaward edge of the ice shelf flexure boundary for the AIS perimeter. Vertical ice motion from Global Positioning System receivers confirms the location of the satellite-derived GZ in two regions. Our map redefines the extent of floating ice in the south-western AIS and identifies several previously unmapped grounded regions, improving our understanding of the stresses supporting the current dynamical state of the ice shelf. Finally, we identify three along-flow channels in the ice shelf basal topography, approximately 10 km apart, 1.5 km wide and 300-500 m deep, near the southern GZ. These channels, which form at the suture zones between ice streams, may represent zones of potential weakness in the ice shelf and may influence sub-ice-shelf ocean circulation.</t>
  </si>
  <si>
    <t>[Fricker, Helen Amanda; Brunt, Kelly M.] Univ Calif San Diego, Scripps Inst Oceanog, Inst Geophys &amp; Planetary Phys, La Jolla, CA 92093 USA; [Coleman, Richard] Univ Tasmania, Ctr Marine Sci, Hobart, Tas 7001, Australia; [Coleman, Richard] Antarctic Climate &amp; Ecosyst CRC, Hobart, Tas, Australia; [Coleman, Richard] CSIRO Marine &amp; Atmospher Res, Hobart, Tas, Australia; [Padman, Laurie] Earth &amp; Space Res, Corvallis, OR 97333 USA; [Scambos, Ted A.; Bohlander, Jennifer] Univ Colorado, CIRES, Natl Snow &amp; Ice Data Ctr, Boulder, CO 80309 USA</t>
  </si>
  <si>
    <t>University of California System; University of California San Diego; Scripps Institution of Oceanography; University of Tasmania; University of Tasmania; Commonwealth Scientific &amp; Industrial Research Organisation (CSIRO); University of Colorado System; University of Colorado Boulder</t>
  </si>
  <si>
    <t>Fricker, HA (corresponding author), Univ Calif San Diego, Scripps Inst Oceanog, Inst Geophys &amp; Planetary Phys, 9500 Gilman Dr, La Jolla, CA 92093 USA.</t>
  </si>
  <si>
    <t>hafricker@ucsd.edu</t>
  </si>
  <si>
    <t>Padman, Laurence/AAH-3808-2021; Scambos, Ted A/B-1856-2009; Coleman, Richard/H-4425-2012</t>
  </si>
  <si>
    <t>Fricker, Helen Amanda/0000-0002-0921-1432; Padman, Laurence/0000-0003-2010-642X; SCAMBOS, Ted A./0000-0003-4268-6322; Coleman, Richard/0000-0002-9731-7498</t>
  </si>
  <si>
    <t>NASA [NRA-99-DES-10 RADARSAT, NNG05GR58G]; Australian Research Council [DP0666733]; Australian Antarctic Division through AAS grants; Australian Research Council [DP0666733] Funding Source: Australian Research Council</t>
  </si>
  <si>
    <t>NASA(National Aeronautics &amp; Space Administration (NASA)); Australian Research Council(Australian Research Council); Australian Antarctic Division through AAS grants; Australian Research Council(Australian Research Council)</t>
  </si>
  <si>
    <t>We thank: Karen Chadwick for SAR processing, Rachael Flurd for GPS processing, David Sandwell for SAR processing software, Ian Joughin for SAR conversion software, Ian Allison for providing the AWS data, and Lana Erofeeva for tide modelling. ERS SAR data were provided by the Alaska SAR Facility and are copyright to ESA. We thank the Australian Antarctic Division for providing regional maps, AUSLIG/Geoscience Australia for providing aerial photos and site coordinates, and NASA's ICESat Science Project and the NSIDC for distribution of the ICESat data (see http://icesat.gsfc.nasa.gov and http:// nsidc.org/data/icesat) and NSIDC for MOA. We benefited from useful discussions with Jeremy Bassis, Glenn Hyland, Matjorie Schmeltz, Roland Warner and Neal Young. Bob Bindschadler and two anonymous reviewers deserve considerable credit for their thorough comments on earlier versions of this manuscript. Work was funded under NASA grants NRA-99-DES-10 RADARSAT to S10, NASA grant NNG05GR58G to ESR and an Australian Research Council Grant DP0666733 to Coleman. The GPS fieldwork was supported by the Australian Antarctic Division through AAS grants held by Richard Coleman (PI) and Helen Amanda Fricker (co-I). This is ESR contribution number 103.</t>
  </si>
  <si>
    <t>10.1017/S095410200999023X</t>
  </si>
  <si>
    <t>WOS:000271035000012</t>
  </si>
  <si>
    <t>Guerri, G; Abe, L; Daban, JB; Aristidi, E; Bendjoya, P; Rivet, JP; Vakili, F</t>
  </si>
  <si>
    <t>Guerri, Geraldine; Abe, Lyu; Daban, Jean-Baptiste; Aristidi, Eric; Bendjoya, Philippe; Rivet, Jean-Pierre; Vakili, Farrokh</t>
  </si>
  <si>
    <t>Progress report on phase knife stellar coronagraphy at Dome C</t>
  </si>
  <si>
    <t>MASK CORONAGRAPH</t>
  </si>
  <si>
    <t>[Guerri, Geraldine; Abe, Lyu; Daban, Jean-Baptiste; Aristidi, Eric; Bendjoya, Philippe; Vakili, Farrokh] CNRS, UNS, Lab AH Fizeau, F-06108 Nice 02, France; [Rivet, Jean-Pierre] Observ Cote Azur, UNS, CNRS, Lab Cassiopee, F-06003 Nice, France</t>
  </si>
  <si>
    <t>Centre National de la Recherche Scientifique (CNRS); Universite Cote d'Azur; Universite Cote d'Azur; Observatoire de la Cote d'Azur; Centre National de la Recherche Scientifique (CNRS)</t>
  </si>
  <si>
    <t>Guerri, G (corresponding author), CNRS, UNS, Lab AH Fizeau, Parc Valrose, F-06108 Nice 02, France.</t>
  </si>
  <si>
    <t>rivet@oca.eu</t>
  </si>
  <si>
    <t>Bendjoya, Philippe/0000-0002-4278-1437; Aristidi, Eric/0000-0001-9886-7670</t>
  </si>
  <si>
    <t>10.1017/S0954102009990174</t>
  </si>
  <si>
    <t>WOS:000271035000013</t>
  </si>
  <si>
    <t>Yergeau, E; Arbour, M; Brousseau, R; Juck, D; Lawrence, JR; Masson, L; Whyte, LG; Greer, CW</t>
  </si>
  <si>
    <t>Yergeau, Etienne; Arbour, Melanie; Brousseau, Roland; Juck, David; Lawrence, John R.; Masson, Luke; Whyte, Lyle G.; Greer, Charles W.</t>
  </si>
  <si>
    <t>Microarray and Real-Time PCR Analyses of the Responses of High-Arctic Soil Bacteria to Hydrocarbon Pollution and Bioremediation Treatments</t>
  </si>
  <si>
    <t>PROBABLE-NUMBER PROCEDURE; MICROBIAL COMMUNITY; CONTAMINATED SOILS; ANTARCTIC SOIL; DEGRADING BACTERIA; DIESEL FUEL; GENES; DIVERSITY; BIODEGRADATION; DENITRIFICATION</t>
  </si>
  <si>
    <t>High-Arctic soils have low nutrient availability, low moisture content, and very low temperatures and, as such, they pose a particular problem in terms of hydrocarbon bioremediation. An in-depth knowledge of the microbiology involved in this process is likely to be crucial to understand and optimize the factors most influencing bioremediation. Here, we compared two distinct large-scale field bioremediation experiments, located at the Canadian high-Arctic stations of Alert (ex situ approach) and Eureka (in situ approach). Bacterial community structure and function were assessed using microarrays targeting the 16S rRNA genes of bacteria found in cold environments and hydrocarbon degradation genes as well as quantitative reverse transcriptase PCR targeting key functional genes. The results indicated a large difference between sampling sites in terms of both soil microbiology and decontamination rates. A rapid reorganization of the bacterial community structure and functional potential as well as rapid increases in the expression of alkane monooxygenases and polyaromatic hydrocarbon-ring-hydroxylating dioxygenases were observed 1 month after the bioremediation treatment commenced in the Alert soils. In contrast, no clear changes in community structure were observed in Eureka soils, while key gene expression increased after a relatively long lag period (1 year). Such discrepancies are likely caused by differences in bioremediation treatments (i.e., ex situ versus in situ), weathering of the hydrocarbons, indigenous microbial communities, and environmental factors such as soil humidity and temperature. In addition, this study demonstrates the value of molecular tools for the monitoring of polar bacteria and their associated functions during bioremediation.</t>
  </si>
  <si>
    <t>[Yergeau, Etienne; Arbour, Melanie; Brousseau, Roland; Juck, David; Masson, Luke; Greer, Charles W.] Natl Res Council Canada, Biotechnol Res Inst, Montreal, PQ H4P 2R2, Canada; [Yergeau, Etienne; Whyte, Lyle G.] McGill Univ, Dept Nat Resource Sci, Montreal, PQ, Canada; [Lawrence, John R.] Environm Canada, Saskatoon, SK, Canada</t>
  </si>
  <si>
    <t>National Research Council Canada; McGill University; Environment &amp; Climate Change Canada</t>
  </si>
  <si>
    <t>Greer, CW (corresponding author), Natl Res Council Canada, Biotechnol Res Inst, 6100 Royalmount Ave, Montreal, PQ H4P 2R2, Canada.</t>
  </si>
  <si>
    <t>Charles.Greer@cnrc-nrc.gc.ca</t>
  </si>
  <si>
    <t>Lawrence, John/D-5758-2011; Yergeau, Etienne/AAZ-6145-2020; Yergeau, Etienne/B-5344-2008</t>
  </si>
  <si>
    <t>Lawrence, John/0000-0001-5872-1212; Yergeau, Etienne/0000-0002-7112-3425;</t>
  </si>
  <si>
    <t>NSERC; Department of National Defense and Environment Canada</t>
  </si>
  <si>
    <t>NSERC(Natural Sciences and Engineering Research Council of Canada (NSERC)); Department of National Defense and Environment Canada</t>
  </si>
  <si>
    <t>E. Yergeau was supported by a postdoctoral fellowship from NSERC. This study was supported by the Department of National Defense and Environment Canada.; Staff at HAWS-Eureka and CFS-Alert, Don Kovanen, Drew Craig, Sylvie Sanschagrin, Diane Labbe ', Danielle Beaumier, Danielle Ouellette, Suzanne Labelle, and Claude Masson are gratefully acknowledged for technical support.</t>
  </si>
  <si>
    <t>1098-5336</t>
  </si>
  <si>
    <t>OCT 1</t>
  </si>
  <si>
    <t>10.1128/AEM.01029-09</t>
  </si>
  <si>
    <t>498CE</t>
  </si>
  <si>
    <t>WOS:000270113200026</t>
  </si>
  <si>
    <t>Marchal, P; Francis, C; Lallemand, P; Lehuta, S; Mahévas, S; Stokes, K; Vermard, Y</t>
  </si>
  <si>
    <t>Marchal, Paul; Francis, Chris; Lallemand, Philippe; Lehuta, Sigrid; Mahevas, Stephanie; Stokes, Kevin; Vermard, Youen</t>
  </si>
  <si>
    <t>Catch-quota balancing in mixed-fisheries: a bio-economic modelling approach applied to the New Zealand hoki (Macruronus novaezelandiae) fishery</t>
  </si>
  <si>
    <t>AQUATIC LIVING RESOURCES</t>
  </si>
  <si>
    <t>Fleet dynamics; New Zealand hoki fishery; Deemed value; Fisheries management</t>
  </si>
  <si>
    <t>ISIS-FISH; MANAGEMENT; MERLUCCIUS; PEOPLE; RIGHTS; IMPACT</t>
  </si>
  <si>
    <t>Managing adequately the exploitation of commercial species subject to technical interactions is a key step towards the ecosystem approach to fisheries. We evaluate here, using a bio-economic modelling approach building on the ISIS-Fish simulation platform, the relative impact of total allowable commercial catches (TACC) and of taxes applicable to over-quota landings (deemed value) on the sustainability of a selection of species exploited by the New Zealand hoki (Macruronus novaezelandiae) fishery. We investigate some aspects of the hoki mixed fisheries, consisting of four fleets and nineteen metiers, by considering the technical interactions between hoki and Southern hake (Merluccius australis). The dynamics of effort allocation were modelled using gravity model, using value per unit of effort (VPUE) as attractivity coefficient. Several management scenarios, based on different levels of TACC, effort limits and deemed value have been defined. The impact of these strategies on spawning biomass and catches has been investigated. The results confirm that the deemed value may, in combination with TACC, be an efficient management tool. By increasing the hoki deemed value, we could somehow limit the decrease in the hoki TACC needed to harvest Western hoki sustainably. Constraining hoki fishing also restricts Southern hake fishing in the Chatham Rise and in the West Coast South Island, but leads to increased targeting of this species in the Sub-Antarctic area. The relative costs of renting/buying quota or paying the deemed value are most constraining when the hoki TACC is at relatively low level and when the hoki deemed value is more than 1.5 times the current value.</t>
  </si>
  <si>
    <t>[Marchal, Paul] IFREMER, Channel &amp; N Sea Fisheries Dept, F-62321 Boulogne, France; [Marchal, Paul; Lallemand, Philippe; Stokes, Kevin] Seafood Ind Council, Wellington, New Zealand; [Francis, Chris] NIWA, Wellington 6021, New Zealand; [Lehuta, Sigrid; Mahevas, Stephanie; Vermard, Youen] IFREMER, Fisheries &amp; Ecol Modeling Dept, F-44311 Nantes 03, France</t>
  </si>
  <si>
    <t>Ifremer; National Institute of Water &amp; Atmospheric Research (NIWA) - New Zealand; Ifremer</t>
  </si>
  <si>
    <t>Marchal, P (corresponding author), IFREMER, Channel &amp; N Sea Fisheries Dept, 150 Quai Gambetta,BP 699, F-62321 Boulogne, France.</t>
  </si>
  <si>
    <t>paul.marchal@ifremer.fr</t>
  </si>
  <si>
    <t>Vermard, Youen/0000-0003-2828-2815; MAHEVAS, Stephanie/0000-0001-7707-2502; Marchal, Paul/0000-0003-2047-4599; Lehuta, Sigrid/0000-0002-0807-4675</t>
  </si>
  <si>
    <t>EDP SCIENCES S A</t>
  </si>
  <si>
    <t>LES ULIS CEDEX A</t>
  </si>
  <si>
    <t>17, AVE DU HOGGAR, PA COURTABOEUF, BP 112, F-91944 LES ULIS CEDEX A, FRANCE</t>
  </si>
  <si>
    <t>0990-7440</t>
  </si>
  <si>
    <t>1765-2952</t>
  </si>
  <si>
    <t>AQUAT LIVING RESOUR</t>
  </si>
  <si>
    <t>Aquat. Living Resour.</t>
  </si>
  <si>
    <t>OCT-DEC</t>
  </si>
  <si>
    <t>10.1051/alr/2009033</t>
  </si>
  <si>
    <t>Fisheries; Marine &amp; Freshwater Biology</t>
  </si>
  <si>
    <t>555QH</t>
  </si>
  <si>
    <t>WOS:000274527800007</t>
  </si>
  <si>
    <t>Lachlan-Cope, TA; Connolley, WM; Turner, J; Roscoe, H; Marshall, GJ; Colwell, SR; Höpfner, M; Ingram, W</t>
  </si>
  <si>
    <t>Lachlan-Cope, T. A.; Connolley, W. M.; Turner, J.; Roscoe, H.; Marshall, G. J.; Colwell, S. R.; Hoepfner, M.; Ingram, W.</t>
  </si>
  <si>
    <t>Antarctic winter tropospheric warming - the potential role of polar stratospheric clouds, a sensitivity study</t>
  </si>
  <si>
    <t>ATMOSPHERIC SCIENCE LETTERS</t>
  </si>
  <si>
    <t>polar meteorology; polar stratospheric clouds; climate change</t>
  </si>
  <si>
    <t>LIDAR</t>
  </si>
  <si>
    <t>Over the last 30 years, Antarctic mid-tropospheric temperatures in winter have increased by 0.5 K per decade, the largest regional tropospheric warming observed. Over this period, amounts of polar stratospheric cloud(PSC) have also increased, as rising CO2 concentrations cooled the stratosphere. By imposing an idealisation of these increases in PSC within the radiation scheme of an atmosphere-only general circulation model, we find that they could have contributed to the observed warming. The present generation of global climate models do not properly represent PSCs, and so these results demonstrate the need to improve the representation of PSCs. Copyright. (C) 2009 Royal Meteorological Society and Crown Copyright</t>
  </si>
  <si>
    <t>[Lachlan-Cope, T. A.; Connolley, W. M.; Turner, J.; Roscoe, H.; Marshall, G. J.; Colwell, S. R.] British Antarctic Survey, Nat Environm Res Council, Cambridge CB3 0ET, England; [Hoepfner, M.] Forschungszentrum Karlsruhe, Inst Meteorol &amp; Klimaforsch, D-76021 Karlsruhe, Germany; [Ingram, W.] Univ Oxford, Dept Phys, Exeter, Devon, England; [Ingram, W.] Met Off, Hadley Ctr, Exeter, Devon, England</t>
  </si>
  <si>
    <t>UK Research &amp; Innovation (UKRI); Natural Environment Research Council (NERC); NERC British Antarctic Survey; Helmholtz Association; Karlsruhe Institute of Technology; University of Exeter; University of Oxford; Met Office - UK; Hadley Centre</t>
  </si>
  <si>
    <t>Lachlan-Cope, TA (corresponding author), British Antarctic Survey, Nat Environm Res Council, Cambridge CB3 0ET, England.</t>
  </si>
  <si>
    <t>tlc@bas.ac.uk</t>
  </si>
  <si>
    <t>; Hopfner, Michael/A-7255-2013</t>
  </si>
  <si>
    <t>Turner, John/0000-0002-6111-5122; Hopfner, Michael/0000-0002-4174-9531</t>
  </si>
  <si>
    <t>Met Office's Integrated Climate Programme; NERC [bas0100023] Funding Source: UKRI; Natural Environment Research Council [bas0100023] Funding Source: researchfish</t>
  </si>
  <si>
    <t>Met Office's Integrated Climate Programme; NERC(UK Research &amp; Innovation (UKRI)Natural Environment Research Council (NERC)); Natural Environment Research Council(UK Research &amp; Innovation (UKRI)Natural Environment Research Council (NERC))</t>
  </si>
  <si>
    <t>William Ingram is partly funded by the Met Office's Integrated Climate Programme.</t>
  </si>
  <si>
    <t>1530-261X</t>
  </si>
  <si>
    <t>ATMOS SCI LETT</t>
  </si>
  <si>
    <t>Atmos. Sci. Lett.</t>
  </si>
  <si>
    <t>10.1002/asl.237</t>
  </si>
  <si>
    <t>535IS</t>
  </si>
  <si>
    <t>hybrid, Green Accepted</t>
  </si>
  <si>
    <t>WOS:000272961600008</t>
  </si>
  <si>
    <t>Borghesi, N; Corsolini, S; Leonards, P; Brandsma, S; de Boer, J; Focardi, S</t>
  </si>
  <si>
    <t>Borghesi, Nicoletta; Corsolini, Simonetta; Leonards, Pim; Brandsma, Sicco; de Boer, Jacob; Focardi, Silvano</t>
  </si>
  <si>
    <t>Polybrominated diphenyl ether contamination levels in fish from the Antarctic and the Mediterranean Sea</t>
  </si>
  <si>
    <t>CHEMOSPHERE</t>
  </si>
  <si>
    <t>Polybrominated diphenyl ethers; Antarctica; Mediterranean Sea; Fish</t>
  </si>
  <si>
    <t>BROMINATED FLAME RETARDANTS; CARP CYPRINUS-CARPIO; ORGANOCHLORINE PESTICIDES; POLYCHLORINATED-BIPHENYLS; LAKE TROUT; PBDES; POLLUTANTS; EXPOSURE; USA; BIOTRANSFORMATION</t>
  </si>
  <si>
    <t>Polyorominated Biphenyl ethers (PBDEs) concentrations and congener profiles were evaluated in four species of Antarctic fish (Chionodraco hamatus, Chaempsocephalus gunnari, Gymnoscopelus nicholsi, Trematomus eulepidotes) and in one Mediterranean species (Tuna, Thunnus thynnus). The GC/MS-ECNI analysis revealed that average Sigma PBDE concentrations in Antarctic fish species ranged from 0.09 ng g(-1) wet weight (wet wt) in G. nicholsi to 0.44 ng g(-1) wet wt in C. gunnari. In Mediterranean tuna they were two or three orders of magnitude higher (15 ng g(-1) wet wt). The PBDE congener profiles differed between species; low brominated congeners prevailed in Antarctic species while in tuna tetra- and pentabromodiphenyl ethers were the most abundant congener groups (41% and 44%, respectively). These results showed that PBDE levels significantly correlated with the length of the fishes (r(2)=0.85, p &lt; 0.01) in C. hamatus, but not with the weight of the fish. Moreover, mean Sigma PBDE concentrations in tuna were statistically higher in females than in males (18 and 13 ng g(-1) wet wt, respectively; p &lt; 0.05), which was explained by the lower fat contents of the males that just had entered the spawning period. The results of this study confirm that PBDE contamination of the marine environment now occurs on a global scale. (C) 2009 Elsevier Ltd. All rights reserved.</t>
  </si>
  <si>
    <t>[Borghesi, Nicoletta; Corsolini, Simonetta; Focardi, Silvano] Univ Siena, Dept Environm Sci G Sarfatti, I-53100 Siena, Italy; [Leonards, Pim; Brandsma, Sicco; de Boer, Jacob] Vrije Univ Amsterdam, Inst Environm Studies, NL-1081 HV Amsterdam, Netherlands</t>
  </si>
  <si>
    <t>University of Siena; Vrije Universiteit Amsterdam</t>
  </si>
  <si>
    <t>Borghesi, N (corresponding author), Univ Siena, Dept Environm Sci G Sarfatti, Via PA Mattioli 4, I-53100 Siena, Italy.</t>
  </si>
  <si>
    <t>borghesi2@unisi.it</t>
  </si>
  <si>
    <t>Leonards, Pim/N-3040-2013; Brandsma, Sicco H./N-1766-2013; Corsolini, Simonetta/B-9460-2012; de Boer, Jacob/L-5094-2013</t>
  </si>
  <si>
    <t>Brandsma, Sicco H./0000-0003-4188-4730; Corsolini, Simonetta/0000-0002-9772-2362; Leonards, Pim/0000-0002-3052-8848; de Boer, Jacob/0000-0001-6949-4828</t>
  </si>
  <si>
    <t>Italian Antarctic Research Program (PNRA)</t>
  </si>
  <si>
    <t>The Italian Antarctic Research Program (PNRA) funded this research.</t>
  </si>
  <si>
    <t>0045-6535</t>
  </si>
  <si>
    <t>1879-1298</t>
  </si>
  <si>
    <t>Chemosphere</t>
  </si>
  <si>
    <t>10.1016/j.chemosphere.2009.07.035</t>
  </si>
  <si>
    <t>515DB</t>
  </si>
  <si>
    <t>WOS:000271445700013</t>
  </si>
  <si>
    <t>Lankhorst, M; Fratantoni, D; Ollitrault, M; Richardson, P; Send, U; Zenk, W</t>
  </si>
  <si>
    <t>Lankhorst, Matthias; Fratantoni, David; Ollitrault, Michel; Richardson, Philip; Send, Uwe; Zenk, Walter</t>
  </si>
  <si>
    <t>The mid-depth circulation of the northwestern tropical Atlantic observed by floats</t>
  </si>
  <si>
    <t>Floats; Tropical Atlantic; Antarctic Intermediate Water; North Atlantic Deep Water; Equatorial currents</t>
  </si>
  <si>
    <t>WESTERN BOUNDARY CURRENT; BRAZIL CURRENT RETROFLECTION; LABRADOR SEA-WATER; TRANSPORTS; VARIABILITY; TRAJECTORIES; EVOLUTION; MASSES; JETS; FLOW</t>
  </si>
  <si>
    <t>A comprehensive analysis of velocity data from subsurface floats in the northwestern tropical Atlantic at two depth layers is presented: one representing the Antarctic Intermediate Water (AAIW, pressure range 600-1050dbar), the other the upper North Atlantic Deep Water (uNADW, pressure range 1200-2050dbar). New data from three independent research programs are combined with previously available data to achieve blanket coverage in space for the AAIW layer, while coverage in the uNADW remains more intermittent. Results from the AAIW mainly confirm previous studies on the mean flow, namely the equatorial zonal and the boundary currents, but clarify details on pathways, mostly by virtue of the spatial data coverage that sets float observations apart from e.g. shipborne or mooring observations. Mean transports in each of five zonal equatorial current bands is found to be between 2.7 and 4.5 Sv. Pathways carrying AAIW northward beyond the North Brazil Undercurrent are clearly visible in the mean velocity field, in particular a northward transport of 3.7Sv across 16 degrees N between the Antilles islands and the Mid-Atlantic Ridge. New maps of Lagrangian eddy kinetic energy and integral time scales are presented to quantify mesoscale activity. For the uNADW, mean flow and mesoscale properties are discussed as data availability allows. Trajectories in the uNADW east of the Lesser Antilles reveal interactions between the Deep Western Boundary Current (DWBC) and the basin interior, which can explain recent hydrographic observations of changes in composition of DWBC water along its southward flow. (C) 2009 Elsevier Ltd. All rights reserved.</t>
  </si>
  <si>
    <t>[Lankhorst, Matthias; Send, Uwe] Scripps Inst Oceanog, La Jolla, CA 92093 USA; [Lankhorst, Matthias; Send, Uwe; Zenk, Walter] IFM GEOMAR, Leibniz Inst Meereswissensch, Kiel, Germany; [Fratantoni, David; Richardson, Philip] Woods Hole Oceanog Inst, Woods Hole, MA 02543 USA; [Ollitrault, Michel] IFREMER, F-29280 Plouzane, France</t>
  </si>
  <si>
    <t>University of California System; University of California San Diego; Scripps Institution of Oceanography; Helmholtz Association; GEOMAR Helmholtz Center for Ocean Research Kiel; Woods Hole Oceanographic Institution; Ifremer</t>
  </si>
  <si>
    <t>Lankhorst, M (corresponding author), Scripps Inst Oceanog, 9500 Gilman Dr,Mail Code 0230, La Jolla, CA 92093 USA.</t>
  </si>
  <si>
    <t>mlankhorst@ucsd.edu</t>
  </si>
  <si>
    <t>Richardson, Philip L./AAV-5976-2021; Fratantoni, David M/C-7121-2011</t>
  </si>
  <si>
    <t>Lankhorst, Matthias/0000-0002-4166-4044</t>
  </si>
  <si>
    <t>Bundesministerium fur Bildung und Forschung [03F0246A, 03F0377B]; Deutsche Forschungsgemeinschaft [SE815/21]; National Science Foundation [OCE 97-29765, OCE 01-36477]; Ifremer</t>
  </si>
  <si>
    <t>Bundesministerium fur Bildung und Forschung(Federal Ministry of Education &amp; Research (BMBF)); Deutsche Forschungsgemeinschaft(German Research Foundation (DFG)); National Science Foundation(National Science Foundation (NSF)); Ifremer</t>
  </si>
  <si>
    <t>MOVE was funded by the Bundesministerium fur Bildung und Forschung (Grants 03F0246A and 03F0377B) as well as by the Deutsche Forschungsgemeinschaft (Grant SE815/21), NBC by the National Science Foundation through Grants OCE 97-29765 and OCE 01-36477, and SAMBA was fully supported by Ifremer. The authors are thankful to all float data providers listed in Table 2. M. McCartney has generously shared data from the GAGE moorings. CTD and LADCP data for Fig. 2 were kindly supplied by M. Rhein and M. Walter. Argo data were collected and made freely available by the International Argo Project and the national programs that contribute to it. Argo is a pilot program of the Global Ocean Observing System.</t>
  </si>
  <si>
    <t>10.1016/j.dsr.2009.06.002</t>
  </si>
  <si>
    <t>490AT</t>
  </si>
  <si>
    <t>WOS:000269469800002</t>
  </si>
  <si>
    <t>Savidge, DK; Amft, JA</t>
  </si>
  <si>
    <t>Savidge, Dana K.; Amft, Julie A.</t>
  </si>
  <si>
    <t>Circulation on the West Antarctic Peninsula derived from 6 years of shipboard ADCP transects</t>
  </si>
  <si>
    <t>Antarctic Peninsula; Circulation; ADCP; Cross-shelf transport; Shelf-edge transport</t>
  </si>
  <si>
    <t>BRANSFIELD STRAIT; AUSTRAL SUMMER; CIRCUMPOLAR CURRENT; WATER MASSES; UPPER-OCEAN; VARIABILITY; CURRENTS; SHELF; TRANSPORT; MODEL</t>
  </si>
  <si>
    <t>Over the past 30 years, shelf circulation on the West Antarctic Peninsula (WAP) has been derived from hydrographic data with a reasonable level of confidence. However, with the exception of a very few drifter tracks and current-meter timeseries from moorings, direct velocity measurements have not previously been available. in this article, shelf and shelf-edge circulation is examined using a new velocity dataset, consisting of several years of acoustic Doppler current profiler transects, routinely collected along the ship tracks of the R/V Gould and the R/V Palmer since the fall of 1997. Initial processing and quality control is performed by Dr. Teresa Chereskin and Dr. Eric Firing, who then place the data in an archive accessible by public website, resulting in the broad availability of the data for a variety of uses. In this study, gridded Eulerian means have been calculated to examine circulation on the shelf and slope off the South Shetland Islands, in Bransfield Strait, and on the shelf and slope south of these regions, including Marguerite Bay and the adjacent shelf and shelf-edge. Shelf-edge flow is northeastward in the study area from the offshore of northern Alexander Island to Smith Island, while a southward flowing shelf-edge feature, probably the shallow component of the polar slope current, appears between Elephant Island and Livingston Island. The shallow polar slope current appears to turn shoreward to pass through Boyd Strait between Smith and Livingston Islands. In Bransfield Strait, there is cyclonic circulation. The previously identified northeastward-flowing South Shetland Island jet is strong and present in all seasons, with a large barotropic component not revealed by the hydrography-based velocities derived in the past. On the shelf seaward of Adelaide, Anvers and Brabant Islands, the strong along-shelf Antarctic Peninsula coastal current flows southwestward, with strongest velocities in winter (June-September) off Anvers and Brabant Islands, but stronger in summer (December-March) off Adelaide Island. Seaward of Marguerite Bay, there is seaward flow in the upper 400 m of the water column over the southwest bank of Marguerite Trough, strongest in summer, and shoreward flow near the northeast bank and adjacent shallower shelf areas. (C) 2009 Elsevier Ltd. All rights reserved.</t>
  </si>
  <si>
    <t>[Savidge, Dana K.; Amft, Julie A.] Skidaway Inst Oceanog, Savannah, GA 31411 USA</t>
  </si>
  <si>
    <t>University System of Georgia; University of Georgia; Skidaway Institute of Oceanography</t>
  </si>
  <si>
    <t>Savidge, DK (corresponding author), Skidaway Inst Oceanog, 10 Ocean Sci Circle, Savannah, GA 31411 USA.</t>
  </si>
  <si>
    <t>dana.savidge@skio.usg.edu</t>
  </si>
  <si>
    <t>NSF [OPP-0404533]</t>
  </si>
  <si>
    <t>Support for this study came from NSF Grant OPP-0404533. Processing for the ADCP data was performed by E. Firing (Palmer) and T. Chereskin (Gould) under separate funding. Patrick Caldwell of NOAA/NESDIS/NODC extracted and provided the ADCP data from the data-base. L. Padman provided generous guidance on the characteristics and use of the available tidal models. Thanks to E. Hofmann and J. Klinck for their guidance and for access to the early LTER CTD data, and to M. Dinneman who offered very helpful reality checks and provided updated bathymetry. A. Orsi provided the traces of the circumpolar fronts defined in his 1995 paper for plotting purposes. Thanks also to D. DeMaster, who got this project rolling by contributing his Palmer ADCP cruise data to DKS initially. A. Boyette improved the figures.</t>
  </si>
  <si>
    <t>10.1016/j.dsr.2009.05.011</t>
  </si>
  <si>
    <t>WOS:000269469800003</t>
  </si>
  <si>
    <t>Schwarz, JN; Schodlok, MP</t>
  </si>
  <si>
    <t>Schwarz, J. N.; Schodlok, M. P.</t>
  </si>
  <si>
    <t>Impact of drifting icebergs on surface phytoplankton biomass in the Southern Ocean: Ocean colour remote sensing and in situ iceberg tracking</t>
  </si>
  <si>
    <t>Southern Ocean; Weddell Sea; Icebergs; Phytoplankton; Remote sensing</t>
  </si>
  <si>
    <t>ICE-EDGE; SEA; BLOOMS; VALIDATION; WATERS; FIELD; MODEL; IRON</t>
  </si>
  <si>
    <t>Icebergs that calve from the Antarctic ice shelves and drift in the Southern Ocean melt to deliver fresh water, dust and minerogenic particles to the surface ocean along the iceberg's path. Each of these components may have an effect on growth conditions for phytoplankton, as might the mechanical effects of the iceberg keel disturbing the water. Although anecdotal and small-scale surveys suggest that drifting icebergs increase local primary production, no large-scale studies have been reported. An analysis of satellite and automated iceberg tracking data from the Weddell Sea, covering the months October to March, from 1999 to 2004, showed that the probability of increased surface phytoplankton biomass was up to one-third higher in the wake of a tracked iceberg compared to background biomass fluctuations. Only during the month of February were the effects of icebergs on surface biomass likely to be negative, whereas background biomass fluctuations were likely to be negative during March. These results confirm icebergs as a factor affecting phytoplankton in the Southern Ocean and highlight the need for detailed process studies so that responses to future changes in the Antarctic ice sheets may be predicted. (C) 2009 Elsevier Ltd. All rights reserved.</t>
  </si>
  <si>
    <t>[Schwarz, J. N.; Schodlok, M. P.] Alfred Wegener Inst Polar &amp; Marine Res, D-27515 Bremerhaven, Germany</t>
  </si>
  <si>
    <t>Schwarz, JN (corresponding author), Natl Inst Water &amp; Atmosphere Res, 301 Evans Bay Parade, Wellington 6021, New Zealand.</t>
  </si>
  <si>
    <t>j.schwarz@niwa.co.nz</t>
  </si>
  <si>
    <t>10.1016/j.dsr.2009.05.003</t>
  </si>
  <si>
    <t>WOS:000269469800009</t>
  </si>
  <si>
    <t>Zhou, M; Tande, KS; Zhu, YW; Basedow, S</t>
  </si>
  <si>
    <t>Zhou, Meng; Tande, Kurt S.; Zhu, Yiwu; Basedow, Sunnje</t>
  </si>
  <si>
    <t>Productivity, trophic levels and size spectra of zooplankton in northern Norwegian shelf regions</t>
  </si>
  <si>
    <t>DEEP-SEA RESEARCH PART II-TOPICAL STUDIES IN OCEANOGRAPHY</t>
  </si>
  <si>
    <t>Norwegian shelf; Zooplankton; Biomass spectrum; Trophic levels; Plankton community; Fisheries</t>
  </si>
  <si>
    <t>IN-SITU GROWTH; CALANUS-FINMARCHICUS; POPULATION-DYNAMICS; PHYTOPLANKTON 1976-1978; PLANKTON COMMUNITY; VERTICAL MIGRATION; ECOSYSTEM; PATTERNS; COPEPOD; BIOMASS</t>
  </si>
  <si>
    <t>Many studies have been conducted in northern Norwegian shelf regions to assess distributions and abundances of zooplankton in the last decade using towed Scanfish-conductivity, temperature and depth sensors (CTD)-optical plankton counter (OPC) and plankton nets. Significant progresses have been made in understanding dominant species, life histories and behavior, and in using size-structured data to identify dominant species in a certain size range. Using these Scanfish-CTD-OPC data, the analysis of zooplankton community size structures, compositions and their relationships with water types is made along the shelf region from Lofoten, North Cape to Varangerfjorden. From the relationships between the water types and zooplankton communities, the transports and exchanges of zooplankton communities between the Norwegian Coastal and Norwegian Atlantic Waters in regions near Malangsgrunnen and Nordvestbanken are examined. The biovolume (biomass) spectra are further analyzed for the productivity, trophic levels and seasonality of communities in these regions, indicating a steeper slope of the biovolume spectrum for a community dominated by herbivorous species in spring and a flatter slope for a community dominated by carnivorous-omnivorous species in winter. The comparison with the zooplankton biovolume spectra obtained in areas west of Antarctic Peninsula is made to examine and understand the differences in the zooplankton biovolume spectra, their trophic dynamics and potential human impacts between different regions. Published by Elsevier Ltd.</t>
  </si>
  <si>
    <t>[Zhou, Meng; Zhu, Yiwu] Univ Massachusetts Boston, Dept Environm Earth &amp; Ocean Sci, Boston, MA 02125 USA; [Tande, Kurt S.; Basedow, Sunnje] Univ Tromso, Norwegian Coll Fishery Sci, N-9037 Tromso, Norway</t>
  </si>
  <si>
    <t>University of Massachusetts System; University of Massachusetts Boston; UiT The Arctic University of Tromso</t>
  </si>
  <si>
    <t>Zhou, M (corresponding author), Univ Massachusetts Boston, Dept Environm Earth &amp; Ocean Sci, 100 Morrissey Blvd, Boston, MA 02125 USA.</t>
  </si>
  <si>
    <t>meng.zhou@umb.edu</t>
  </si>
  <si>
    <t>Basedow, Sünnje Linnéa/H-6513-2019</t>
  </si>
  <si>
    <t>Basedow, Sunnje Linnea/0000-0001-6000-6090</t>
  </si>
  <si>
    <t>Norwegian Research Council [133904/120]; US National Science Foundation [OPP-9906575]</t>
  </si>
  <si>
    <t>Norwegian Research Council(Research Council of Norway); US National Science Foundation(National Science Foundation (NSF))</t>
  </si>
  <si>
    <t>This research was supported by Norwegian Research Council (Project # 133904/120) and the US National Science Foundation grant number (OPP-9906575) and as a part of the US Southern Ocean GLOBEC program subcontracted to M. Zhou. We acknowledge the guest editor and anonymous reviewers for their insightful comments. This is contribution no. 612 of the US GLOBEC Program.</t>
  </si>
  <si>
    <t>0967-0645</t>
  </si>
  <si>
    <t>1879-0100</t>
  </si>
  <si>
    <t>DEEP-SEA RES PT II</t>
  </si>
  <si>
    <t>Deep-Sea Res. Part II-Top. Stud. Oceanogr.</t>
  </si>
  <si>
    <t>21-22</t>
  </si>
  <si>
    <t>10.1016/j.dsr2.2008.11.018</t>
  </si>
  <si>
    <t>511CL</t>
  </si>
  <si>
    <t>WOS:000271141400005</t>
  </si>
  <si>
    <t>Breaching the dispersal barrier to invasion: quantification and management</t>
  </si>
  <si>
    <t>ECOLOGICAL APPLICATIONS</t>
  </si>
  <si>
    <t>Antarctica; biosecurity; Gough Island; intra-regional movement; invasion; invasion pathway; Marion Island; propagule pressure; seed dispersal</t>
  </si>
  <si>
    <t>ANTARCTIC MARION ISLAND; ALIEN PLANT INVASIONS; PRINCE EDWARD ISLANDS; PROPAGULE PRESSURE; BIOLOGICAL INVASIONS; SOUTH-AFRICA; VICTORIA LAND; POA-ANNUA; SUCCESS; ESTABLISHMENT</t>
  </si>
  <si>
    <t>Globalization has resulted in unprecedented movements of people, goods, and alien species across the planet. Although the impacts of biological invasions are widely appreciated, a bias exists in research effort to post-dispersal processes because of the difficulties of measuring propagule pressure. The Antarctic provides an ideal model system in which to investigate propagule movements because of the region's isolation and small number of entry routes. Here we investigated the logistics operations of the South African National Antarctic Programme (SANAP) and quantified the initial dispersal of alien species into the region. We found that over 1400 seeds from 99 taxa are transported into the Antarctic each field season in association with SANAP passenger luggage and cargo. The first ever assessment of propagule drop-off indicated that 30-50% of these propagules will enter the recipient environment. Many of the taxa include cosmopolitan weeds and known aliens in the Antarctic, indicating that logistics operations form part of a globally self-perpetuating cycle moving alien species between areas of human disturbance. In addition, propagules of some taxa native to the Antarctic region were also found, suggesting that human movements may be facilitating intra-regional homogenization. Several relatively simple changes in biosecurity policy that could significantly reduce the threat of introduction of nonnative species are suggested.</t>
  </si>
  <si>
    <t>Lee, JE (corresponding author), Univ Stellenbosch, Dept Bot &amp; Zool, Ctr Invas Biol, Private Bag 11, ZA-7602 Matieland, South Africa.</t>
  </si>
  <si>
    <t>Department of Environmental Affairs and Tourism; Department of Botany and Zoology, Stellenbosch University</t>
  </si>
  <si>
    <t>We thank the many people who assisted with passenger luggage surveys, particularly R. Wanless, who conducted surveys on the voyage to Gough Island. The Department of Environmental Affairs and Tourism is thanked for logistic support. The Department of Botany and Zoology, Stellenbosch University, provided financial support for J. Lee. John Wilson, Peter le Roux, Rainer Krug, and Melodie McGeoch provided statistical advice. Members of the International Polar Year Programme Aliens in Antarctica provided helpful discussions.</t>
  </si>
  <si>
    <t>1051-0761</t>
  </si>
  <si>
    <t>1939-5582</t>
  </si>
  <si>
    <t>ECOL APPL</t>
  </si>
  <si>
    <t>Ecol. Appl.</t>
  </si>
  <si>
    <t>10.1890/08-2157.1</t>
  </si>
  <si>
    <t>Ecology; Environmental Sciences</t>
  </si>
  <si>
    <t>496BH</t>
  </si>
  <si>
    <t>WOS:000269942500021</t>
  </si>
  <si>
    <t>Heckendorn, P; Weisenstein, D; Fueglistaler, S; Luo, BP; Rozanov, E; Schraner, M; Thomason, LW; Peter, T</t>
  </si>
  <si>
    <t>Heckendorn, P.; Weisenstein, D.; Fueglistaler, S.; Luo, B. P.; Rozanov, E.; Schraner, M.; Thomason, L. W.; Peter, T.</t>
  </si>
  <si>
    <t>The impact of geoengineering aerosols on stratospheric temperature and ozone</t>
  </si>
  <si>
    <t>ENVIRONMENTAL RESEARCH LETTERS</t>
  </si>
  <si>
    <t>geoengineering; Mt Pinatubo eruption; ozone depletion; stratospheric aerosols; albedo</t>
  </si>
  <si>
    <t>MOUNT-PINATUBO ERUPTION; CLIMATE MODEL SOCOL; 2-DIMENSIONAL MODEL; VOLCANIC AEROSOL; ANTARCTIC OZONE; DEPLETION; SIMULATIONS; VARIABILITY; VALIDATION; RADIATION</t>
  </si>
  <si>
    <t>Anthropogenic greenhouse gas emissions are warming the global climate at an unprecedented rate. Significant emission reductions will be required soon to avoid a rapid temperature rise. As a potential interim measure to avoid extreme temperature increase, it has been suggested that Earth's albedo be increased by artificially enhancing stratospheric sulfate aerosols. We use a 3D chemistry climate model, fed by aerosol size distributions from a zonal mean aerosol model, to simulate continuous injection of 1-10 Mt/a into the lower tropical stratosphere. In contrast to the case for all previous work, the particles are predicted to grow to larger sizes than are observed after volcanic eruptions. The reason is the continuous supply of sulfuric acid and hence freshly formed small aerosol particles, which enhance the formation of large aerosol particles by coagulation and, to a lesser extent, by condensation. Owing to their large size, these particles have a reduced albedo. Furthermore, their sedimentation results in a non-linear relationship between stratospheric aerosol burden and annual injection, leading to a reduction of the targeted cooling. More importantly, the sedimenting particles heat the tropical cold point tropopause and, hence, the stratospheric entry mixing ratio of H2O increases. Therefore, geoengineering by means of sulfate aerosols is predicted to accelerate the hydroxyl catalyzed ozone destruction cycles and cause a significant depletion of the ozone layer even though future halogen concentrations will be significantly reduced.</t>
  </si>
  <si>
    <t>[Heckendorn, P.; Luo, B. P.; Rozanov, E.; Schraner, M.; Peter, T.] ETH, Inst Atmospher &amp; Climate Sci, CH-8092 Zurich, Switzerland; [Weisenstein, D.] AER, Lexington, MA USA; [Fueglistaler, S.] Univ Cambridge, DAMTP, Cambridge CB2 1TN, England; [Rozanov, E.] PMOD WRC, Davos, Switzerland; [Thomason, L. W.] NASA, Langley Res Ctr, Hampton, VA 23665 USA</t>
  </si>
  <si>
    <t>Swiss Federal Institutes of Technology Domain; ETH Zurich; Atmospheric &amp; Environmental Research; University of Cambridge; National Aeronautics &amp; Space Administration (NASA); NASA Langley Research Center</t>
  </si>
  <si>
    <t>Heckendorn, P (corresponding author), ETH, Inst Atmospher &amp; Climate Sci, CH-8092 Zurich, Switzerland.</t>
  </si>
  <si>
    <t>patricia.heckendorn@env.ethz.ch</t>
  </si>
  <si>
    <t>Peter, Thomas/B-2529-2018; Rozanov, Eugene/A-9857-2012; Rozanov, Eugene/V-1881-2018; Fueglistaler, Stephan/I-5803-2013</t>
  </si>
  <si>
    <t>Peter, Thomas/0000-0002-7218-7156; Rozanov, Eugene/0000-0003-0479-4488; Rozanov, Eugene/0000-0003-0479-4488; Fueglistaler, Stephan/0000-0002-0419-440X; Luo, Beiping/0000-0003-1629-881X; Thomason, Larry/0000-0002-1902-0840</t>
  </si>
  <si>
    <t>ETH Zurich; NASA; EU [SCOUT-O3]</t>
  </si>
  <si>
    <t>ETH Zurich(ETH Zurich); NASA(National Aeronautics &amp; Space Administration (NASA)); EU(European Union (EU))</t>
  </si>
  <si>
    <t>PK is funded by ETH Zurich (S-ENETH project TUMSS), DW by NASA ACMAP program, BPL by the EU project SCOUT-O3, MS and ER by the ETH Zurich Polyproject 'Variability of the Sun and Global Climate Phase I + II'. We would like to thank Andreas Fischer, Stefan Broennimann, Marco Giorgetta, Gera Stenchikov, Manu Thomas, Claudia Timmreck, Simone Tilmes and Sebastian Schmidt for helpful discussions.</t>
  </si>
  <si>
    <t>IOP Publishing Ltd</t>
  </si>
  <si>
    <t>1748-9326</t>
  </si>
  <si>
    <t>ENVIRON RES LETT</t>
  </si>
  <si>
    <t>Environ. Res. Lett.</t>
  </si>
  <si>
    <t>10.1088/1748-9326/4/4/045108</t>
  </si>
  <si>
    <t>534ME</t>
  </si>
  <si>
    <t>WOS:000272900500053</t>
  </si>
  <si>
    <t>Irvine, PJ; Lunt, DJ; Stone, EJ; Ridgwell, A</t>
  </si>
  <si>
    <t>Irvine, Peter J.; Lunt, Daniel J.; Stone, Emma J.; Ridgwell, Andy</t>
  </si>
  <si>
    <t>The fate of the Greenland Ice Sheet in a geoengineered, high CO2 world</t>
  </si>
  <si>
    <t>geoengineering; Greenland; ice sheet; sunshade; general circulation model; sea level; climate change; radiation balance</t>
  </si>
  <si>
    <t>STRATOSPHERIC SULFUR INJECTIONS; EARTHS RADIATION BALANCE; CLIMATE-CHANGE; COUPLED MODEL; FLOW; SIMULATIONS; SENSITIVITY; PLIOCENE; SCHEMES; SYSTEM</t>
  </si>
  <si>
    <t>Solar radiation management (SRM) geoengineering has been proposed as one means of helping avoid the occurrence of dangerous climate change and undesirable state transitions ('tipping points') in the Earth system. The irreversible melting of the Greenland Ice Sheet is a case in point-a state transition that could occur as a result of CO2-driven elevated global temperatures, and one leading to potentially catastrophic sea-level rise. SRM schemes such as the creation of a 'sunshade' or injection of sulfate aerosols into the stratosphere could reduce incoming solar radiation, and in theory balance, in a global mean, the greenhouse warming resulting from elevated concentrations of CO2 in the atmosphere. Previous work has highlighted that a geoengineered world would have: warming towards the poles, cooling in the tropics, and a reduction in the global hydrological cycle, which may have important implications for the Greenland Ice Sheet. Using a fully coupled global climate model in conjunction with an ice sheet model, we assess the consequences for the mass balance of the Greenland Ice Sheet of the reorganization of climate patterns by the combination of high CO2 and geoengineering. We find that Greenland surface temperature and precipitation anomalies, compared to the pre-industrial situation, decrease almost linearly with increasing levels of SRM geoengineering, but that these combine to create a highly non-linear response of the ice sheet. The substantial melting of the Greenland Ice Sheet predicted for four times pre-industrial CO2 levels is prevented in our model with only a partial application of SRM, and hence without having to fully restore the global average temperature back to pre-industrial levels. This suggests that the degree of SRM geoengineering required to mitigate the worst impacts of greenhouse warming, such as sea-level rise, need not be as extensive as generally assumed.</t>
  </si>
  <si>
    <t>[Irvine, Peter J.; Lunt, Daniel J.; Stone, Emma J.; Ridgwell, Andy] Univ Bristol, Sch Geog Sci, Bristol Res Initiat Dynam Global Environm, Bristol BS8 1SS, Avon, England; [Lunt, Daniel J.] British Antarctic Survey, Cambridge CB3 0ET, England</t>
  </si>
  <si>
    <t>University of Bristol; UK Research &amp; Innovation (UKRI); Natural Environment Research Council (NERC); NERC British Antarctic Survey</t>
  </si>
  <si>
    <t>Irvine, PJ (corresponding author), Univ Bristol, Sch Geog Sci, Bristol Res Initiat Dynam Global Environm, Univ Rd, Bristol BS8 1SS, Avon, England.</t>
  </si>
  <si>
    <t>p.j.irvine@bristol.ac.uk</t>
  </si>
  <si>
    <t>Ridgwell, Andy/AAD-9487-2021; Stone, Emma J/H-9549-2012; Irvine, Peter/E-4799-2012; Lunt, Daniel/G-9451-2011</t>
  </si>
  <si>
    <t>Ridgwell, Andy/0000-0003-2333-0128; Stone, Emma J/0000-0002-8633-8074; Irvine, Peter/0000-0002-5469-1543; Lunt, Daniel/0000-0003-3585-6928</t>
  </si>
  <si>
    <t>NERC; The Royal Society; British Antarctic Survey; RCUK; Natural Environment Research Council [bas0100026] Funding Source: researchfish; NERC [bas0100026] Funding Source: UKRI</t>
  </si>
  <si>
    <t>NERC(UK Research &amp; Innovation (UKRI)Natural Environment Research Council (NERC)); The Royal Society(Royal Society); British Antarctic Survey; RCUK(UK Research &amp; Innovation (UKRI)); Natural Environment Research Council(UK Research &amp; Innovation (UKRI)Natural Environment Research Council (NERC)); NERC(UK Research &amp; Innovation (UKRI)Natural Environment Research Council (NERC))</t>
  </si>
  <si>
    <t>PI is funded on a NERC PhD studentship. AR acknowledges support from The Royal Society in the form of a University Research Fellowship. DL acknowledges funding from the British Antarctic Survey and from the RCUK in the form of a Research Fellowship. ES is funded on a NERC PhD studentship.</t>
  </si>
  <si>
    <t>10.1088/1748-9326/4/4/045109</t>
  </si>
  <si>
    <t>Green Published, gold</t>
  </si>
  <si>
    <t>WOS:000272900500054</t>
  </si>
  <si>
    <t>Kuklinski, P; Taylor, PD</t>
  </si>
  <si>
    <t>Kuklinski, P.; Taylor, P. D.</t>
  </si>
  <si>
    <t>Mineralogy of Arctic bryozoan skeletons in a global context</t>
  </si>
  <si>
    <t>FACIES</t>
  </si>
  <si>
    <t>Carbonate mineralogy; Arctic; Bryozoans</t>
  </si>
  <si>
    <t>CARBONATE MINERALOGY; ARAGONITE; SEAWATER; CALCITE; GROWTH; SHELF; CALCIFICATION; SEA</t>
  </si>
  <si>
    <t>Bryozoans are major carbonate producers in some ancient and Recent benthic environments, including parts of the Arctic Ocean. Seventy-six species of bryozoans from within the Arctic Circle have been studied using XRD to determine their carbonate mineralogies and the Mg content of the calcite. The majority of species were found to be calcitic, only four having bimineralic skeletons that combined calcite and aragonite, and none being entirely aragonitic. In almost all species, the calcite was of the low- (&lt; 4 mol% MgCO3) or intermediate-Mg (4-11.99 mol% MgCO3) varieties. Previous regional studies of bryozoan biomineralogy have found higher proportions of bimineralic and/or aragonitic species in New Zealand and the Mediterranean, with a greater number of calcitic species employing intermediate- and high-Mg calcite. The Antarctic bryozoan fauna, however, has a similar mineralogical composition to the Arctic. The lesser solubility of low-Mg calcite compared to both Mg calcite and aragonite in cold polar waters is most likely responsible for this latitudinal pattern. However, it is unknown to what extent environmental factors drive the pattern directly through eliciting an ecophenotypic response from the bryozoans concerned or the pattern reflects genetic adaptations by particular bryozoan clades.</t>
  </si>
  <si>
    <t>[Kuklinski, P.] Polish Acad Sci, Inst Oceanol, PL-81712 Sopot, Poland; [Kuklinski, P.; Taylor, P. D.] Nat Hist Museum, London SW7 5BD, England</t>
  </si>
  <si>
    <t>Polish Academy of Sciences; Institute of Oceanology of the Polish Academy of Sciences; Natural History Museum London</t>
  </si>
  <si>
    <t>Kuklinski, P (corresponding author), Polish Acad Sci, Inst Oceanol, Ul Powstancow Warszawy 55, PL-81712 Sopot, Poland.</t>
  </si>
  <si>
    <t>kuki@iopan.gda.pl</t>
  </si>
  <si>
    <t>Taylor, Paul/0000-0002-3127-080X; Kuklinski, Piotr/0000-0002-1507-215X</t>
  </si>
  <si>
    <t>EU programmes BRYOARC; DYNARC; Polish Ministry of Science and Higher Education [NN304 270434]</t>
  </si>
  <si>
    <t>EU programmes BRYOARC; DYNARC; Polish Ministry of Science and Higher Education(Ministry of Science and Higher Education, Poland)</t>
  </si>
  <si>
    <t>We would like to thank Caroline Kirk and Gordon Cressey for help with XRD and mineralogical data analysis. The authors would also like to thank Bjorn Berning and an anonymous reviewer for comments leading to an improved manuscript. The study has been completed thanks to the financial support to from the EU programmes BRYOARC and DYNARC, as well as a grant from the Polish Ministry of Science and Higher Education (NN304 270434) to PK.</t>
  </si>
  <si>
    <t>0172-9179</t>
  </si>
  <si>
    <t>1612-4820</t>
  </si>
  <si>
    <t>Facies</t>
  </si>
  <si>
    <t>10.1007/s10347-009-0179-3</t>
  </si>
  <si>
    <t>Geology; Paleontology</t>
  </si>
  <si>
    <t>494XM</t>
  </si>
  <si>
    <t>WOS:000269853000001</t>
  </si>
  <si>
    <t>Cieslinski, H; Dlugolecka, A; Kur, J; Turkiewicz, M</t>
  </si>
  <si>
    <t>Cieslinski, Hubert; Dlugolecka, Anna; Kur, Jozef; Turkiewicz, Marianna</t>
  </si>
  <si>
    <t>An MTA phosphorylase gene discovered in the metagenomic library derived from Antarctic top soil during screening for lipolytic active clones confers strong pink fluorescence in the presence of rhodamine B</t>
  </si>
  <si>
    <t>FEMS MICROBIOLOGY LETTERS</t>
  </si>
  <si>
    <t>rhodamine B; methylthioadenosine phosphorylase; metagenomic library; psychrophilic bacteria; lipase</t>
  </si>
  <si>
    <t>METHYLTHIOADENOSINE PHOSPHORYLASE; EXPRESSION; ESTERASE</t>
  </si>
  <si>
    <t>In this work, we present the construction of a metagenomic library in Escherichia coli using the pUC19 vector and environmental DNA directly isolated from Antarctic topsoil and screened for lipolytic enzymes. Unexpectedly, the screening on agar supplemented with olive oil and rhodamine B revealed one unusual pink fluorescent clone (PINKuv) out of 85 000 clones. This clone harbored a plasmid, pPINKuv, which has an insert of 8317 bp that has been completely sequenced. Further analysis of the insert showed eight ORFs. Three ORFs among these exhibited similarities to Psychrobacter arcticus genes. A nucleotide sequence designated as ORF4 encoded a protein with 93% identity to the methylthioadenosine phosphorylase of P. arcticus. This protein was responsible for the observed pink fluorescence of the PINKuv clone in the presence of rhodamine B. We found that colonies of recombinant E. coli TOP10F'/pUC19-ORF4 strain showed pink fluorescence under UV illumination on the Luria-Bertani agar supplemented with rhodamine B after culturing at 25, 30 and 37 degrees C. The same effect was achieved using other E. coli strains such as DH5 alpha, LMG194, JM101 and BL21(DE3) pLysS. The results presented here will provide the basis for further studies on the use of the discovered gene as a new reporter gene for molecular biology applications.</t>
  </si>
  <si>
    <t>[Cieslinski, Hubert; Dlugolecka, Anna; Kur, Jozef] Gdansk Univ Technol, Fac Chem, Dept Microbiol, PL-80952 Gdansk, Poland; [Turkiewicz, Marianna] Tech Univ Lodz, Inst Tech Biochem, PL-90924 Lodz, Poland</t>
  </si>
  <si>
    <t>Fahrenheit Universities; Gdansk University of Technology; Lodz University of Technology</t>
  </si>
  <si>
    <t>Cieslinski, H (corresponding author), Gdansk Univ Technol, Fac Chem, Dept Microbiol, Narutowicza 11-12, PL-80952 Gdansk, Poland.</t>
  </si>
  <si>
    <t>hcieslin@pg.gda.pl</t>
  </si>
  <si>
    <t>, Hubert/0000-0002-3504-2257; Cieslinski, Hubert/0000-0003-0573-0830</t>
  </si>
  <si>
    <t>Polish State Committee for Scientific Research [2 P04B 018 30]</t>
  </si>
  <si>
    <t>Polish State Committee for Scientific Research(Polish State Committee for Scientific Research)</t>
  </si>
  <si>
    <t>This work was supported by the Polish State Committee for Scientific Research Grant 2 P04B 018 30.</t>
  </si>
  <si>
    <t>0378-1097</t>
  </si>
  <si>
    <t>1574-6968</t>
  </si>
  <si>
    <t>FEMS MICROBIOL LETT</t>
  </si>
  <si>
    <t>FEMS Microbiol. Lett.</t>
  </si>
  <si>
    <t>10.1111/j.1574-6968.2009.01756.x</t>
  </si>
  <si>
    <t>495CH</t>
  </si>
  <si>
    <t>WOS:000269866500015</t>
  </si>
  <si>
    <t>Kawaguchi, S; Nicol, S; Press, AJ</t>
  </si>
  <si>
    <t>Kawaguchi, S.; Nicol, S.; Press, A. J.</t>
  </si>
  <si>
    <t>Direct effects of climate change on the Antarctic krill fishery</t>
  </si>
  <si>
    <t>FISHERIES MANAGEMENT AND ECOLOGY</t>
  </si>
  <si>
    <t>EUPHAUSIA-SUPERBA; SOUTHERN-OCEAN; RECRUITMENT; SEA; ICE</t>
  </si>
  <si>
    <t>[Kawaguchi, S.; Nicol, S.] Australian Antarctic Div, Dept Environm Water Heritage &amp; Arts, Kingston, Tas 7050, Australia; [Press, A. J.] Antarct Climate &amp; Ecosyst Cooperat Res Ctr, Hobart, Tas, Australia</t>
  </si>
  <si>
    <t>Kawaguchi, S (corresponding author), Australian Antarctic Div, Dept Environm Water Heritage &amp; Arts, Channel Highway, Kingston, Tas 7050, Australia.</t>
  </si>
  <si>
    <t>so.kawaguchi@aad.gov.au</t>
  </si>
  <si>
    <t>Kawaguchi, So/N-1795-2017</t>
  </si>
  <si>
    <t>Kawaguchi, So/0000-0002-2042-5095; Press, Anthony/0000-0002-3233-8933</t>
  </si>
  <si>
    <t>Australian Antarctic Division; Australian Government Co-operative Research Centres; Antarctic Climate &amp; Ecosystems Co-operative Research Centre (ACE-CRC)</t>
  </si>
  <si>
    <t>Australian Antarctic Division; Australian Government Co-operative Research Centres(Australian Government); Antarctic Climate &amp; Ecosystems Co-operative Research Centre (ACE-CRC)(Australian GovernmentDepartment of Industry, Innovation and ScienceCooperative Research Centres (CRC) Programme)</t>
  </si>
  <si>
    <t>We thank R Hewitt and C Reiss of Southwest Fisheries Centre NOAA for kindly providing updated sea ice cover index and A Constable for useful discussions. This research was supported by the Australian Antarctic Division and by the Australian Government Co-operative Research Centres Program through the Antarctic Climate &amp; Ecosystems Co-operative Research Centre (ACE-CRC).</t>
  </si>
  <si>
    <t>0969-997X</t>
  </si>
  <si>
    <t>FISHERIES MANAG ECOL</t>
  </si>
  <si>
    <t>Fisheries Manag. Ecol.</t>
  </si>
  <si>
    <t>10.1111/j.1365-2400.2009.00686.x</t>
  </si>
  <si>
    <t>493IN</t>
  </si>
  <si>
    <t>WOS:000269730100012</t>
  </si>
  <si>
    <t>Yoon, HI; Yoo, KC; Bak, YS; Lee, YI; Lee, JI</t>
  </si>
  <si>
    <t>Yoon, Ho Il; Yoo, Kyu-Cheul; Bak, Young-Suk; Lee, Yong Il; Lee, Jae Il</t>
  </si>
  <si>
    <t>Core-based reconstruction of paleoenvironmental conditions in the southern Drake Passage (West Antarctica) over the last 150 ka</t>
  </si>
  <si>
    <t>GEO-MARINE LETTERS</t>
  </si>
  <si>
    <t>BOTTOM WATER; ICE-SHEET; DIATOM BIOSTRATIGRAPHY; CLIMATIC CONTROL; PACIFIC MARGIN; SEDIMENT DRIFT; PLATE BOUNDARY; HIGH-LATITUDE; SCOTIA SEA; PENINSULA</t>
  </si>
  <si>
    <t>A deep-sea sediment core (GC98-06) from the southernmost Drake Passage, West Antarctica, shows late Quaternary depositional environments distinctly different from sedimentary drifts commonly found along the southwestern Pacific margin of the Drake Passage. The chronology of the core has been inferred using geochemical tracers of paleoproductivity and diatom biostratigraphy, and represents the paleoceanographic conditions in a continental rise setting during the last 150,000 years. Three dominant sediment types associated with distinct sedimentary processes have been identified using textural/compositional analyses: (1) hemipelagic mud (interglacial sediments) deposited from pelagic settling of bioclasts, meltwater plumes, and ice-rafted detritus; (2) terrigenous mud (glacial sediments) delivered by turbid meltwater plumes; and (3) massive muds marking the boundaries from interglacial to glacial periods. The succession of the sedimentary facies in core GC98-06 is interpreted to reflect temporal changes in environmental conditions prevailing on the continental rise of the southern Drake Passage in the course of successive climatic stages over the last 150 ka: from the bottom upward, these are glacial, interglacial, glaciation, glacial, and interglacial episodes. Variability in sediment flux and diatom abundance seem to have been related to changes in glacial advance, sea-ice extent, and specific sedimentary environments, collectively influenced by mid- to late Quaternary climatic changes.</t>
  </si>
  <si>
    <t>[Yoo, Kyu-Cheul; Lee, Yong Il] Seoul Natl Univ, Sch Earth &amp; Environm Sci, Seoul 151747, South Korea; [Yoon, Ho Il; Lee, Jae Il] Korea Polar Res Inst, Korea Ocean Res &amp; Dev Inst, Songdo TP, Inchon 406840, South Korea; [Bak, Young-Suk] Chonbuk Natl Univ, Dept Earth &amp; Environm Sci, Jeonju 561751, South Korea</t>
  </si>
  <si>
    <t>Seoul National University (SNU); Korea Polar Research Institute (KOPRI); Korea Institute of Ocean Science &amp; Technology (KIOST); Jeonbuk National University</t>
  </si>
  <si>
    <t>Yoo, KC (corresponding author), Seoul Natl Univ, Sch Earth &amp; Environm Sci, Seoul 151747, South Korea.</t>
  </si>
  <si>
    <t>hiyoon@kopri.re.kr; kcyoo@kopri.re.kr; sydin@chonbuk.ac.kr; lee2602@snu.ac.kr; leeji@kopri.re.kr</t>
  </si>
  <si>
    <t>Yoo, Kyu-Cheul/0000-0002-6186-7535</t>
  </si>
  <si>
    <t>KOPRI [PE09010]</t>
  </si>
  <si>
    <t>KOPRI(Korea Polar Research Institute of Marine Research Placement (KOPRI))</t>
  </si>
  <si>
    <t>We would like to thank C. Y. Kang, M. H. Park, and S. Y. Im for their efforts during the 98/99 KARP (Korea Antarctic Research Program) cruise to the Drake Passage. We are also grateful to the crew of the R/V Yuzhmorgeologiya for all their assistance with gravity coring. Finally, we acknowledge the constructive comments of Prof. F. J. Hernandez Molina, Dr. M. T. Delafontaine, and an anonymous reviewer that helped to improve the paper. This research was funded by KOPRI Grant PE09010.</t>
  </si>
  <si>
    <t>0276-0460</t>
  </si>
  <si>
    <t>1432-1157</t>
  </si>
  <si>
    <t>GEO-MAR LETT</t>
  </si>
  <si>
    <t>Geo-Mar. Lett.</t>
  </si>
  <si>
    <t>10.1007/s00367-009-0144-8</t>
  </si>
  <si>
    <t>494XN</t>
  </si>
  <si>
    <t>WOS:000269853100004</t>
  </si>
  <si>
    <t>Barrat, JA; Yamaguchi, A; Greenwood, RC; Bollinger, C; Bohn, M; Franchi, IA</t>
  </si>
  <si>
    <t>Barrat, Jean-Alix; Yamaguchi, Akira; Greenwood, Richard C.; Bollinger, Claire; Bohn, Marcel; Franchi, Ian A.</t>
  </si>
  <si>
    <t>Trace element geochemistry of K-rich impact spherules from howardites</t>
  </si>
  <si>
    <t>SOLAR-SYSTEM; OXYGEN; DIOGENITES; VESTA; DIFFERENTIATION; FRACTIONATION; PETROLOGY; EUCRITES; GENESIS; CLASTS</t>
  </si>
  <si>
    <t>The howardite-eucrite-diogenite (HED) achondrites are a group of meteorites that probably originate from the asteroid Vesta. Howardites are complex polymict breccias that sometimes contain, in addition to various rock debris, impact melt glasses which show an impressive range of compositions. In this paper we report on the geochemistry and O isotopes of a series of 6 Saharan polymict breccias (4 howardites and 2 polymict eucrites), and on the trace element abundances of high-K impact spherules found in two of them, Northwest Africa (NWA) 1664 and 1769, which are likely paired. The high-K impact spherules found in the howardites NWA 1664 and NWA 1769 display remarkable trace element patterns. Compared to eucrites or howardites, they all show prominent enrichments in Cs, Rb, K, Li and Ba, strong depletion in Na, while the REE and other refractory elements are unfractionated. These features could not have been generated during impact melting of their host howardites, nor other normal HED target materials. The involvement of Na-poor rocks, and possibly rocks of granitic composition, appears likely. Although these lithologies cannot be well constrained at present, our results demonstrate that the surface of Vesta is certainly more diverse than previously thought. Indeed, despite the large number of available HED meteorites (about 1000 different meteorites), the latter are probably not sufficient to describe the whole surface of their parent body. (C) 2009 Elsevier Ltd. All rights reserved.</t>
  </si>
  <si>
    <t>[Barrat, Jean-Alix; Bollinger, Claire; Bohn, Marcel] Univ Brest, CNRS, UMR Domaines Ocean 6538, IUEM, F-29280 Plouzane, France; [Barrat, Jean-Alix; Bollinger, Claire; Bohn, Marcel] Univ Europeenne Bretagne, Rennes, France; [Yamaguchi, Akira] Antarctic Meteorite Res Ctr, Natl Inst Polar Res, Tokyo 1908518, Japan; [Greenwood, Richard C.; Franchi, Ian A.] Open Univ, PSSRI, Milton Keynes MK7 6AA, Bucks, England</t>
  </si>
  <si>
    <t>Universite de Bretagne Occidentale; Institut Universitaire Europeen de la Mer (IUEM); Centre National de la Recherche Scientifique (CNRS); CNRS - National Institute for Earth Sciences &amp; Astronomy (INSU); Universite de Bretagne Occidentale; Research Organization of Information &amp; Systems (ROIS); National Institute of Polar Research (NIPR) - Japan; Open University - UK</t>
  </si>
  <si>
    <t>Barrat, JA (corresponding author), Univ Brest, CNRS, UMR Domaines Ocean 6538, IUEM, Pl Nicolas Copernic, F-29280 Plouzane, France.</t>
  </si>
  <si>
    <t>barrat@univ-brest.fr</t>
  </si>
  <si>
    <t>Jean-Alix, BARRAT/F-8035-2012; Yamaguchi, Akinobu/E-4265-2016; Barrat, Jean Alix/C-8416-2017</t>
  </si>
  <si>
    <t>Greenwood, Richard/0000-0002-5544-8027; Barrat, Jean Alix/0000-0003-3158-3109</t>
  </si>
  <si>
    <t>Programme National de Planetologie (CNRS-INSU); STFC; Science and Technology Facilities Council [ST/F003102/1] Funding Source: researchfish; STFC [ST/F003102/1] Funding Source: UKRI</t>
  </si>
  <si>
    <t>Programme National de Planetologie (CNRS-INSU)(Centre National de la Recherche Scientifique (CNRS)); STFC(UK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</si>
  <si>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The samples analyzed during the course of this study were kindly provided by the Museum National d'Histoire Naturelle de Paris, Ahmed Pani, Philippe Thomas, Frederic Beroud and Ali Hmani. We thank Christian Koeberl for the editorial handling, Abhijit Basu and David Mittlefehldt for constructive comments, Philippe Gillet for fruitful discussions, and Pascale Barrat for her help. Gilles Chazot and Arnaud Agranier are thanked for their help with laser analyses. Jenny Gibson is thanked for her help with oxygen isotope analyses. We gratefully acknowledge the Programme National de Planetologie (CNRS-INSU) for financial support. IAF and RCG acknowledge support from STFC through a Rolling Grant to PSSRI. This research has made use of NASA's Astrophysics Data System Abstract Service.</t>
  </si>
  <si>
    <t>10.1016/j.gca.2009.06.033</t>
  </si>
  <si>
    <t>541LE</t>
  </si>
  <si>
    <t>Green Submitted, Green Accepted</t>
  </si>
  <si>
    <t>WOS:000273416400025</t>
  </si>
  <si>
    <t>Warny, S; Askin, RA; Hannah, MJ; Mohr, BAR; Raine, JI; Harwood, DM; Florindo, F; Levy, R; Acton, G; Atkins, C; Bassett, K; Berg, M; Bibby, T; Blair, S; Blank, L; Browne, G; Del Carlo, P; Dooley, J; Drew, S; Dunbar, G; Field, B; Fielding, C; Frank, T; Frisch-Gleason, R; Grelle, T; Handwerger, D; Hoffmann, S; Hubbard, J; Huffman, L; Ishman, S; Johnson, K; Jovane, L; Konfirst, M; Krissek, L; Kuhn, G; Lacy, L; Lehmann, R; Magens, D; Mankoff, K; Millan, C; Nielsen, S; Olney, M; Panter, K; Passchier, S; Patterson, T; Paulsen, T; Pekar, S; Persico, D; Petrushak, S; Pierdominici, S; Pound, K; Reed, J; Reichelt, L; Riesselman, C; Sandroni, S; Schmitt, D; di Clemente, GS; Speece, M; Strada, E; Szymcek, P; Talarico, F; Taviani, M; Tuzzi, E; Williams, R; Wonik, T</t>
  </si>
  <si>
    <t>Warny, Sophie; Askin, Rosemary A.; Hannah, Michael J.; Mohr, Barbara A. R.; Raine, J. Ian; Harwood, David M.; Florindo, Fabio; Levy, Richard (Rich); Acton, Gary; Atkins, Clifford (Cliff); Bassett, Kari; Berg, Megan; Bibby, Theodore (Ted); Blair, Stacie; Blank, Leslie; Browne, Gregory (Greg); Del Carlo, Paola; Dooley, Julia; Drew, Scott; Dunbar, Gavin; Field, Bradley (Brad); Fielding, Christopher (Chris); Frank, Tracy; Frisch-Gleason, Robin; Grelle, Thomas; Handwerger, David (Dave); Hoffmann, Stefan; Hubbard, Joanna; Huffman, Louise; Ishman, Scott; Johnson, Katherine (Katie); Jovane, Luigi; Konfirst, Matthew (Matt); Krissek, Lawrence (Larry); Kuhn, Gerhard (Gerd); Lacy, Laura; Lehmann, Rainer; Magens, Diana; Mankoff, Kenneth (Ken); Millan, Cristina; Nielsen, Simon; Olney, Matthew (Matt); Panter, Kurt; Passchier, Sandra; Patterson, Taylor; Paulsen, Timothy (Tim); Pekar, Stephen (Steve); Persico, Davide; Petrushak, Steven (Steve); Pierdominici, Simona; Pound, Katherine (Kate); Reed, Joshua (Josh); Reichelt, Lucia (Lucy); Riesselman, Christina; Sandroni, Sonia; Schmitt, Douglas (Doug); di Clemente, Graziano Scotto; Speece, Marvin (Marv); Strada, Eleonora; Szymcek, Phillip (Phill); Talarico, Franco; Taviani, Marco; Tuzzi, Eva; Williams, Robert (Bob); Wonik, Thomas</t>
  </si>
  <si>
    <t>SMS Sci Team</t>
  </si>
  <si>
    <t>Palynomorphs from a sediment core reveal a sudden remarkably warm Antarctica during the middle Miocene</t>
  </si>
  <si>
    <t>GEOLOGY</t>
  </si>
  <si>
    <t>DINOFLAGELLATE CYST DISTRIBUTION; NORTH-SEA BASIN; CLIMATE; PLIOCENE; STRATIGRAPHY; VEGETATION; GREENLAND; OLIGOCENE; TRANSECT; BELGIUM</t>
  </si>
  <si>
    <t>An exceptional triple palynological signal (unusually high abundance of marine, freshwater, and terrestrial palynomorphs) recovered from a core collected during the 2007 ANDRILL (Antarctic geologic drilling program) campaign in the Ross Sea, Antarctica, provides constraints for the Middle Miocene Climatic Optimum. Compared to elsewhere in the core, this signal comprises a 2000-fold increase in two species of dinoflagellate cysts, a synchronous five-fold increase in freshwater algae, and up to an 80-fold increase in terrestrial pollen, including a proliferation of woody plants. Together, these shifts in the palynological assemblages ca. 15.7 Ma ago represent a relatively short period of time during which Antarctica became abruptly much warmer. Land temperatures reached 10 degrees C (January mean), estimated annual sea-surface temperatures ranged from 0 to 11.5 degrees C, and increased freshwater input lowered the salinity during a short period of sea-ice reduction.</t>
  </si>
  <si>
    <t>[Warny, Sophie; Askin, Rosemary A.] Louisiana State Univ, Dept Geol &amp; Geophys, Baton Rouge, LA 70803 USA; [Warny, Sophie; Askin, Rosemary A.] Louisiana State Univ, Museum Nat Sci, Baton Rouge, LA 70803 USA; [Hannah, Michael J.] Victoria Univ Wellington, Sch Geog Environm &amp; Earth Sci, Antarctic Res Ctr, Wellington, New Zealand; [Mohr, Barbara A. R.] Museum Nat Hist, D-10115 Berlin, Germany; [Raine, J. Ian; Levy, Richard (Rich); Browne, Gregory (Greg); Field, Bradley (Brad)] GNS Sci, Lower Hutt, New Zealand; [Harwood, David M.; Fielding, Christopher (Chris); Frank, Tracy; Tuzzi, Eva] Univ Nebraska, Dept Geosci, Lincoln, NE 68588 USA; [Harwood, David M.; Huffman, Louise; Lacy, Laura; Reed, Joshua (Josh)] Univ Nebraska, ANDRILL Sci Management Off, Lincoln, NE 68588 USA; [Florindo, Fabio] Ist Nazl Geofis &amp; Vulcanol, I-00143 Rome, Italy; [Acton, Gary] Univ Calif Davis, Dept Geol, Davis, CA 95616 USA; [Atkins, Clifford (Cliff)] Victoria Univ Wellington, Sch Geog Environm &amp; Earth Sci, Wellington 6005, New Zealand; [Bassett, Kari] Univ Canterbury, Dept Geol Sci, Christchurch, New Zealand; [Bibby, Theodore (Ted); Blair, Stacie; Petrushak, Steven (Steve)] Florida State Univ, Dept Geol Sci, Tallahassee, FL 32306 USA; [Blank, Leslie] Raytheon Polar Serv, Centennial, CO USA; [Del Carlo, Paola] Ist Nazl Geofis &amp; Vulcanol, Sezione Pisa, I-56126 Pisa, Italy; [Drew, Scott; Krissek, Lawrence (Larry); Millan, Cristina] Ohio State Univ, Sch Earth Sci, Columbus, OH 43210 USA; [Dunbar, Gavin] Victoria Univ Wellington, Antarctic Res Ctr, Wellington 6005, New Zealand; [Grelle, Thomas; Wonik, Thomas] LIAG, Hannover, Germany; Victoria Univ Wellington, Sch Earth Sci, Wellington 4007, New Zealand; [Hoffmann, Stefan] Univ Gottingen, Dept Sedimentol &amp; Environm Geol, D-37077 Gottingen, Germany; [Ishman, Scott] SO Illinois Univ Carbondale, Dept Geol, Carbondale, IL 62901 USA; [Johnson, Katherine (Katie)] Geomarine Res, Auckland 1072, New Zealand; [Jovane, Luigi] Univ Calif Davis, Paleomagnet Lab, Dept Geol, Davis, CA 95616 USA; [Konfirst, Matthew (Matt)] No Illinois Univ, Dept Geol &amp; Environm Geosci, De Kalb, IL 60115 USA; [Kuhn, Gerhard (Gerd); Magens, Diana] Alfred Wegener Inst, Dept Marine Geophys, D-27515 Bremerhaven, Germany; [Mankoff, Kenneth (Ken)] NASA GISS, New York, NY 10025 USA; [Nielsen, Simon] Japan Agcy Marine Earth Sci &amp; Technol, Ctr Deep Earth Explorat, Yokohama, Kanagawa 2360001, Japan; [Olney, Matthew (Matt)] Univ S Florida, Dept Geol, Tampa, FL 33620 USA; [Panter, Kurt] Bowling Green State Univ, Earth &amp; Environm Stud, Bowling Green, OH 43403 USA; [Passchier, Sandra] Montclair State Univ, Earth &amp; Environm Stud, Montclair, NJ 07043 USA; [Patterson, Taylor; Speece, Marvin (Marv)] Montana Tech Univ Montana, Dept Geophys Engn, Butte, MT 59701 USA; [Paulsen, Timothy (Tim)] Univ Wisconsin Oshkosh, Dept Geol, Oshkosh, WI 54901 USA; [Pekar, Stephen (Steve)] Queens Coll, Sch Earth &amp; Environm Sci, Flushing, NY 11367 USA; [Persico, Davide] Univ Parma, Dipartimento Sci Terra, I-43100 Parma, Italy; [Pierdominici, Simona] Ist Nazl Geofis &amp; Vulcanol, I-00143 Rome, Italy; [Pound, Katherine (Kate)] St Cloud State Univ, Dept Earth &amp; Atmospher Sci, St Cloud, MN 56301 USA; [Reichelt, Lucia (Lucy)] Alfred Wegener Inst, D-27568 Bremerhaven, Germany; [Riesselman, Christina] Stanford Univ, Geol &amp; Environm Sci, Stanford, CA 94305 USA; [Sandroni, Sonia] Sez Sci Terra Siena, Museo Nazl Antartide, I-53100 Siena, Italy; [Schmitt, Douglas (Doug)] Univ Alberta, Inst Geophys Res, Dept Phys, Edmonton, AB T6G 2G7, Canada; [di Clemente, Graziano Scotto; Talarico, Franco] Secondary Sch Luigi Stefanini, I-31100 Treviso, Italy; [Strada, Eleonora] Univ Siena, Dipartimento Sci Terra, I-53100 Siena, Italy; [Taviani, Marco] CNR, ISMAR Bologna, I-40129 Bologna, Italy</t>
  </si>
  <si>
    <t>Louisiana State University System; Louisiana State University; Louisiana State University System; Louisiana State University; Victoria University Wellington; GNS Science - New Zealand; University of Nebraska System; University of Nebraska Lincoln; University of Nebraska System; University of Nebraska Lincoln; Istituto Nazionale Geofisica e Vulcanologia (INGV); University of California System; University of California Davis; Victoria University Wellington; University of Canterbury; State University System of Florida; Florida State University; Istituto Nazionale Geofisica e Vulcanologia (INGV); University System of Ohio; Ohio State University; Victoria University Wellington; Leibniz Institut fur Angewandte Geophysik (LIAG); Victoria University Wellington; University of Gottingen; Southern Illinois University System; Southern Illinois University; University of California System; University of California Davis; Northern Illinois University; Helmholtz Association; Alfred Wegener Institute, Helmholtz Centre for Polar &amp; Marine Research; National Aeronautics &amp; Space Administration (NASA); NASA Goddard Space Flight Center; Goddard Institute for Space Studies; Japan Agency for Marine-Earth Science &amp; Technology (JAMSTEC); State University System of Florida; University of South Florida; University System of Ohio; Bowling Green State University; Montclair State University; University of Montana System; University of Montana; University of Wisconsin System; University of Wisconsin Oshkosh; City University of New York (CUNY) System; Queens College NY (CUNY); University of Parma; Istituto Nazionale Geofisica e Vulcanologia (INGV); Minnesota State Colleges &amp; Universities; Saint Cloud State University; Helmholtz Association; Alfred Wegener Institute, Helmholtz Centre for Polar &amp; Marine Research; Stanford University; University of Alberta; University of Siena; Consiglio Nazionale delle Ricerche (CNR); Istituto di Scienze Marine (ISMAR-CNR)</t>
  </si>
  <si>
    <t>Warny, S (corresponding author), Louisiana State Univ, Dept Geol &amp; Geophys, E235 Howe Russell, Baton Rouge, LA 70803 USA.</t>
  </si>
  <si>
    <t>swarny@lsu.edu; askin@bresnan.net; Michael.hannah@vuw.ac.nz; Barbara.mohr@museum.hu-berlin.de; I.Raine@gns.cri.nz; dharwood1@unl.edu; florindo@ingv.it; r.levy@gns.cri.nz; gdacton@ucdavis.edu; cliff.atkins@vuw.ac.nz; kari.bassett@canterbury.ac.nz; meganberg@mac.com; tcb03c@fsu.edu; blair@quartz.gly.fsu.edu; G.Browne@gns.cri.nz; delcarlo@pi.ingv.it; dooleyj@christina.k12.de.us; drew.37@osu.edu; gavin.dunbar@vuw.ac.nz; brad.field@gns.cri.nz; cfielding2@unl.edu; tfrank2@unl.edu; gleason@aaps.k12.mi.us; t.grelle@liag-hannover.de; dave@xmission.com; s.hoffmann@geo.uni-goettingen.de; hubbard_joanna@asdk12.org; lhuffman@andrill.org; sishman@siu.edu; k.johnson@geomarine.org.nz; jovane@geology.ucdavis.edu; mk@mattkonfirst.com; krissek@mps.ohio-state.edu; gerhard.kuhn@awi.de; llacy2@unl.edu; rainer.lehmann@gmx.net; Diana.Magens@awi.de; mankoff@giss.nasa.gov; millan.2@osu.edu; simon.n@jamstec.go.jp; cyclingolney@yahoo.co.uk; kpanter@bgsu.edu; passchiers@mail.montclair.edu; paulsen@uwosh.edu; stephen.pekar@qc.cuny.edu; davide.persico@unipr.it; gneissguy2000@yahoo.com; pierdominici@ingv.it; kspound@stcloudstate.edu; jareed@andrill.org; lreichelt@gmx.de; criessel@stanford.edu; sandroni@unisi.it; doug@phys.ualberta.ca; grscott@tin.it; mspeece@mtech.edu; strada2@unisi.it; pszymcek@gmail.com; talarico@unisi.it; marco.taviani@bo.ismar.cnr.it; evatuzzi@libero.it; bbermk@xtra.co.nz; Thomas.wonik@liag-hannover.de</t>
  </si>
  <si>
    <t>Florindo, Fabio/F-4119-2010; Florindo, Fabio/M-1459-2019; Jovane, Luigi/AAH-5438-2020; Pierdominici, Simona/F-9120-2011; Passchier, Sandra/B-1993-2008; Sandroni, Sonia/C-7188-2008; Florindo, Fabio/AAU-2548-2021; Jovane, Luigi/E-7536-2012; Passchier, Sandra/GYU-2381-2022; Del Carlo, Paola/AAH-1725-2019; Raine, James I/D-5124-2009; Taviani, Marco/AAF-2168-2020; Passchier, Sandra/AAQ-2243-2021; Warny, Sophie A/A-8226-2013; Hannah, Michael/H-1083-2015</t>
  </si>
  <si>
    <t>Florindo, Fabio/0000-0002-6058-9748; Florindo, Fabio/0000-0002-6058-9748; Jovane, Luigi/0000-0003-4348-4714; Pierdominici, Simona/0000-0002-5368-4536; Passchier, Sandra/0000-0001-7204-7025; Sandroni, Sonia/0000-0002-7941-7145; Taviani, Marco/0000-0003-0414-4274; Passchier, Sandra/0000-0001-7204-7025; Hannah, Michael/0000-0002-2275-0086; Warny, Sophie/0000-0002-3451-040X; Raine, James Ian/0000-0001-5294-2102</t>
  </si>
  <si>
    <t>U. S. Antarctic Program; Raytheon Polar Services Corporation; Antarctica New Zealand; U. S. National Science Foundation; New Zealand Foundation for Research Science and Technology; Italian Antarctic Research Program; German Science Foundation; Alfred Wegener Institute</t>
  </si>
  <si>
    <t>U. S. Antarctic Program; Raytheon Polar Services Corporation; Antarctica New Zealand; U. S. National Science Foundation(National Science Foundation (NSF)); New Zealand Foundation for Research Science and Technology(New Zealand Foundation for Research, Science and Technology); Italian Antarctic Research Program; German Science Foundation(German Research Foundation (DFG)); Alfred Wegener Institute</t>
  </si>
  <si>
    <t>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 S. Antarctic Program and Raytheon Polar Services Corporation supported the science team at McMurdo Station, while Antarctica New Zealand supported the drilling team at Scott Base. Scientific studies are jointly supported by the U. S. National Science Foundation, New Zealand Foundation for Research Science and Technology, the Italian Antarctic Research Program, the German Science Foundation, and the Alfred Wegener Institute. We are grateful to Vanessa Bowman and Rex Harland for their careful review of the manuscript.</t>
  </si>
  <si>
    <t>0091-7613</t>
  </si>
  <si>
    <t>1943-2682</t>
  </si>
  <si>
    <t>10.1130/G30139A.1</t>
  </si>
  <si>
    <t>501MV</t>
  </si>
  <si>
    <t>WOS:000270386900024</t>
  </si>
  <si>
    <t>Peculiarities of artificial ionospheric radiation under the action of high-power HF radiowaves, emitted by the SPEAR facility, on the sporadic E layer of the polar ionosphere</t>
  </si>
  <si>
    <t>STIMULATED ELECTROMAGNETIC EMISSIONS; PUMP WAVE; TROMSO; PLASMA</t>
  </si>
  <si>
    <t>The results of the experimental studies of the ionospheric effects originating under the action of high-power HF radiowaves, emitted by the SPEAR heating facility into the sporadic E (s) layer of the polar ionosphere, are presented. The experiment was performed on March 2, 2007, simultaneously at two spaced points: Barentsburg (Spitsbergen, a distance of about 40 km from the SPEAR facility) and Gor'kovskaya observatory near St. Petersburg, located at a distance of about 2000 km from SPEAR. The distributions of the heating signal intensity in the 100 kHz frequency band were measured in Barentsburg. Bistatic backscatter of diagnostic HF signals by small-scale artificial ionospheric irregularities was observed at Gor'kovskaya observatory. Based on an analysis of the experimental data obtained in Barentsburg, it has been found out that a broadband noise-like component originated and additional maximums appeared in the heating signal spectrum. The broadband emission intensity was a factor of 1.5-3 as high as the noise level. The additional maximums were formed in the regions of the positive and negative frequency shift relative to the heating signal frequency and were observed when the heating frequency was lower than the critical frequency of the E (s) layer; e.g., a high-power HF radiowave reflected from E (s) . The expression for determining the frequency shift of the additional maximum in the heating signal spectrum at altitudes of the ionospheric E region, taking into account the ion-electron collision frequency, has been obtained. The heating signal spectrum registration was compared with the observations of small-scale artificial ionospheric irregularities and the trajectory modeling of signals scattered by the considered irregularities. The observation results have been analyzed and interpreted taking into account the magnetic and ionospheric data characterizing the background geophysical conditions.</t>
  </si>
  <si>
    <t>Borisova, Tatiana/AAK-7698-2020; Blagoveshchenskaya, Nataly/AAE-4093-2022; Blagoveshchenskaya, Nataly F./S-4342-2017</t>
  </si>
  <si>
    <t>Blagoveshchenskaya, Nataly/0000-0003-1752-3273; Blagoveshchenskaya, Nataly F./0000-0003-1752-3273; Borisova, Tatiana/0000-0003-1727-5310; Kalishin, Alexey/0000-0001-7299-6546</t>
  </si>
  <si>
    <t>Science and Technology Facilities Council [PP/E000983/1] Funding Source: researchfish; STFC [PP/E000983/1] Funding Source: UKRI</t>
  </si>
  <si>
    <t>Science and Technology Facilities Council(UK Research &amp; Innovation (UKRI)Science &amp; Technology Facilities Council (STFC)); STFC(UK Research &amp; Innovation (UKRI)Science &amp; Technology Facilities Council (STFC))</t>
  </si>
  <si>
    <t>10.1134/S0016793209050120</t>
  </si>
  <si>
    <t>505GY</t>
  </si>
  <si>
    <t>WOS:000270681500012</t>
  </si>
  <si>
    <t>Baran, JM; Cochran, JR; Holmes, RC; Tolstoy, M; Carbotte, SM</t>
  </si>
  <si>
    <t>Baran, Janet M.; Cochran, James R.; Holmes, R. Chadwick; Tolstoy, Maya; Carbotte, Suzanne M.</t>
  </si>
  <si>
    <t>Constraints on the mantle temperature gradient along the Southeast Indian Ridge from crustal structure and isostasy: implications for the transition from an axial high to an axial valley</t>
  </si>
  <si>
    <t>Gravity anomalies and Earth structure; Mid-ocean ridge processes; Crustal structure; Indian Ocean</t>
  </si>
  <si>
    <t>AUSTRALIAN-ANTARCTIC DISCORDANCE; MIDOCEAN RIDGES; RIFT-VALLEY; MORPHOLOGY; BENEATH; ACCRETION; ANOMALIES; RHEOLOGY; FLOW</t>
  </si>
  <si>
    <t>P&gt;Axial and ridge flank depths on the Southeast Indian Ridge (SEIR) systematically increase for 2500 km from 90 degrees E to 120 degrees E approaching the Australian-Antarctic Discordance. The SEIR also experiences an abrupt change in ridge axis morphology near 103 degrees 30'E with axial highs found to the west and axial valleys to the east. Since the spreading rate is constant throughout this region, these variations have been ascribed to an along-axis gradient in mantle temperature. A seismic refraction experiment provides information on the crustal thickness and seismic velocity structure of two segments with differing axial morphology. Segment P2, centred near 102 degrees E with an axial high has a mean crustal thickness of 5.9 +/- 0.2 km, while the mean crustal thickness is 5.3 +/- 0.3 km at Segment S1 with an axial valley and centred near 109 degrees 45'E. Isostatic compensation of the difference in crustal thickness and density structure between the two segments only accounts for 33 m of the 198 m difference in average ridge flank depth between the two segments. The remaining depth difference must result from a difference in mantle density. Melt production models imply a mantle temperature difference of 11-13.5 degrees C to produce the observed difference in crustal thickness. Isostatic compensation of the two segments requires that the resulting density difference must extend to about 300 km in the mantle. The transition in axial morphology along the SEIR is very abrupt occurring over a narrow zone within a single segment in which the transition is complete. If a linear mantle temperature gradient is assumed, the temperature difference across the transition segment is only 2.4 degrees C. The change in axial morphology is accompanied by abrupt changes in other parameters including abyssal hill height, magnetic anomaly amplitude, layer 2a thickness and the presence or absence of an axial magma lens. The abrupt, coincident change in a number of parameters with a very small change in mantle temperature strongly suggests a threshold change between two distinctly different modes of crustal accretion. The trigger for the transition appears to be whether a steady-state crustal magma lens can be maintained.</t>
  </si>
  <si>
    <t>[Baran, Janet M.; Cochran, James R.; Holmes, R. Chadwick; Tolstoy, Maya; Carbotte, Suzanne M.] Columbia Univ, Lamont Doherty Earth Observ, Palisades, NY 10964 USA; [Baran, Janet M.] US Dept Commerce, Natl Ocean &amp; Atmospher Adm, Washington, DC 20230 USA</t>
  </si>
  <si>
    <t>Columbia University; National Oceanic Atmospheric Admin (NOAA) - USA</t>
  </si>
  <si>
    <t>Baran, JM (corresponding author), Columbia Univ, Lamont Doherty Earth Observ, 61 Route 9W, Palisades, NY 10964 USA.</t>
  </si>
  <si>
    <t>jrc@ldeo.columbia.edu</t>
  </si>
  <si>
    <t>Holmes, R. Chadwick/0000-0002-7884-9843</t>
  </si>
  <si>
    <t>National Science Foundation [OCE-99-11720]; LDEO [7278]</t>
  </si>
  <si>
    <t>National Science Foundation(National Science Foundation (NSF)); LDEO</t>
  </si>
  <si>
    <t>Discussions with and suggestions from Roger Buck and Mladen Nedimovic contributed greatly to this work. Comments and suggestions from Y. John Chen and an anonymous reviewer were extremely helpful. The efforts of the Captain, crew and scientific staff aboard R/V Maurice Ewing under very difficult weather and sea conditions were essential to the collection of the data utilized in this study. The GMT software package (Wessel &amp; Smith 1998) was used for the preparation of figures. This work was supported by National Science Foundation grant OCE-99-11720. LDEO contribution 7278.</t>
  </si>
  <si>
    <t>10.1111/j.1365-246X.2009.04300.x</t>
  </si>
  <si>
    <t>493KX</t>
  </si>
  <si>
    <t>WOS:000269736600011</t>
  </si>
  <si>
    <t>Ratcliffe, N; Mitchell, I; Varnham, K; Verboven, N; Higson, P</t>
  </si>
  <si>
    <t>Ratcliffe, Norman; Mitchell, Ian; Varnham, Karen; Verboven, Nanette; Higson, Paul</t>
  </si>
  <si>
    <t>How to prioritize rat management for the benefit of petrels: a case study of the UK, Channel Islands and Isle of Man</t>
  </si>
  <si>
    <t>IBIS</t>
  </si>
  <si>
    <t>eradication; invasive species; island restoration; petrels; prioritization; quarantine; rats; seabirds</t>
  </si>
  <si>
    <t>SHIANT ISLANDS; SHIP RATS; SEABIRDS; CONSERVATION; ERADICATION; HEBRIDES</t>
  </si>
  <si>
    <t>Rats have been introduced to islands throughout the world. They have caused breeding failures, population declines and complete extirpation of vulnerable bird species. Such impacts can be difficult to diagnose in situations where extirpation occurred prior to the vulnerable species being recorded. Mitigating the impacts of rats on seabirds depends on quarantine measures for islands where rats are currently absent, and eradication or control campaigns on those where they are present. These measures can be challenging in terms of both costs and practicalities, and so can seldom be applied to all islands within a given region. Hence a prioritization exercise is often required to identify those islands where management would be most cost-effective. In this review we present a case study of rat management in the UK, Channel Islands and Isle of Man. We review rat management for the study area to date and present a simple scoring approach to prioritize islands for eradication campaigns, including those where the procellariiform priority species are currently absent. We recommend further research into rat management for the study area and on the applicability of this approach elsewhere in the world.</t>
  </si>
  <si>
    <t>[Ratcliffe, Norman; Verboven, Nanette; Higson, Paul] RSPB Scotland, Aberdeen AB10 1YP, Scotland; [Mitchell, Ian] JNCC, Aberdeen AB10 1UZ, Scotland; [Varnham, Karen] Univ Bristol, Bristol BS8 1UG, Avon, England</t>
  </si>
  <si>
    <t>Royal Society for Protection of Birds; University of Bristol</t>
  </si>
  <si>
    <t>Ratcliffe, N (corresponding author), British Antarctic Survey, NERC, High Cross,Madingley Rd, Cambridge CB3 0ET, England.</t>
  </si>
  <si>
    <t>notc@bas.ac.uk</t>
  </si>
  <si>
    <t>0019-1019</t>
  </si>
  <si>
    <t>1474-919X</t>
  </si>
  <si>
    <t>Ibis</t>
  </si>
  <si>
    <t>10.1111/j.1474-919X.2009.00949.x</t>
  </si>
  <si>
    <t>496MA</t>
  </si>
  <si>
    <t>WOS:000269977000007</t>
  </si>
  <si>
    <t>Manorama, R; Pindi, PK; Reddy, GSN; Shivaji, S</t>
  </si>
  <si>
    <t>Manorama, R.; Pindi, P. K.; Reddy, G. S. N.; Shivaji, S.</t>
  </si>
  <si>
    <t>Bhargavaea cecembensis gen. nov., s. nov., isolated from the Chagos-Laccadive ridge system in the Indian Ocean</t>
  </si>
  <si>
    <t>ENDOSPORE-FORMING BACTERIA; SEA HYDROTHERMAL VENTS; PHYLOGENETIC DIVERSITY; DEOXYRIBONUCLEIC ACID; SEQUENCE ALIGNMENT; PLANOCOCCUS; PROKARYOTES; ANTARCTICA; HABITATS; CRUSTS</t>
  </si>
  <si>
    <t>A novel Gram-positive, rod-shaped, non-motile, non-spore-forming bacterium, strain DSE10(T), was isolated from a deep-sea sediment sample collected at a depth of 5904 m from the Chagos-Laccadive ridge system in the Indian Ocean. Cells of strain DSE10(T) were positive for catalase, oxidase, urease and lipase activities and contained iso-C-14:0, iso-C-15:0, iso-C-16:0 and anteiso-C-15:0 as the major fatty acids. The major respiratory quinones were MK-6 and MK-8 and the major lipids were phosphatidylglycerol and diphosphatidylglycerol. The cell-wall peptidoglycan contained diaminopimelic acid as the diagnostic diamino acid. A BLAST sequence similarity search based on 16S rRNA gene sequences indicated that the genera Planococcus, Planomicrobium, Bacillus and Geobacillus were the nearest phylogenetic neighbours; to the novel isolate with gene sequence similarities ranging from 94.9 to 95.2%. Phylogenetic analyses using neighbour-joining, minimum-evolution and maximum-parsimony methods indicated that strain DSE10(T) formed a deeply rooted lineage distinct from the clades represented by the genera Planococcus, Planomicrobium, Bacillus and Geobacillus. Further, strain DSE10(T) could be distinguished from the above-mentioned genera based on the presence of signature nucleotides G, A, C, T, C, A, G, C and T at positions 182, 444, 480, 492, 563, 931, 1253, 1300 and 1391, respectively, in the 16S rRNA gene sequence. Based on the phenotypic and phylogenetic characteristics determined in this study, strain DSE10(T) was assigned as the type species of a new genus, Bhargavaea gen. nov., as Bhargavaea cecembensis sp. nov. The type strain of Bhargavaea cecembensis gen. nov., sp. nov. is DSE10(T) (=LMG 24411(T)=JCM 14375(T)). The genomic DNA G+C content of strain DSE10(T) is 59.5 +/- 2.5 mol%.</t>
  </si>
  <si>
    <t>[Manorama, R.; Pindi, P. K.; Reddy, G. S. N.; Shivaji, S.] Ctr Cellular &amp; Mol Biol, Hyderabad 500007, Andhra Pradesh, India</t>
  </si>
  <si>
    <t>Council of Scientific &amp; Industrial Research (CSIR) - India; CSIR - Centre for Cellular &amp; Molecular Biology (CCMB)</t>
  </si>
  <si>
    <t>shivas@ccmb.res.in</t>
  </si>
  <si>
    <t>Ministry of Earth Sciences, Government of India; National Centre for Antarctic and Ocean Research, Goa</t>
  </si>
  <si>
    <t>Ministry of Earth Sciences, Government of India(Ministry of Earth Science (MoES), Government of India); National Centre for Antarctic and Ocean Research, Goa</t>
  </si>
  <si>
    <t>Our thanks to Dr Rahul Sharma and Dr Chandralatha Raghukumar for providing us with the sample. S. S. would like to thank the Ministry of Earth Sciences, Government of India, for financial assistance through the National Centre for Antarctic and Ocean Research, Goa.</t>
  </si>
  <si>
    <t>CHARLES DARWIN HOUSE, 12 ROGER ST, LONDON WC1N 2JU, ERKS, ENGLAND</t>
  </si>
  <si>
    <t>10.1099/ijs.0.002691-0</t>
  </si>
  <si>
    <t>511ZL</t>
  </si>
  <si>
    <t>WOS:000271211000039</t>
  </si>
  <si>
    <t>Ashford, D</t>
  </si>
  <si>
    <t>Ashford, David</t>
  </si>
  <si>
    <t>HOW THE UK CAN LEAD THE NEW SPACE AGE</t>
  </si>
  <si>
    <t>JBIS-JOURNAL OF THE BRITISH INTERPLANETARY SOCIETY</t>
  </si>
  <si>
    <t>New space age; spaceplane; lunar base; reusable launcher; space tourism</t>
  </si>
  <si>
    <t>A new space age is in sight with launchers like aeroplanes (spaceplanes) replacing those like missiles that can fly only once. Access to orbit will be far safer and less expensive. The cost of space science will become comparable to Antarctic science and public access to space will become routinely affordable. This paper presents a road map showing how the UK can lead the way to the new space age at low cost and risk. The first vehicle on the sequence is a small entry-level sub-orbital spaceplane. The UK has all the required technology to build this, and is the only major industrial country not committed to 'old space'. For a modest investment soon, the UK could become the centre for a new European spaceplane industry, with wide political, economic, and educational gains.</t>
  </si>
  <si>
    <t>Bristol Spaceplanes Ltd, Bristol BS32 4DN, Avon, England</t>
  </si>
  <si>
    <t>Ashford, D (corresponding author), Bristol Spaceplanes Ltd, 3 Forest Hills, Bristol BS32 4DN, Avon, England.</t>
  </si>
  <si>
    <t>david.ashford@bristolspaceplanes.com</t>
  </si>
  <si>
    <t>BRITISH INTERPLANETARY SOC</t>
  </si>
  <si>
    <t>27-29 S LAMBETH RD, LONDON SW8 1SZ, ENGLAND</t>
  </si>
  <si>
    <t>0007-084X</t>
  </si>
  <si>
    <t>JBIS-J BRIT INTERPLA</t>
  </si>
  <si>
    <t>JBIS-J. Br. Interplanet. Soc.</t>
  </si>
  <si>
    <t>Engineering, Aerospace; Astronomy &amp; Astrophysics; Geosciences, Multidisciplinary</t>
  </si>
  <si>
    <t>Engineering; Astronomy &amp; Astrophysics; Geology</t>
  </si>
  <si>
    <t>612TX</t>
  </si>
  <si>
    <t>WOS:000278927500002</t>
  </si>
  <si>
    <t>Bergstrom, DM; Lucieer, A; Kiefer, K; Wasley, J; Belbin, L; Pedersen, TK; Chown, SL</t>
  </si>
  <si>
    <t>Bergstrom, Dana M.; Lucieer, Arko; Kiefer, Kate; Wasley, Jane; Belbin, Lee; Pedersen, Tore K.; Chown, Steven L.</t>
  </si>
  <si>
    <t>Management implications of the Macquarie Island trophic cascade revisited: a reply to Dowding et al. (2009)</t>
  </si>
  <si>
    <t>JOURNAL OF APPLIED ECOLOGY</t>
  </si>
  <si>
    <t>invasive species; rabbits; sub-Antarctic; trophic cascade</t>
  </si>
  <si>
    <t>BIOLOGICAL INVASIONS; FERAL CAT; PREDATORS; DYNAMICS; RABBITS; VEGETATION</t>
  </si>
  <si>
    <t>1. The management of non-indigenous species is not without its complications. In Bergstromet al.'s (2009) study, we demonstrated that feral cats Felis catus on sub-Antarctic Macquarie Island were exerting top-down control on the feral rabbit Oryctolagus cuniculus population, and that the eradication of the cats led to a substantial increase in rabbit numbers and an associated trophic cascade. 2. Dowding et al. (2009) claim our modelling was. awed for various reasons, but primarily that a reduction in the application of the rabbit c\ontrol agent, Myxoma virus, coinciding with cat removal, was a major driver of rabbit population release. 3. We explore this proposition (as well as others) by examining rates of Myxoma viral release between 1991 and 2006 (with an attenuation factor for the years, 2003-2006) in association with presence/absence of cats against two estimates of rabbit population size. Myxoma viral release was a significant factor in the lower estimates of rabbit population, but the effect was small, and was not significant for higher rabbit population estimates. By contrast, the presence or absence of cats remained highly significant for both estimates. 4. Synthesis and applications. We re-affirm our position that top-down control of rabbit numbers by cats, prior to their eradication, was occurring on Macquarie Island. Nonetheless, we agree with Dowding et al. (2009) that systems with multiple invasive species represent complex situations that require careful scrutiny. Such scrutiny should occur in advance of, during, and following management interventions.</t>
  </si>
  <si>
    <t>[Bergstrom, Dana M.; Kiefer, Kate; Wasley, Jane; Pedersen, Tore K.] Australian Antarctic Div, Dept Environm Water Heritage &amp; Arts, Kingston, Tas 7050, Australia; [Lucieer, Arko; Pedersen, Tore K.] Univ Tasmania, Sch Geog &amp; Environm Studies, Hobart, Tas 7001, Australia; [Belbin, Lee] Blatant Fabricat Pty Ltd, Hobart, Tas, Australia; [Chown, Steven L.] Univ Stellenbosch, Dept Bot &amp; Zool, Ctr Invas Biol, ZA-7602 Matieland, South Africa</t>
  </si>
  <si>
    <t>Australian Antarctic Division; University of Tasmania; Stellenbosch University</t>
  </si>
  <si>
    <t>Bergstrom, DM (corresponding author), Australian Antarctic Div, Dept Environm Water Heritage &amp; Arts, 203 Channel Highway, Kingston, Tas 7050, Australia.</t>
  </si>
  <si>
    <t>dana.bergstrom@aad.gov.au</t>
  </si>
  <si>
    <t>Wasley, Jane/KHX-4880-2024; Bergstrom, Dana/AAC-2837-2022; Chown, Steven/ABD-7646-2021; Lucieer, Arko/F-1247-2013; Chown, Steven/H-3347-2011</t>
  </si>
  <si>
    <t>Bergstrom, Dana/0000-0001-8484-8954; Lucieer, Arko/0000-0002-9468-4516; Chown, Steven/0000-0001-6069-5105; Wasley, Jane/0000-0001-9379-664X</t>
  </si>
  <si>
    <t>0021-8901</t>
  </si>
  <si>
    <t>J APPL ECOL</t>
  </si>
  <si>
    <t>J. Appl. Ecol.</t>
  </si>
  <si>
    <t>10.1111/j.1365-2664.2009.01708.x</t>
  </si>
  <si>
    <t>502AB</t>
  </si>
  <si>
    <t>WOS:000270425100028</t>
  </si>
  <si>
    <t>Morimoto, S; Yamanouchi, T; Honda, H; Aoki, S; Nakazawa, T; Sugawara, S; Ishidoya, S; Iijima, I; Yoshida, T</t>
  </si>
  <si>
    <t>Morimoto, Shinji; Yamanouchi, Takashi; Honda, Hideyuki; Aoki, Shuji; Nakazawa, Takakiyo; Sugawara, Satoshi; Ishidoya, Shigeyuki; Iijima, Issei; Yoshida, Tetsuya</t>
  </si>
  <si>
    <t>A New Compact Cryogenic Air Sampler and Its Application in Stratospheric Greenhouse Gas Observation at Syowa Station, Antarctica</t>
  </si>
  <si>
    <t>JOURNAL OF ATMOSPHERIC AND OCEANIC TECHNOLOGY</t>
  </si>
  <si>
    <t>CARBON ISOTOPIC RATIO; MASS-SPECTROMETER; NITROUS-OXIDE; TRACE GASES; DIOXIDE; JAPAN; MIDLATITUDES; METHANE; AGE; CO2</t>
  </si>
  <si>
    <t>To collect stratospheric air samples for greenhouse gas measurements, a compact cryogenic air sampler has been developed using a cooling device called the Joule-Thomson (J-T) minicooler. The J-T minicooler can produce liquefied neon within 5 s from high pressure neon gas precooled by liquid nitrogen. The sampler employs liquid neon as a refrigerant to solidify or liquefy sampled atmospheric constituents. Laboratory experiments showed that the sampler is capable of collecting about 3 and more than 7 L STP of air at 25 and 120 hPa, respectively, which corresponds to about 25 and 15 km above ground within 240 s, respectively. The new balloon-borne sampling system, which was set up for Antarctic experiments, consists of the compact sampler, a 2-L high pressure neon gas cylinder, pneumatic and solenoid valves, a controller with a GPS receiver, a telemetry transmitter, and batteries. The size of the sampling system is 300 mm width X 300 mm depth X 950 mm height and it weighs about 22 kg (including liquid nitrogen). Two of these compact sampling systems (configured for sampling at altitudes 18 and 25 km) were launched from Syowa Station (69.0 degrees S, 39.5 degrees E) Antarctica, in January 2008 using 1000 or 2000 m(3) plastic balloons. They were launched successfully and recovered without any problem on sea ice on the same day as their launch. The collected stratospheric air samples showed reasonable concentrations of the stratospheric greenhouse gases over the Antarctic region.</t>
  </si>
  <si>
    <t>[Morimoto, Shinji; Yamanouchi, Takashi] Natl Inst Polar Res, Tokyo 1908518, Japan; [Honda, Hideyuki; Iijima, Issei; Yoshida, Tetsuya] Japan Aerosp Explorat Agcy, Inst Space &amp; Astronaut Sci, Sagamihara, Kanagawa 2298510, Japan; [Aoki, Shuji; Nakazawa, Takakiyo; Ishidoya, Shigeyuki] Tohoku Univ, Sendai, Miyagi 980, Japan; [Sugawara, Satoshi] Miyagi Univ Educ, Sendai, Miyagi, Japan</t>
  </si>
  <si>
    <t>Research Organization of Information &amp; Systems (ROIS); National Institute of Polar Research (NIPR) - Japan; Japan Aerospace Exploration Agency (JAXA); Institute of Space &amp; Astronautical Science (ISAS); Tohoku University; Miyagi University Education</t>
  </si>
  <si>
    <t>Morimoto, S (corresponding author), Natl Inst Polar Res, 10-3 Midori Cho, Tokyo 1908518, Japan.</t>
  </si>
  <si>
    <t>mon@nipr.ac.jp</t>
  </si>
  <si>
    <t>Morimoto, Shinji/GQR-1817-2022; Ishidoya, Shigeyuki/L-4307-2018</t>
  </si>
  <si>
    <t>Ishidoya, Shigeyuki/0000-0001-7448-2899; Yoshida, Tetsuya/0000-0003-0553-0150</t>
  </si>
  <si>
    <t>Ministry of Education, Culture, Sports, Science and Technology, Japan [075558076, 10558086, 2005/17GS0203]; Iwatani Naoji Foundation [04-3114]; Grants-in-Aid for Scientific Research [10558086, 21310014] Funding Source: KAKEN</t>
  </si>
  <si>
    <t>Ministry of Education, Culture, Sports, Science and Technology, Japan(Ministry of Education, Culture, Sports, Science and Technology, Japan (MEXT)); Iwatani Naoji Foundation(Iwatani Naoji Foundation); Grants-in-Aid for Scientific Research(Ministry of Education, Culture, Sports, Science and Technology, Japan (MEXT)Japan Society for the Promotion of ScienceGrants-in-Aid for Scientific Research (KAKENHI))</t>
  </si>
  <si>
    <t>We are grateful to the members of the 48th and 49th Japanese Antarctic Research Expedition for their cooperation in our balloon experiments at Syowa Station. This work was partly supported by the Ministry of Education, Culture, Sports, Science and Technology, Japan, Grants-in-aid 075558076, 10558086, and 2005/17GS0203 and by Iwatani Naoji Foundation Grant 04-3114.</t>
  </si>
  <si>
    <t>0739-0572</t>
  </si>
  <si>
    <t>1520-0426</t>
  </si>
  <si>
    <t>J ATMOS OCEAN TECH</t>
  </si>
  <si>
    <t>J. Atmos. Ocean. Technol.</t>
  </si>
  <si>
    <t>10.1175/2009JTECHA1283.1</t>
  </si>
  <si>
    <t>Engineering, Ocean; Meteorology &amp; Atmospheric Sciences</t>
  </si>
  <si>
    <t>Engineering; Meteorology &amp; Atmospheric Sciences</t>
  </si>
  <si>
    <t>506ZE</t>
  </si>
  <si>
    <t>WOS:000270817600014</t>
  </si>
  <si>
    <t>Seo, C; Choi, YH; Ahn, JS; Yim, JH; Lee, HK; Oh, H</t>
  </si>
  <si>
    <t>Seo, Changon; Choi, Yun-Hyeok; Ahn, Jong Seog; Yim, Joung Han; Lee, Hong Kum; Oh, Hyuncheol</t>
  </si>
  <si>
    <t>PTP1B inhibitory effects of tridepside and related metabolites isolated from the Antarctic lichen Umbilicaria antarctica</t>
  </si>
  <si>
    <t>JOURNAL OF ENZYME INHIBITION AND MEDICINAL CHEMISTRY</t>
  </si>
  <si>
    <t>Umbilicaria antarctica; Antarctic lichen; Lichen metabolites; Protein tyrosine phosphatase 1B (PTP1B); Non-competitive inhibitor</t>
  </si>
  <si>
    <t>TYROSINE-PHOSPHATASE 1B; STEREOCAULON-ALPINUM; INSULIN SENSITIVITY; USNIC ACID; RECEPTOR; RESISTANCE; OBESITY; MICE</t>
  </si>
  <si>
    <t>The selective inhibition of PTP1B has been widely recognized as a potential drug target for the treatment of type 2 diabetes and obesity. In the course of screening for PTP1B inhibitory natural products, the MeOH extract of the dried sample of the Antarctic lichen Umbilicaria antarctica was found to exhibit significant inhibitory effect, and the bioassay-guided fractionation and purification afforded three related lichen metabolites 1-3. Compounds 1-3 were identified as gyrophoric acid (1), lecanoric acid (2), and methyl orsellinate (3) mainly by analysis of NMR and MS data. These compounds inhibited PTP1B activity with 50% inhibitory concentration values of 3.6 +/- 0.04 mu M, 31 +/- 2.7 mu M and 277 +/- 8.6 mu M, respectively. Furthermore, the kinetic analysis of PTP1B inhibition by compound 1 suggested that the compound inhibited PTP1B activity in a non-competitive manner.</t>
  </si>
  <si>
    <t>[Seo, Changon; Choi, Yun-Hyeok; Oh, Hyuncheol] Silla Univ, Coll Med &amp; Life Sci, Pusan 617736, South Korea; [Ahn, Jong Seog] KRIBB, Taejon 305333, South Korea; [Yim, Joung Han; Lee, Hong Kum] Korea Polar Res Inst, KORDI, Inchon 406840, South Korea</t>
  </si>
  <si>
    <t>Silla University; Korea Research Institute of Bioscience &amp; Biotechnology (KRIBB); Korea Polar Research Institute (KOPRI); Korea Institute of Ocean Science &amp; Technology (KIOST)</t>
  </si>
  <si>
    <t>Oh, H (corresponding author), Silla Univ, Coll Med &amp; Life Sci, San 1-1 Gwaebeop Dong, Pusan 617736, South Korea.</t>
  </si>
  <si>
    <t>hoh@silla.ac.kr</t>
  </si>
  <si>
    <t>KOPRI [PE08050]</t>
  </si>
  <si>
    <t>This work was supported by a grant from the KOPRI Project (PE08050).</t>
  </si>
  <si>
    <t>1475-6366</t>
  </si>
  <si>
    <t>1475-6374</t>
  </si>
  <si>
    <t>J ENZYM INHIB MED CH</t>
  </si>
  <si>
    <t>J. Enzym. Inhib. Med. Chem.</t>
  </si>
  <si>
    <t>10.1080/14756360802667811</t>
  </si>
  <si>
    <t>Biochemistry &amp; Molecular Biology; Chemistry, Medicinal</t>
  </si>
  <si>
    <t>517KU</t>
  </si>
  <si>
    <t>WOS:000271613300013</t>
  </si>
  <si>
    <t>Schweizer, M; Pawlowski, J; Kouwenhoven, T; van der Zwaan, B</t>
  </si>
  <si>
    <t>Schweizer, Magali; Pawlowski, Jan; Kouwenhoven, Tanja; van der Zwaan, Bert</t>
  </si>
  <si>
    <t>MOLECULAR PHYLOGENY OF COMMON CIBICIDIDS AND RELATED ROTALIIDA (FORAMINIFERA) BASED ON SMALL SUBUNIT RDNA SEQUENCES</t>
  </si>
  <si>
    <t>JOURNAL OF FORAMINIFERAL RESEARCH</t>
  </si>
  <si>
    <t>STAINED BENTHIC FORAMINIFERA; STABLE ISOTOPIC COMPOSITIONS; SOUTH CHINA; DEEP-WATER; SEA; WUELLERSTORFI; BAY; DISTRIBUTIONS; MORPHOLOGY; NORTHWEST</t>
  </si>
  <si>
    <t>To infer the phylogenetic relationships of cibicidids, we obtained small subunit ribosomal DNA (SSU rDNA) sequences of six common cibicidid morphospecies. In view of our results, the placement of cibicidids in different superfamilies, the distinction between planoconvex Cibicides and biconvex Cibicidoides, and the erection of genera such as Fontbotia and Lobatula are unjustified. Moreover, the superfamily Planorbulinacea, in which cibicidids are often placed, is polyphyletic and coiling mode cannot be used as a major taxonomic criterion. Our data suggest that all cibicidids examined here could be classified in one unique family, the Cibicididae, that includes Melonis, Hanzawaia, Cibicides (for C. refulgens), and Cibicidoides for the other five morphospecies studied (C. kullenbergi, C. lobatulus, C pachyderma, C. ungerianus, and C. wuellerstorfi). Among the six sampled morphospecies, Cibicides refulgens is least closely related to any of the other cibicidids and forms a clade consisting of two different species, Cibicides sp. and C. refulgens clearly separated by geography (Antarctic and Mediterranean, respectively). The morphospecies; Cibicidoides kullenbergi and C pachyderma form a single clade representing the same species. The three other species, Cibicidoides lobatulus, C ungerianus, and C. wuellerstorfi are closely related. Cibicidoides lobatulus possibly comprises two genetically distinct populations, one in the Mediterranean and the other in the North Atlantic.</t>
  </si>
  <si>
    <t>[Schweizer, Magali] ETH, Inst Geol, CH-8092 Zurich, Switzerland; [Schweizer, Magali; Kouwenhoven, Tanja; van der Zwaan, Bert] Univ Utrecht, Dept Earth Sci, NL-3584 CD Utrecht, Netherlands; [Pawlowski, Jan] Univ Geneva, Dept Zool &amp; Anim Biol, CH-1211 Geneva 4, Switzerland</t>
  </si>
  <si>
    <t>Swiss Federal Institutes of Technology Domain; ETH Zurich; Utrecht University; University of Geneva</t>
  </si>
  <si>
    <t>Schweizer, M (corresponding author), ETH, Inst Geol, Sonneggstr 5, CH-8092 Zurich, Switzerland.</t>
  </si>
  <si>
    <t>magali.schweizer@erdw.ethz.ch</t>
  </si>
  <si>
    <t>Pawlowski, Jan/AAO-3306-2021; Pawlowski, Jan/JNS-6857-2023; Schweizer, Magali/F-9358-2014</t>
  </si>
  <si>
    <t>Pawlowski, Jan/0000-0003-2421-388X; Schweizer, Magali/0000-0001-5115-1616</t>
  </si>
  <si>
    <t>Dutch NWO/ALW [811.32.001]; Swiss NSF [3100A0-112645, 200020-109639/1]</t>
  </si>
  <si>
    <t>Dutch NWO/ALW(Netherlands Organization for Scientific Research (NWO)); Swiss NSF(Swiss National Science Foundation (SNSF))</t>
  </si>
  <si>
    <t>We thank E. Alve, S. Agrenius, H. C. de Stigter, C. Schander and the participants of the course Biodiversity and Ecology of Foraminifera in Bergen, the crews of the R/V Trygve Braarud, Arne Tiselius, Pelagia and Hans Brattstrom for their help in sampling Scandinavian and Portuguese material, A. Brandt, B. Hilbig, I. Schewe, E. Fahrbach, P. Lemke, organizers and scientific leaders of ANDEEP III and ARK XXI/1b cruises and captains and crew of R/V Polarstern for help in collecting samples from Arctic Ocean and Weddell Sea, G. Gudmundsson and T. Cedhagen for help in collecting Icelandic cibicidids, S. S. Bowser for North Atlantic and Antarctic specimens (U.S. NSF grant ANT-0739583), J.-P. Gillig, D. Longet and F. Sinniger for Mediterranean ones, F. Sinniger for samples from Madagascar, E. Geslin for Chilostomella, C. Berney for advice in molecular phylogenics, and J. Fahrni, J. Guiard, D. Berger and the sequencing team of the Botanical Institute from the University of Zurich for technical assistance. In addition, we are very grateful to two anonymous reviewers and K. Finger, the Editor of JFR, for their comments that considerably improved the manuscript. This study was supported by the Dutch NWO/ALW (grant 811.32.001 to M. S.) and Swiss NSF (grants 3100A0-112645 to J. P. and 200020-109639/1 to M. S.).</t>
  </si>
  <si>
    <t>CUSHMAN FOUNDATION FORAMINIFERAL RESEARCH</t>
  </si>
  <si>
    <t>PO BOX 7065, LAWRENCE, KS 66044-7065 USA</t>
  </si>
  <si>
    <t>0096-1191</t>
  </si>
  <si>
    <t>J FORAMIN RES</t>
  </si>
  <si>
    <t>J. Foraminifer. Res.</t>
  </si>
  <si>
    <t>10.2113/gsjfr.39.4.300</t>
  </si>
  <si>
    <t>514ZN</t>
  </si>
  <si>
    <t>WOS:000271435800004</t>
  </si>
  <si>
    <t>Aquino, M; Monico, JFG; Dodson, AH; Marques, H; De Franceschi, G; Alfonsi, L; Romano, V; Andreotti, M</t>
  </si>
  <si>
    <t>Aquino, M.; Monico, J. F. G.; Dodson, A. H.; Marques, H.; De Franceschi, G.; Alfonsi, L.; Romano, V.; Andreotti, M.</t>
  </si>
  <si>
    <t>Improving the GNSS positioning stochastic model in the presence of ionospheric scintillation</t>
  </si>
  <si>
    <t>JOURNAL OF GEODESY</t>
  </si>
  <si>
    <t>Global navigation satellites system; Global positioning system; Ionospheric scintillation; Receiver tracking models; Mitigation; Stochastic model</t>
  </si>
  <si>
    <t>NORTHERN EUROPE; GPS RECEIVERS; LATITUDES; IRREGULARITIES; USERS</t>
  </si>
  <si>
    <t>Ionospheric scintillations are caused by time-varying electron density irregularities in the ionosphere, occurring more often at equatorial and high latitudes. This paper focuses exclusively on experiments undertaken in Europe, at geographic latitudes between similar to 50 degrees N and similar to 80 degrees N, where a network of GPS receivers capable of monitoring Total Electron Content and ionospheric scintillation parameters was deployed. The widely used ionospheric scintillation indices S4 and sigma(phi) represent a practical measure of the intensity of amplitude and phase scintillation affecting GNSS receivers. However, they do not provide sufficient information regarding the actual tracking errors that degrade GNSS receiver performance. Suitable receiver tracking models, sensitive to ionospheric scintillation, allow the computation of the variance of the output error of the receiver PLL (Phase Locked Loop) and DLL (Delay Locked Loop), which expresses the quality of the range measurements used by the receiver to calculate user position. The ability of such models of incorporating phase and amplitude scintillation effects into the variance of these tracking errors underpins our proposed method of applying relative weights to measurements from different satellites. That gives the least squares stochastic model used for position computation a more realistic representation, vis-a-vis the otherwise 'equal weights' model. For pseudorange processing, relative weights were computed, so that a 'scintillation-mitigated' solution could be performed and compared to the (non-mitigated) 'equal weights' solution. An improvement between 17 and 38% in height accuracy was achieved when an epoch by epoch differential solution was computed over baselines ranging from 1 to 750 km. The method was then compared with alternative approaches that can be used to improve the least squares stochastic model such as weighting according to satellite elevation angle and by the inverse of the square of the standard deviation of the code/carrier divergence (sigma CCDiv). The influence of multipath effects on the proposed mitigation approach is also discussed. With the use of high rate scintillation data in addition to the scintillation indices a carrier phase based mitigated solution was also implemented and compared with the conventional solution. During a period of occurrence of high phase scintillation it was observed that problems related to ambiguity resolution can be reduced by the use of the proposed mitigated solution.</t>
  </si>
  <si>
    <t>[Aquino, M.; Dodson, A. H.] Univ Nottingham, IESSG, Nottingham NG7 2RD, England; [Monico, J. F. G.; Marques, H.] Sao Paulo State Univ, Dept Cartog, Sao Paulo, Brazil; [De Franceschi, G.; Alfonsi, L.; Romano, V.] INGV, Rome, Italy; [Andreotti, M.] Geospatial Res Ctr Ltd, Christchurch, New Zealand</t>
  </si>
  <si>
    <t>University of Nottingham; Universidade Estadual Paulista; Istituto Nazionale Geofisica e Vulcanologia (INGV)</t>
  </si>
  <si>
    <t>Aquino, M (corresponding author), Univ Nottingham, IESSG, Nottingham NG7 2RD, England.</t>
  </si>
  <si>
    <t>marcio.aquino@nottingham.ac.uk</t>
  </si>
  <si>
    <t>MONICO, JOAO Francisco Galera/B-7754-2012; Romano, Vincenzo/HKV-6552-2023; Alfonsi, Lucilla/V-2969-2018; Marques, Haroldo/H-4903-2013</t>
  </si>
  <si>
    <t>MONICO, JOAO Francisco Galera/0000-0003-4101-9261; Romano, Vincenzo/0000-0002-7532-4507; Alfonsi, Lucilla/0000-0002-1806-9327; Marques, Haroldo/0000-0001-9535-8723; De Franceschi, Giorgiana/0000-0002-3943-6798</t>
  </si>
  <si>
    <t>Engineering and Physical Sciences Research Council (EPSRC) in the UK; ISACCO; Italian Program of Antarctic Researches (PNRA)</t>
  </si>
  <si>
    <t>Engineering and Physical Sciences Research Council (EPSRC) in the UK(UK Research &amp; Innovation (UKRI)Engineering &amp; Physical Sciences Research Council (EPSRC)); ISACCO; Italian Program of Antarctic Researches (PNRA)</t>
  </si>
  <si>
    <t>Data used in this research was obtained through funding from the Engineering and Physical Sciences Research Council (EPSRC) in the UK and from the ISACCO Project, supported by the Italian Program of Antarctic Researches (PNRA). Thanks are due to the Royal Society for two International Joint Project grants involving IESSG, INGV and UNESP. This collaboration has also been motivated by the work carried out within the COST296 MIERS (Mitigation of Ionospheric Effects on Radio Systems). Thanks are also due to CAPES (Brazilian Research Council) for providing funds to UNESP based coauthors.</t>
  </si>
  <si>
    <t>0949-7714</t>
  </si>
  <si>
    <t>1432-1394</t>
  </si>
  <si>
    <t>J GEODESY</t>
  </si>
  <si>
    <t>J. Geodesy</t>
  </si>
  <si>
    <t>10.1007/s00190-009-0313-6</t>
  </si>
  <si>
    <t>Geochemistry &amp; Geophysics; Remote Sensing</t>
  </si>
  <si>
    <t>498XG</t>
  </si>
  <si>
    <t>WOS:000270178600006</t>
  </si>
  <si>
    <t>Belkin, IM; O'Reilly, JE</t>
  </si>
  <si>
    <t>Belkin, Igor M.; O'Reilly, John E.</t>
  </si>
  <si>
    <t>An algorithm for oceanic front detection in chlorophyll and SST satellite imagery</t>
  </si>
  <si>
    <t>American-Geophysical-Union Meeting on Ocean Sciences</t>
  </si>
  <si>
    <t>FEB 20-24, 2006</t>
  </si>
  <si>
    <t>Honolulu, HI</t>
  </si>
  <si>
    <t>Oceanic front; Satellite imagery; Remote sensing; Chlorophyll; SST; Frontal oceanography; Front detection</t>
  </si>
  <si>
    <t>SURFACE TEMPERATURE FRONTS; ANTARCTIC POLAR FRONT; NORTHEAST US COAST; MID-ATLANTIC BIGHT; SHELF-BREAK FRONT; EDGE-DETECTION; SEASONAL VARIABILITY; CONTINENTAL-SHELF; GEORGES BANK; IN-SITU</t>
  </si>
  <si>
    <t>An algorithm is described for oceanic front detection in chlorophyll (Chl) and sea surface temperature (SST) satellite imagery. The algorithm is based on a gradient approach: the main novelty is a shape-preserving, scale-sensitive, contextual median filter applied selectively and iteratively until convergence. This filter has been developed specifically for Chl since these fields have spatial patterns such as chlorophyll enhancement at thermohaline fronts and small- and meso-scale chlorophyll blooms that are not present in SST fields. Linear Chl enhancements and localized (point-wise) blooms are modeled as ridges and peaks respectively, whereas conventional fronts in Chl and SST fields are modeled as steps or ramps. Examples are presented of the algorithm performance using modeled (synthetic) images as well as synoptic Chl and SST imagery. After testing, the algorithm was used on &gt;6000 synoptic images, 1999-2007, to produce climatologies of Chl and SST fronts off the U.S. Northeast. (C) 2009 Elsevier B.V. All rights reserved.</t>
  </si>
  <si>
    <t>[Belkin, Igor M.] Univ Rhode Isl, Grad Sch Oceanog, Narragansett, RI 02882 USA; [O'Reilly, John E.] NOAA, Natl Marine Fisheries Serv, NE Fisheries Sci Ctr, Narragansett Lab, Narragansett, RI 02882 USA</t>
  </si>
  <si>
    <t>University of Rhode Island; National Oceanic Atmospheric Admin (NOAA) - USA</t>
  </si>
  <si>
    <t>Belkin, IM (corresponding author), Univ Rhode Isl, Grad Sch Oceanog, Narragansett, RI 02882 USA.</t>
  </si>
  <si>
    <t>ibelkin@gso.uri.edu</t>
  </si>
  <si>
    <t>Belkin, Igor/ABA-9466-2021</t>
  </si>
  <si>
    <t>Belkin, Igor/0000-0001-9313-6836</t>
  </si>
  <si>
    <t>10.1016/j.jmarsys.2008.11.018</t>
  </si>
  <si>
    <t>505MI</t>
  </si>
  <si>
    <t>WOS:000270697300002</t>
  </si>
  <si>
    <t>Bost, CA; Cotté, C; Bailleul, F; Cherel, Y; Charrassin, JB; Guinet, C; Ainley, DG; Weimerskirch, H</t>
  </si>
  <si>
    <t>Bost, C. A.; Cotte, C.; Bailleul, F.; Cherel, Y.; Charrassin, J. B.; Guinet, C.; Ainley, D. G.; Weimerskirch, H.</t>
  </si>
  <si>
    <t>The importance of oceanographic fronts to marine birds and mammals of the southern oceans</t>
  </si>
  <si>
    <t>Seabird; Sea mammals; Fronts; Foraging strategies; Bio-logging</t>
  </si>
  <si>
    <t>ANTARCTIC FUR SEALS; PREDATOR-PREY INTERACTIONS; PENGUINS APTENODYTES-PATAGONICUS; PACIFIC EQUATORIAL WATERS; TRACKED KING PENGUINS; POLAR FRONT; SEABIRD DISTRIBUTIONS; INTERANNUAL VARIATION; SPATIAL-DISTRIBUTION; ECOLOGICAL STRUCTURE</t>
  </si>
  <si>
    <t>During the last 30 years, at-sea studies of seabirds and marine mammals in the oceans south of the Subtropical Front have described an association with major frontal areas. More recently, the advancement in microtechnology has allowed the tracking of individuals and investigations into how these marine predators actually use the frontal zones. In this review, we examine 1) the relative importance to apex predators of the different frontal zones in terms of spatial distribution and carbon flux; 2) the processes that determine their preferential use; and 3) how the mesoscale dynamics of frontal structures drive at-sea foraging strategies of these predators. We review published results from southern waters and place them in a broader context with respect to what has been learned about the importance of fronts in oceans farther north. Some fronts constitute important boundaries for seabird communities in southern waters. At a mesoscale the maximum values of seabird diversity and abundance correspond to the location of the main fronts. At-sea surveys show a strong curvilinear correlation between seabird abundance and sea surface temperatures. High mean species richness and diversity for whales and seabirds are consistently associated with the southern water mass boundary of the Antarctic Circumpolar Current, the Subtropical Front and the Subantarctic Front: in the case of the Polar Front mean seabird densities are more variable. At small-scales, variation in seabird occurrence has been directly related to the processes at fronts in a limited number of cases. A significant positive relation was found between some plankton feeding species and frontal temperature gradient-phytoplankton variables. Telemetric studies have revealed that several apex predators (penguins, albatrosses, seals) perform long, directed foraging trips either to the Subtropical front or Polar Front, depending on locality. Seabirds with low flight costs, such as albatrosses, are able to reach fronts at long distances from colonies, showing variable foraging strategies as a function of the distances involved. Diving birds such as King penguins, that travel at a higher cost and lower speed. rely on the predictable spatial distribution of mesopelagic fish found close to the Polar Front. They may use the currents associated with eddies as oceanographic cues in the active search for frontal zones. Once in these areas they dive preferentially in and below the depth of the thermocline where catches per unit effort are high. Elephant seals concentrate foraging activity principally inside or at the boundary of cyclonic eddies. These mesoscale features appear to offer exceptional productivity favourable for foraging by various diving top predators. The connection between biophysical parameters at fronts and predators is likely to be made through biological enhancement. Top predators appear to forage at locations where prey are advected by physical processes and others where prey are produced locally. Long-term research on at-sea distributions and demographic parameters of top predators are essential to assess the consequences of potential shift in front distributions in relation to global warming. Such environmental changes would add to the impact of fish extraction by the industrial fisheries on the southern food webs. (C) 2009 Elsevier B.V. All rights reserved.</t>
  </si>
  <si>
    <t>[Bost, C. A.; Cotte, C.; Bailleul, F.; Cherel, Y.; Guinet, C.; Weimerskirch, H.] CEBC CNRS, UPR 1934, F-79360 Villiers En Bois, France; [Charrassin, J. B.] Museum Natl Hist Nat, Dept Milieux &amp; Peuplements Aquat, F-75231 Paris 05, France; [Ainley, D. G.] HT Harvey &amp; Associates, Los Gatos, CA 95032 USA</t>
  </si>
  <si>
    <t>Centre National de la Recherche Scientifique (CNRS); Museum National d'Histoire Naturelle (MNHN)</t>
  </si>
  <si>
    <t>Bost, CA (corresponding author), CEBC CNRS, UPR 1934, F-79360 Villiers En Bois, France.</t>
  </si>
  <si>
    <t>bost@cebc.cnrs.fr</t>
  </si>
  <si>
    <t>Cotté, Cédric/AAX-6120-2021; Cotte, Cedric/C-3296-2013; Guinet, Christophe/AAR-8457-2020; Weimerskirch, Henri/F-5562-2013; Cotté, Cédric/Z-3243-2019; Weimerskirch, Henri/K-7306-2019</t>
  </si>
  <si>
    <t>Cotté, Cédric/0000-0002-8307-6435; Cotté, Cédric/0000-0002-8307-6435; Weimerskirch, Henri/0000-0002-0457-586X</t>
  </si>
  <si>
    <t>10.1016/j.jmarsys.2008.11.022</t>
  </si>
  <si>
    <t>WOS:000270697300006</t>
  </si>
  <si>
    <t>Roquet, F; Park, YH; Guinet, C; Bailleul, F; Charrassin, JB</t>
  </si>
  <si>
    <t>Roquet, Fabien; Park, Young-Hyang; Guinet, Christophe; Bailleul, Frederic; Charrassin, Jean-Benoit</t>
  </si>
  <si>
    <t>Observations of the Fawn Trough Current over the Kerguelen Plateau from instrumented elephant seals</t>
  </si>
  <si>
    <t>Fawn Trough Current; Kerguelen Plateau [46-62 degrees S, 65-85 degrees E]; Ocean circulation; Oceanic fronts; Southern Ocean; Bio-logging; Elephant seals</t>
  </si>
  <si>
    <t>SOUTH INDIAN-OCEAN; ANTARCTIC CIRCUMPOLAR CURRENT; LARGE-SCALE CIRCULATION; WESTERN BOUNDARY CURRENT; FRONTAL STRUCTURE; CROZET BASIN; OCEANOGRAPHIC CONDITIONS; TEMPERATURE DATA; BOTTOM WATER; POLAR FRONT</t>
  </si>
  <si>
    <t>Due to its great meridional extent and relatively shallow depths, the Kerguelen Plateau constitutes a major barrier to the eastward flowing Antarctic Circumpolar Current in the Indian sector of the Southern Ocean. While most of the Antarctic Circumpolar Current transport is deflected north of the Kerguelen Islands, the remainder (similar to 50 Sv, 1 SV = 10(6) m(3) s(-1)) must pass south of the islands, most probably through the Fawn and Princess Elizabeth Troughs. However, the paucity of finely resolved quasi-synoptic hydrographic data in this remote and infrequently sampled area has limited the progress in our knowledge of the regional circulation. Since 2004, a new approach using elephant seals from the Kerguelen Islands as autonomous oceanographic profilers has provided new information on the hydrography over the Kerguelen Plateau, covering the entire Antarctic Zone between the Polar Front and Antarctica, with a mean along-track resolution of about 25 km. These finely resolved bio-logged data revealed details of a strong northeastward current found across the Fawn Trough (sill depth: 2600 m; 56 degrees S, 78 degrees E). This so-called Fawn Trough Current transports cold Antarctic waters found mostly south of the Elan Bank, between the Ice Limit (58 degrees S) and the Antarctic Divergence (64 degrees S) in the eastern Enderby Basin, toward the Australian-Antarctic Basin. Our analysis also demonstrates that the Deep Western Boundary Current, which carries cold Antarctic water along the eastern flank of the southern Kerguelen Plateau collides with Fawn Trough Current at the outlet of the Fawn Trough sill. In other words, the Fawn Trough constitutes a veritable bottleneck, channelling the quasi-totality of the Antarctic Circumpolar flow found south of the Polar Front. Thanks to the unprecedented fine resolution of seal-borne data, a branch of flow centered at the Winter Water isotherm of 1 degrees C is also revealed along the northern escarpment of the Elan Bank, and then along the southern edge of Heard Island. Further analysis of different supplementary data reveals a complex circulation pattern in the entire Enderby Basin, with several distinctive branches of flow being strongly controlled by prominent topographic features such as the Southwest Indian Ridge, Conrad Rise, Elan Bank, and Kerguelen Plateau. This newly emerged frontal structure refines considerably previous large-scale circulation schematics of the area. (C) 2009 Elsevier B.V. All rights reserved.</t>
  </si>
  <si>
    <t>[Roquet, Fabien; Park, Young-Hyang; Charrassin, Jean-Benoit] Museum Natl Hist Nat, Dept Milieux &amp; Peuplements Aquat, LOCEAN, USM 402, F-75231 Paris 5, France; [Guinet, Christophe; Bailleul, Frederic] CNRS, Ctr Etud Biolog Chize, F-79360 Villiers En Bois, France</t>
  </si>
  <si>
    <t>Museum National d'Histoire Naturelle (MNHN); Sorbonne Universite; Centre National de la Recherche Scientifique (CNRS)</t>
  </si>
  <si>
    <t>Roquet, F (corresponding author), Museum Natl Hist Nat, Dept Milieux &amp; Peuplements Aquat, LOCEAN, USM 402, 43 Rue Cuvier, F-75231 Paris 5, France.</t>
  </si>
  <si>
    <t>roquet@mnhn.fr</t>
  </si>
  <si>
    <t>Roquet, Fabien/N-3221-2019; Roquet, Fabien/D-4848-2013; Guinet, Christophe/AAR-8457-2020</t>
  </si>
  <si>
    <t>Roquet, Fabien/0000-0003-1124-4564; Bailleul, Frederic/0000-0002-4186-4708</t>
  </si>
  <si>
    <t>10.1016/j.jmarsys.2008.11.017</t>
  </si>
  <si>
    <t>WOS:000270697300007</t>
  </si>
  <si>
    <t>Yang, SJ; Oh, HM; Chung, S; Cho, JC</t>
  </si>
  <si>
    <t>Yang, Seung-Jo; Oh, Hyun-Myung; Chung, Sangyun; Cho, Jang-Cheon</t>
  </si>
  <si>
    <t>Antarcticimonas flava gen. nov., sp nov., isolated from Antarctic coastal seawater</t>
  </si>
  <si>
    <t>JOURNAL OF MICROBIOLOGY</t>
  </si>
  <si>
    <t>Antarcticimonas flava gen. nov.; sp nov.; Flavobacteriaceae; Antarctic; seawater; phylogenetic analysis</t>
  </si>
  <si>
    <t>FAMILY FLAVOBACTERIACEAE; MARINE BACTERIUM; COMB. NOV; EMENDED DESCRIPTION; SEA-ICE; PSYCHROPHILIC BACTERIA; MEMBER; RECLASSIFICATION; KOREA; SEDIMENT</t>
  </si>
  <si>
    <t>A marine bacterium, designated IMCC3175(T), was isolated from a seawater sample collected off the Antarctic coast. The strain was Gram-negative, obligately aerobic, carotenoid pigment-containing, and rod-shaped bacterium that divided by binary fission. As determined by 16S rRNA gene sequence comparisons, the most closely related genera were Formosa (92.9 similar to 93.3%), Bizionia (91.6 similar to 93.2%), Gaetbulibacter (91.5 similar to 92.8%), Sediminibacter (92.7%), Yeosuana (92.6%), Subsaximicrobium (92.1 similar to 92.2%), and Gillisia (89.5 similar to 92.2%). Phylogenese analysis based on 16S rRNA gene sequences showed that the strain formed a monophyletic clade together with the genera Sediminibacter and Subsaximicrobium but represented an independent phyletic line in this clade of the family Flavobacteriaceae. The DNA G+C content of the strain was 37.3 mol%. The major respiratory quinone was MK-6 and the predominant cellular fatty acids were C-16:1 omega 7c and/or iso-C-15:0 2-OH (12.8%), anteiso-C-15:0 (9.4%), and iso-C-16:1 (9.4%). Low 16S rRNA gene sequence similarity, formation of a distinct phylogenetic branch, and several phenotypic characteristics, including a narrow range of temperature and salinity for growth, differentiated strain IMCC3175(T) from other related genera in the family Flavobacteriaceae. Therefore the name Antarcticimonas flava gen. nov., sp. nov. is proposed, with strain IMCC3175(T) (=KCCM 42713(T) =NBRC 103398(T)) as the type strain.</t>
  </si>
  <si>
    <t>[Yang, Seung-Jo; Oh, Hyun-Myung; Cho, Jang-Cheon] Inha Univ, Div Biol &amp; Ocean Sci, Inchon 402751, South Korea; [Chung, Sangyun] Korean Minjok Leadership Acad, Gangwondo 225823, South Korea</t>
  </si>
  <si>
    <t>Cho, JC (corresponding author), Inha Univ, Div Biol &amp; Ocean Sci, Inchon 402751, South Korea.</t>
  </si>
  <si>
    <t>chojc@inha.ac.kr</t>
  </si>
  <si>
    <t>Cho, Jang-Cheon/B-4676-2013</t>
  </si>
  <si>
    <t>Cho, Jang-Cheon/0000-0002-0666-3791</t>
  </si>
  <si>
    <t>Korea Polar Research Institute (KOPRI) [PE07050]</t>
  </si>
  <si>
    <t>We are indebted to Dr. Jean Euzeby for his kind help with the Latin etymologies. We are grateful to Dr. Soon-Gyu Hong and Dr. Il-Chan Kim for providing the Antarctic seawater samples. This research was supported by a research grant (grant no., PE07050) from the Korea Polar Research Institute (KOPRI).</t>
  </si>
  <si>
    <t>MICROBIOLOGICAL SOCIETY KOREA</t>
  </si>
  <si>
    <t>KOREA SCIENCE &amp; TECHNOLOGY CENTER 803, 635-4 YEOGSAM-DONG, KANGNAM-KU, SEOUL 135-703, SOUTH KOREA</t>
  </si>
  <si>
    <t>1225-8873</t>
  </si>
  <si>
    <t>1976-3794</t>
  </si>
  <si>
    <t>J MICROBIOL</t>
  </si>
  <si>
    <t>J. Microbiol.</t>
  </si>
  <si>
    <t>10.1007/s12275-009-0225-4</t>
  </si>
  <si>
    <t>510LB</t>
  </si>
  <si>
    <t>WOS:000271088900001</t>
  </si>
  <si>
    <t>Ma, WS; Mutka, T; Vesley, B; Amsler, MO; McClintock, JB; Amsler, CD; Perman, JA; Singh, MP; Maiese, WM; Zaworotko, MJ; Kyle, DE; Baker, BJ</t>
  </si>
  <si>
    <t>Ma, Wai S.; Mutka, Tina; Vesley, Brian; Amsler, Margaret O.; McClintock, James B.; Amsler, Charles D.; Perman, Jason A.; Singh, Maya P.; Maiese, William M.; Zaworotko, Michael J.; Kyle, Dennis E.; Baker, Bill J.</t>
  </si>
  <si>
    <t>Norselic Acids A-E, Highly Oxidized Anti-infective Steroids that Deter Mesograzer Predation, from the Antarctic Sponge Crella sp.</t>
  </si>
  <si>
    <t>JOURNAL OF NATURAL PRODUCTS</t>
  </si>
  <si>
    <t>STRUCTURAL ELUCIDATION; SUBTIDAL MACROALGAE; CHEMICAL DEFENSES; PENINSULA; PALATABILITY; DERIVATIVES</t>
  </si>
  <si>
    <t>Five new steroids, norselic acids A-E (1-5), were isolated from the sponge Crella sp. collected in Antarctica. The planar structures of the norselic acids were established by extensive NMR spectroscopy and mass spectrometry studies, and the configuration of norselic acid A (1) was elucidated by X-ray crystallography. Norselic acid A displays antibiotic activity against methicillin-resistant Staphylococcus aureus (MRSA), methicillin-sensitive S. aureus (MSSA), vancomycin-resistant Enterococcus faecium (VRE), and Candida albicans and reduces consumption of food pellets by sympatric mesograzers. Compounds 1-5 are also active against the Leishmania parasite at low micromolar levels.</t>
  </si>
  <si>
    <t>[Ma, Wai S.; Perman, Jason A.; Zaworotko, Michael J.; Kyle, Dennis E.; Baker, Bill J.] Univ S Florida, Dept Chem, Tampa, FL 33620 USA; [Mutka, Tina; Vesley, Brian] Univ S Florida, Dept Global Hlth, Tampa, FL 33620 USA; [Amsler, Margaret O.; McClintock, James B.; Amsler, Charles D.] Univ Alabama Birmingham, Dept Biol, Birmingham, AL 35294 USA; [Zaworotko, Michael J.; Kyle, Dennis E.; Baker, Bill J.] Univ S Florida, Ctr Mol Divers Drug Design Discovery &amp; Delivery, Tampa, FL 33620 USA; [Singh, Maya P.; Maiese, William M.] Wyeth Res, Pearl River, NY 10965 USA</t>
  </si>
  <si>
    <t>State University System of Florida; University of South Florida; State University System of Florida; University of South Florida; University of Alabama System; University of Alabama Birmingham; State University System of Florida; University of South Florida; Pfizer</t>
  </si>
  <si>
    <t>Baker, BJ (corresponding author), Univ S Florida, Dept Chem, Tampa, FL 33620 USA.</t>
  </si>
  <si>
    <t>bjbaker@cas.usf.edu</t>
  </si>
  <si>
    <t>Baker, Bill/N-4312-2019; Zaworotko, Michael John/A-7448-2009; Perman, Jason/B-5419-2013</t>
  </si>
  <si>
    <t>Zaworotko, Michael John/0000-0002-1360-540X; Perman, Jason/0000-0003-4894-3561; Kyle, Dennis/0000-0002-0238-965X; Amsler, Charles/0000-0002-4843-3759</t>
  </si>
  <si>
    <t>Office of Polar Programs of the National Science Foundation [OPP-0125181, OPP-0442769, OPP-0125152, OPP-0442857]</t>
  </si>
  <si>
    <t>Office of Polar Programs of the National Science Foundation</t>
  </si>
  <si>
    <t>We are indebted to a number of S-022 divers who have spent countless hours scraping this sponge from deep rock walls, including Dr. K. Iken, D. Martin, K. Peters, A. Maschek, and C. Aumack, and G. Koplovitz for bioassay support. We would like to acknowledge the assistance of the staff of Raytheon Polar Services Company and the Antarctic support services of the National Science Foundation for providing logistical support. This research was facilitated by funding from the Office of Polar Programs of the National Science Foundation (OPP-0125181 and OPP-0442769 to C.D.A. and I.B.M., OPP-0125152 and OPP-0442857 to B.J.B.). We are grateful to Dr. R. Van Soest, University of Amsterdam, who identified our sponge material.</t>
  </si>
  <si>
    <t>0163-3864</t>
  </si>
  <si>
    <t>1520-6025</t>
  </si>
  <si>
    <t>J NAT PROD</t>
  </si>
  <si>
    <t>J. Nat. Prod.</t>
  </si>
  <si>
    <t>10.1021/np900382x</t>
  </si>
  <si>
    <t>Plant Sciences; Chemistry, Medicinal; Pharmacology &amp; Pharmacy</t>
  </si>
  <si>
    <t>Plant Sciences; Pharmacology &amp; Pharmacy</t>
  </si>
  <si>
    <t>521UQ</t>
  </si>
  <si>
    <t>WOS:000271950400018</t>
  </si>
  <si>
    <t>Hiraike, Y; Ikeda, M</t>
  </si>
  <si>
    <t>Hiraike, Yuri; Ikeda, Motoyoshi</t>
  </si>
  <si>
    <t>Descending Surface Water at the Antarctic Marginal Ice Zone and Its Contribution to Intermediate Water: An Ice-Ocean Model</t>
  </si>
  <si>
    <t>JOURNAL OF OCEANOGRAPHY</t>
  </si>
  <si>
    <t>Antarctic Intermediate Water; marginal ice zone; coupled ice-ocean model; Ekman convergence</t>
  </si>
  <si>
    <t>SOUTHERN ANNULAR MODE; SEA-ICE; CLIMATE MODEL; EXTRATROPICAL CIRCULATION; VARIABILITY; ATMOSPHERE; TRENDS; DRIFT; FLUX; CO2</t>
  </si>
  <si>
    <t>This study concerns the unique physical mechanism of Ekman convergence at the marginal ice zone (ECMIZ) produced by the difference between air-ice drag and air-water drag. A coupled ice-ocean model is used to show the strength and distribution of the ECMIZ with respect to Antarctic Intermediate Water (AAIW) formation, which is important for the uptake of carbon dioxide. Strong ECMIZ occurs in the Atlantic and Pacific sectors from July to October, matched in time and space with ice melting, while it is significantly weaker due to strongly divergent background winds in the Indian sector. Transport analysis by artificial tracer experiments reveals the interannual variability of the ECMIZ correlates well with the Southern Annular Mode (SAM). The downward transport of surface water at the MIZ during a positive SAM (2001) is about 1.4 times as large as that during a negative SAM (2000). In particular, the transport in the Atlantic sector is twice that in the Pacific sector in both years. Once the downward flux is analyzed in isolation, the contribution from synoptic scale variability is found to increase the volume transport of surface water in the eastern region of the Pacific. Assuming strong isopycnal mixing, we suggest that ECMIZ is an important mechanism supplying surface water to the formation of AAIW, and its zonal variability is responsible for the interbasin differences in AAIW properties. In particular, the increased ECMIZ and surface melt water input in the Atlantic sector would produce AAIW that is colder and fresher than in the Pacific.</t>
  </si>
  <si>
    <t>[Hiraike, Yuri; Ikeda, Motoyoshi] Hokkaido Univ, Grad Sch Environm Sci, Sapporo, Hokkaido 0600810, Japan</t>
  </si>
  <si>
    <t>Hokkaido University</t>
  </si>
  <si>
    <t>Hiraike, Y (corresponding author), Hokkaido Univ, Grad Sch Environm Sci, Sapporo, Hokkaido 0600810, Japan.</t>
  </si>
  <si>
    <t>yuri@ees.hokudai.ac.jp</t>
  </si>
  <si>
    <t>Japanese Ministry of Education, Science, Sports and Culture through Center of Excellence (COE); Graduate School of Environmental Science; Hokkaido University</t>
  </si>
  <si>
    <t>Japanese Ministry of Education, Science, Sports and Culture through Center of Excellence (COE)(Ministry of Education, Culture, Sports, Science and Technology, Japan (MEXT)); Graduate School of Environmental Science; Hokkaido University</t>
  </si>
  <si>
    <t>We thank Assis. Prof. S. Aoki, Prof. C. A. Mysak, Dr. Y. Sasai and Dr. G. Williams for their fruitful discussions. Financial support was provided by the Japanese Ministry of Education, Science, Sports and Culture through Center of Excellence (COE), Graduate School of Environmental Science, Hokkaido University. Antarctic sea ice concentration and areal extent data were obtained from the National Snow and Ice Data Center, Boulder, USA. We also thank Dr. T. Ikeda for proofreading.</t>
  </si>
  <si>
    <t>0916-8370</t>
  </si>
  <si>
    <t>J OCEANOGR</t>
  </si>
  <si>
    <t>J. Oceanogr.</t>
  </si>
  <si>
    <t>10.1007/s10872-009-0050-8</t>
  </si>
  <si>
    <t>490EL</t>
  </si>
  <si>
    <t>WOS:000269480900001</t>
  </si>
  <si>
    <t>Rokicka, M; Lumme, J; Zietara, MS</t>
  </si>
  <si>
    <t>Rokicka, Magdalena; Lumme, Jaakko; Zietara, Marek S.</t>
  </si>
  <si>
    <t>TWO NEW ANTARCTIC GYRODACTYLUS SPECIES (MONOGENOIDEA): DESCRIPTION AND PHYLOGENETIC CHARACTERIZATION</t>
  </si>
  <si>
    <t>N.-SP MONOGENEA; SPP. PLATYHELMINTHES; VON-NORDMANN; TRUTTA L.; PARASITE; HOST; NUCLEAR; REGION; FISH; RDNA</t>
  </si>
  <si>
    <t>Two new species of Gyrodactylus Nordmann, 1832 (Gyrodactylidae, Monogenoidea) are described, i.e., Gyrodactylus coriicepsi it. sp. from gills of black rockcod, Nothothenia coriiceps Richardson, 1844, and Gyrodactylus nudifronsi n. sp. from gills of gaudy notothen, Lepidonotothen nudifrons Lonnberg, 1905, collected in waters surrounding the South Shetland Islands. Antarctica. Gyrodactylus coriicepsi sp. is characterized by a long. narrowing membrane of the ventral bar and a marginal hook sickle with beveled heel and toe. Gyrodactylus nudifronsi n. sp. is characterized by a conspicuous ventral bar process and barely curved marginal hook sickle with curved heel and toe. Definitive species identification and phylogenetic position were based oil sequences of the rDNA region (ITSI-5.8S-ITS2). Both new species belong to a monophyletic group (bootstrap support 99%) that includes the European marine species Gyrodactylus perlucidus Bykhovskiy and Polyanskiy. 1953 (on Zoarces viviparus), Gyrodactylus flesi Malmberg, 1957 and G. robustus Malmberg, 1957 (both on Platichthys flesus), and the freshwater species Gyrodactylus hrabei Ergens, 1957 and Gyrodactylus mariannae Winger, Hansen. Bachmann and Bakke, 2008 (both on Cottus poecilopus). The observations suggest all evolutionary continuum of the marine Gyrodactylus Spp. fauna in the northern and southern hemispheres, which indicates the marine origin of some freshwater Gyrodactylus species.</t>
  </si>
  <si>
    <t>[Rokicka, Magdalena; Lumme, Jaakko; Zietara, Marek S.] Univ Gdansk, Lab Comparat Biochem, Biol Stn, PL-80680 Gdansk, Poland</t>
  </si>
  <si>
    <t>Zietara, MS (corresponding author), Univ Gdansk, Lab Comparat Biochem, Biol Stn, Ornitologow 26, PL-80680 Gdansk, Poland.</t>
  </si>
  <si>
    <t>zietara@biotech.ug.gda.pl</t>
  </si>
  <si>
    <t>Zietara, Marek Stanislaw/0000-0003-0871-7076</t>
  </si>
  <si>
    <t>Finnish Academy [1182/1 PY/2007/01]</t>
  </si>
  <si>
    <t>Finnish Academy(Research Council of Finland)</t>
  </si>
  <si>
    <t>The project wits supported by a science grant 1182/1 PY/2007/01, and in small part, by the Finnish Academy. We are grateful to the Wicikowski family for providing samples or sticklebacks with Gyrodactylus alexanderi from Vancouver Island, Canada.</t>
  </si>
  <si>
    <t>10.1645/GE-2002.1</t>
  </si>
  <si>
    <t>522RH</t>
  </si>
  <si>
    <t>WOS:000272015500011</t>
  </si>
  <si>
    <t>Cresswell, KA; Tarling, GA; Thorpe, SE; Burrows, MT; Wiedenmann, J; Mangel, M</t>
  </si>
  <si>
    <t>Cresswell, Katherine A.; Tarling, Geraint A.; Thorpe, Sally E.; Burrows, Michael T.; Wiedenmann, John; Mangel, Marc</t>
  </si>
  <si>
    <t>Diel vertical migration of Antarctic krill (Euphausia superba) is flexible during advection across the Scotia Sea</t>
  </si>
  <si>
    <t>JOURNAL OF PLANKTON RESEARCH</t>
  </si>
  <si>
    <t>PENGUINS EUDYPTES-CHRYSOLOPHUS; NATURAL GROWTH-RATES; MACARONI PENGUINS; SOUTHERN-OCEAN; INTERANNUAL VARIABILITY; SEASONAL DISTRIBUTION; POPULATION-DYNAMICS; SOCIAL AGGREGATION; DIVING BEHAVIOR; ELEPHANT-ISLAND</t>
  </si>
  <si>
    <t>We model a summer snapshot of the behavior of Antarctic krill (Euphausia superba) during advection across the Scotia Sea. Individual krill respond to a changing landscape of predation risk and food availability by migrating vertically in the column and choosing an average distance to their nearest neighbor (swarm density). We determine the optimal behavior of 30, 40 and 50 mm krill using a state-dependent life history model where individuals move along 30-day segments of hypothetical journey tracks in three different regions of the Scotia Sea, with the tracks extracted from a combination of circulation models and surface drifter data. Food availability is based on satellite data for surface Chl and with additional heterotrophic and detritus food components, and mortality is parameterized with respect to distance from shore, daylight and krill swarming-behavior. We predict that proximity to predator colonies has a distinct effect on behavior, particularly on depth choice when food-availability is low. Observations made during an acoustic survey of the region found swarms to be deeper at the Antarctic Peninsula compared with South Georgia, in line with model pedictions. Our pedictions are also consistent with observations that swarm density, changes little on a logarithmic scale across the region. We show that being able to change behavior on short time scales has distinct advantages to krill.</t>
  </si>
  <si>
    <t>[Cresswell, Katherine A.; Wiedenmann, John; Mangel, Marc] Univ Calif Santa Cruz, Ctr Stock Assessment Res, Jack Baskin Sch Engn, Santa Cruz, CA 95064 USA; [Tarling, Geraint A.; Thorpe, Sally E.] British Antarctic Survey, NERC, Cambridge CB3 0ET, England; [Burrows, Michael T.] Scottish Assoc Marine Sci, Dunstaffnage Marine Lab, Oban PA37 1QA, Argyll, Scotland; [Wiedenmann, John] Univ Calif Santa Cruz, Dept Ocean Sci, Santa Cruz, CA 95064 USA</t>
  </si>
  <si>
    <t>University of California System; University of California Santa Cruz; UK Research &amp; Innovation (UKRI); Natural Environment Research Council (NERC); NERC British Antarctic Survey; UHI Millennium Institute; University of California System; University of California Santa Cruz</t>
  </si>
  <si>
    <t>Cresswell, KA (corresponding author), Univ Calif Santa Cruz, Ctr Stock Assessment Res, Jack Baskin Sch Engn, Mail Stop E2, Santa Cruz, CA 95064 USA.</t>
  </si>
  <si>
    <t>kcrc@soe.ucsc.edu</t>
  </si>
  <si>
    <t>Burrows, Michael T/D-9844-2013; Burrows, Michael/ABF-4844-2020</t>
  </si>
  <si>
    <t>Burrows, Michael T/0000-0003-4620-5899; Burrows, Michael/0000-0003-4620-5899; Cresswell, Katherine/0000-0003-1692-4964; Wiedenmann, John/0000-0001-7622-9053</t>
  </si>
  <si>
    <t>National Environmental Research Council and contributing to the FLEXICON; Lenfest Ocean Program; Natural Environment Research Council [bas010017, dml010004] Funding Source: researchfish; NERC [bas010017, dml010004] Funding Source: UKRI</t>
  </si>
  <si>
    <t>National Environmental Research Council and contributing to the FLEXICON(UK Research &amp; Innovation (UKRI)Natural Environment Research Council (NERC)); Lenfest Ocean Program; Natural Environment Research Council(UK Research &amp; Innovation (UKRI)Natural Environment Research Council (NERC)); NERC(UK Research &amp; Innovation (UKRI)Natural Environment Research Council (NERC))</t>
  </si>
  <si>
    <t>This work is part of a PhD through the British Antarctic Survey (BAS) and Open University, funded through National Environmental Research Council and contributing to the FLEXICON project of the DISCOVERY 2010 programme at BAS. The Lenfest Ocean Program supported the latter stages of this research.</t>
  </si>
  <si>
    <t>0142-7873</t>
  </si>
  <si>
    <t>1464-3774</t>
  </si>
  <si>
    <t>J PLANKTON RES</t>
  </si>
  <si>
    <t>J. Plankton Res.</t>
  </si>
  <si>
    <t>10.1093/plankt/fbp062</t>
  </si>
  <si>
    <t>500AQ</t>
  </si>
  <si>
    <t>WOS:000270269800012</t>
  </si>
  <si>
    <t>Aceves-Medina, G; Palomares-García, R; Gómez-Gutiérrez, J; Robinson, CJ; Saldierna-Martínez, RJ</t>
  </si>
  <si>
    <t>Aceves-Medina, Gerardo; Palomares-Garcia, Ricardo; Gomez-Gutierrez, Jaime; Robinson, Carlos J.; Saldierna-Martinez, Ricardo J.</t>
  </si>
  <si>
    <t>Multivariate characterization of spawning and larval environments of small pelagic fishes in the Gulf of California</t>
  </si>
  <si>
    <t>SARDINE SARDINOPS-SAGAX; SPATIAL VARIABILITY; ENGRAULIS-MORDAX; NORTHERN ANCHOVY; EL-NINO; PACIFIC; SOUTHERN; HABITAT; ABUNDANCE; SUMMER</t>
  </si>
  <si>
    <t>Spawning and nursery areas of Sardinops sagax (Pacific sardine) and Engraulis mordax (northern anchovy) were characterized during early winter in the Gulf of California, using near-surface horizontal and oblique Bongo tows. the main spawning area for anchovy was located near the islands of Tiburon and Angel de lea Guarda and for sardine near both coasts on either side of the central region of the gulf. A hydroacoustic survey showed a close spatial overlap between the distribution of small pelagic fish schools, their spawning areas with the highest zooplankton biomass. Distribution and abudance of eggs and distinct larval stages showed that the nursery area is considerably larger than the spawning area. Sardines and anchovies had distinct inter-specific larval drift patterns, mostly caused by differences in the spawning loactions that were influenced by regionally distinct advection caused by coastal upwelling, filaments and eddies. Abundance of eggs and early larvae of both species were closely associated with higher abundance of fucoxanthin and chlorophyll a, zooplankton biomass and the small copepod Acartia clausi. Older larvae were mostly associated with abiotic environmental variables and large-sized copepods, such as Centropages furcatus and Calanus pacificus. These results suggest the importance of sequential spatial overlap of larvae with flood availability as they drift in the Gulf of California.</t>
  </si>
  <si>
    <t>[Aceves-Medina, Gerardo; Palomares-Garcia, Ricardo; Gomez-Gutierrez, Jaime; Saldierna-Martinez, Ricardo J.] Ctr Interdisciplinario Ciencieas Marinas CICIMAR, Dept Plancton &amp; Ecol Marina, La Paz 23096, Bcs, Mexico; [Robinson, Carlos J.] Univ Nacl Autonoma Mexico, Lab Ecol Pesquerias, Inst Ciencias Mar &amp; Limnol, Mexico City 04510, DF, Mexico; [Gomez-Gutierrez, Jaime] Australian Antarctic Div, Dept Environm &amp; Heritage, Kingston, Tas 7050, Australia</t>
  </si>
  <si>
    <t>Universidad Nacional Autonoma de Mexico; Australian Antarctic Division</t>
  </si>
  <si>
    <t>Aceves-Medina, G (corresponding author), Ctr Interdisciplinario Ciencieas Marinas CICIMAR, Dept Plancton &amp; Ecol Marina, Av IPN S-N,Col Playa Palo Santa Rita, La Paz 23096, Bcs, Mexico.</t>
  </si>
  <si>
    <t>gaceves@ipn.mx</t>
  </si>
  <si>
    <t>SNI fellowships and G.A.M.J.G.G.; COFAA-TPN and EDI-IPN; Centro Interdisciplinario de Ciencias Marinas-IPN, CONACYT [2004-144, 2005-117]; CONABIO; Instituto de Ciencias del Mar y Limnologia from the Universidad Nacional Autonoma de Mexico</t>
  </si>
  <si>
    <t>SNI fellowships and G.A.M.J.G.G.; COFAA-TPN and EDI-IPN; Centro Interdisciplinario de Ciencias Marinas-IPN, CONACYT(Consejo Nacional de Ciencia y Tecnologia (CONACyT)); CONABIO; Instituto de Ciencias del Mar y Limnologia from the Universidad Nacional Autonoma de Mexico</t>
  </si>
  <si>
    <t>G.A.M.J.G.G. and C.J.R. were supported by SNI fellowships and G.A.M.J.G.G., R.S.M. and PG.R. were supported by COFAA-TPN and EDI-IPN grants. This project was partially funded with grants from Centro Interdisciplinario de Ciencias Marinas-IPN, CONACYT 2004-144 and 2005-117, CONABIO, and Instituto de Ciencias del Mar y Limnologia from the Universidad Nacional Autonoma de Mexico.</t>
  </si>
  <si>
    <t>10.1093/plankt/fbp056</t>
  </si>
  <si>
    <t>WOS:000270269800013</t>
  </si>
  <si>
    <t>Zinn, N; Hahn, B; Pipkorn, R; Schwarzer, D; Lehmann, WD</t>
  </si>
  <si>
    <t>Zinn, Nico; Hahn, Bettina; Pipkorn, Ruediger; Schwarzer, Dominik; Lehmann, Wolf D.</t>
  </si>
  <si>
    <t>Phosphorus-Based Absolutely Quantified Standard Peptides for Quantitative Proteomics</t>
  </si>
  <si>
    <t>JOURNAL OF PROTEOME RESEARCH</t>
  </si>
  <si>
    <t>LC-ICP-MS; absolute protein quantification; phosphopeptides; phosphorylation degree; dephosphorylation</t>
  </si>
  <si>
    <t>PLASMA-MASS-SPECTROMETRY; CONCATENATED SIGNATURE PEPTIDES; LIQUID-CHROMATOGRAPHY; PROTEIN-PHOSPHORYLATION; ALKALINE-PHOSPHATASE; ELEMENT; SULFUR</t>
  </si>
  <si>
    <t>An innovative method for the production of absolutely quantified peptide standards is described. These are named phosphorus-based absolutely quantified standard (PASTA) peptides. As the first step, synthetic phosphopeptides are calibrated via a hybrid LC-(ICP+ESI)-MS system. Quantification is achieved by ICP-MS detection of P-31, and identification is performed by ESI-MS. Generation of phosphopeptide standard solutions with this system is demonstrated to provide absolute concentrations with an accuracy better than 10%. The concept was extended to the production of peptide standards by subjecting a PASTA phosphopeptide to gentle and complete dephosphorylation to obtain the cognate PASTA peptide. It is demonstrated that both enzymatic hydrolysis by alkaline or antarctic phosphatase or chemical hydrolysis by hydrofluoric acid can be employed for this purpose. Further, the introduction of one or more stable isotope-labeled amino acids (preferably labeled by C-13, N-15) results in the production of a labeled PASTA peptide, which then can be employed as an internal standard for quantitative analysis by LC-ESI-MS. Using a 1:1 mixture of a stable isotope-labeled PASTA peptide/phosphopeptide pair as dual standard, a quantification between active and inactive recombinant MAP kinase p38 alpha was performed by a combination of tryptic digestion and nanoLC-MS.</t>
  </si>
  <si>
    <t>[Pipkorn, Ruediger; Lehmann, Wolf D.] German Canc Res Ctr, Cent Peptide Synth Unit, D-6900 Heidelberg, Germany</t>
  </si>
  <si>
    <t>Helmholtz Association; German Cancer Research Center (DKFZ)</t>
  </si>
  <si>
    <t>Lehmann, WD (corresponding author), German Canc Res Ctr, Cent Peptide Synth Unit, D-6900 Heidelberg, Germany.</t>
  </si>
  <si>
    <t>1535-3893</t>
  </si>
  <si>
    <t>1535-3907</t>
  </si>
  <si>
    <t>J PROTEOME RES</t>
  </si>
  <si>
    <t>J. Proteome Res.</t>
  </si>
  <si>
    <t>10.1021/pr900494m</t>
  </si>
  <si>
    <t>Biochemical Research Methods</t>
  </si>
  <si>
    <t>Biochemistry &amp; Molecular Biology</t>
  </si>
  <si>
    <t>501BM</t>
  </si>
  <si>
    <t>WOS:000270353900044</t>
  </si>
  <si>
    <t>Stowasser, G; Pond, DW; Collins, MA</t>
  </si>
  <si>
    <t>Stowasser, Gabriele; Pond, David W.; Collins, Martin A.</t>
  </si>
  <si>
    <t>Using fatty acid analysis to elucidate the feeding habits of Southern Ocean mesopelagic fish</t>
  </si>
  <si>
    <t>ICEFISH CHAMPSOCEPHALUS-GUNNARI; MARGINAL ICE-ZONE; MYCTOPHID FISHES; WAX ESTERS; FOOD-WEB; CALANUS-PROPINQUUS; CALANOIDES-ACUTUS; STOMACH CONTENTS; TROPHIC MARKERS; ANTARCTIC KRILL</t>
  </si>
  <si>
    <t>Fatty acid biomarkers were used to investigate the feeding ecology of 17 mesopelagic fish species occurring in the Southern Ocean. Fatty acid signatures of species where little or no dietary information exists were compared to fatty acid signatures of species of known diets in order to elucidate their trophic position. Principal component analysis grouped species of known diets into two clusters with amphipods and copepods comprising the main prey species, respectively. Although the majority of species of unknown diet were grouped with either of these feeding guilds, a third cluster comprising only Gymnoscopelus bolini was identified suggesting a significantly different diet for this species. Electrona antarctica also exhibited significant changes in fatty acid signatures with size. Furthermore, discriminant analysis of the four most abundant species classified species with a 90% success rate thus validating the usefulness of fatty acid signatures when trying to resolve the trophic position of species where no or little dietary information exists.</t>
  </si>
  <si>
    <t>[Stowasser, Gabriele; Pond, David W.; Collins, Martin A.] British Antarctic Survey, NERC, Cambridge CB3 0ET, England</t>
  </si>
  <si>
    <t>Stowasser, G (corresponding author), British Antarctic Survey, NERC, High Cross,Madingley Rd, Cambridge CB3 0ET, England.</t>
  </si>
  <si>
    <t>gsto@bas.ac.uk</t>
  </si>
  <si>
    <t>, Martin/ABE-6728-2020; Collins, Martin A/J-8560-2017</t>
  </si>
  <si>
    <t>, Martin/0000-0001-7132-8650; Stowasser, Gabriele/0000-0002-0595-0772</t>
  </si>
  <si>
    <t>Government of South Georgia; South Sandwich Islands; NERC [bas0100025] Funding Source: UKRI; Natural Environment Research Council [bas0100025] Funding Source: researchfish</t>
  </si>
  <si>
    <t>Government of South Georgia; South Sandwich Islands; NERC(UK Research &amp; Innovation (UKRI)Natural Environment Research Council (NERC)); Natural Environment Research Council(UK Research &amp; Innovation (UKRI)Natural Environment Research Council (NERC))</t>
  </si>
  <si>
    <t>The authors thank the captain, crew and scientists on board RRS James Clark Ross during cruise JR 100 and on FPV Dorada during the South Georgia Groundfish Survey 2003 (funded by the Government of South Georgia and the South Sandwich Islands). Thanks also to Peter Rothery for advice on statistical analysis and Dr. Claire Waluda for creating the map in Fig. 1. This is a contribution to the Discovery 2010 Programme at the British Antarctic Survey.</t>
  </si>
  <si>
    <t>10.1007/s00227-009-1256-4</t>
  </si>
  <si>
    <t>498YB</t>
  </si>
  <si>
    <t>WOS:000270180900008</t>
  </si>
  <si>
    <t>Ginsburg, DW; Manahan, DT</t>
  </si>
  <si>
    <t>Ginsburg, David W.; Manahan, Donal T.</t>
  </si>
  <si>
    <t>Developmental physiology of Antarctic asteroids with different life-history modes</t>
  </si>
  <si>
    <t>SEA-URCHIN EMBRYOS; PROTEIN-SYNTHESIS CAPACITIES; ENERGY-METABOLISM; MCMURDO SOUND; LARVAL GROWTH; TEMPERATURE; RATES; REPRODUCTION; ECTOTHERMS; WATER</t>
  </si>
  <si>
    <t>Rates of respiration and protein synthesis were measured during embryonic and larval development of Antarctic asteroids with different life-history modes (non-feeding and feeding larvae: Acodontaster hodgsoni, Porania antarctica, Odontaster meridionalis). Patterns of respiration for these species all show an increase during embryogenesis, with subsequent maintenance of routine respiration (starvation resistance), even in the absence of food for similar to 4 months (O. meridionalis). Fractional rates of protein synthesis (i.e., rate per unit mass of whole-body protein content) in the Antarctic larvae are essentially identical to those of temperate species. Larvae of O. meridionalis had an average fractional synthesis rate of 0.52% +/- A 0.05 h(-1) at -1.0A degrees C, which is comparable to the temperate asteroid Asterina miniata at 0.53% +/- A 0.14 h(-1) at 15A degrees C. For embryos of the asteroids A. hodgsoni and P. antarctica, fractional rates of protein synthesis (similar to 0.2% h(-1)) also are comparable to those reported for embryos of temperate echinoderm species. While rates of synthesis are high, rates of protein deposition are relatively low (percent of protein synthesized that is retained for growth). During a similar to 4 month growth period for larvae of O. meridionalis, the average protein depositional efficiency was 5.2%. This contrasts with higher rates of depositional efficiency reported for similar developmental stages of temperate echinoderm species. The biological significance of maintaining high rates of macromolecular synthesis for species with low rates of cell division and low protein depositional efficiencies is intriguing in the context of understanding the mechanistic bases of extended life spans and dispersal potential in response to changing Antarctic environments.</t>
  </si>
  <si>
    <t>[Ginsburg, David W.; Manahan, Donal T.] Univ So Calif, Dept Biol Sci, Los Angeles, CA 90089 USA</t>
  </si>
  <si>
    <t>University of Southern California</t>
  </si>
  <si>
    <t>Manahan, DT (corresponding author), Univ So Calif, Dept Biol Sci, Los Angeles, CA 90089 USA.</t>
  </si>
  <si>
    <t>manahan@usc.edu</t>
  </si>
  <si>
    <t>Ginsburg, David/0000-0002-1169-9676</t>
  </si>
  <si>
    <t>National Science Foundation [01-30398]</t>
  </si>
  <si>
    <t>We thank Drs. Doug Pace, Allison Green, and Michael Moore for assistance with rearing larvae over many months while working at McMurdo Station, Antarctica. Dr. Robert Maxson provided very insightful advice and suggestions. Special thanks to Rob Robbins for his assistance with animal collections in the Weld, and to the Crary Laboratory staff for help with this research. This work was supported by the National Science Foundation under Grant No. 01-30398.</t>
  </si>
  <si>
    <t>10.1007/s00227-009-1268-0</t>
  </si>
  <si>
    <t>WOS:000270180900018</t>
  </si>
  <si>
    <t>Ulrich, PN; Marsh, AG</t>
  </si>
  <si>
    <t>Ulrich, P. N.; Marsh, A. G.</t>
  </si>
  <si>
    <t>Thermal Sensitivity of Mitochondrial Respiration Efficiency and Protein Phosphorylation in the Clam Mercenaria mercenaria</t>
  </si>
  <si>
    <t>MARINE BIOTECHNOLOGY</t>
  </si>
  <si>
    <t>Mitochondria; Temperature; Respiration; Protein phosphorylation</t>
  </si>
  <si>
    <t>PYRUVATE-DEHYDROGENASE COMPLEX; TEMPERATURE-DEPENDENT BIOGEOGRAPHY; BIVALVE LATERNULA-ELLIPTICA; C-OXIDASE ACTIVITY; OXIDATIVE-PHOSPHORYLATION; CRASSOSTREA-VIRGINICA; ANTARCTIC BIVALVE; REVERSIBLE PHOSPHORYLATION; TYROSINE PHOSPHORYLATION; INORGANIC POLYPHOSPHATE</t>
  </si>
  <si>
    <t>The mitochondria of intertidal invertebrates continue to function when organisms are exposed to rapid substantial shifts in temperature. To test if mitochondrial physiology of the clam Mercenaria mercenaria is compromised under elevated temperatures, we measured mitochondrial respiration efficiency at 15A degrees C, 18A degrees C, and 21A degrees C using a novel, high-throughput, microplate respirometry methodology developed for this study. Though phosphorylating (state 3) and resting (state 4) respiration rates were unaffected over this temperature range, respiratory control ratios (RCRs: ratio of state 3 to state 4 respiration rates) decreased significantly above 18A degrees C (p &lt; 0.05). The drop in RCR was not associated with reduction of phosphorylation efficiency, suggesting that, while aerobic scope of mitochondrial respiration is limited at elevated temperatures, mitochondria continue to efficiently produce adenosine triphosphate. We further investigated the response of clam mitochondria to elevated temperatures by monitoring phosphorylation of mitochondrial protein. Three proteins clearly demonstrated significant time- and temperature-specific phosphorylation patterns. The protein-specific patterns of phosphorylation may suggest that a suite of protein kinases and phosphatases regulate mitochondrial physiology in response to temperature. Thus, while aerobic scope of clam mitochondrial respiration is reduced at moderate temperatures, specific protein phosphorylation responses reflect large shifts in function that are initiated within the organelle at higher temperatures.</t>
  </si>
  <si>
    <t>[Ulrich, P. N.; Marsh, A. G.] Univ Delaware, Coll Marine &amp; Earth Studies, Lewes, DE 19958 USA</t>
  </si>
  <si>
    <t>Marsh, AG (corresponding author), Univ Delaware, Coll Marine &amp; Earth Studies, 700 Pilottown Rd, Lewes, DE 19958 USA.</t>
  </si>
  <si>
    <t>amarsh@udel.edu</t>
  </si>
  <si>
    <t>SeaGrant [R/B-43]; NSF [0238281]; Office of Polar Programs (OPP); Directorate For Geosciences [0238281] Funding Source: National Science Foundation</t>
  </si>
  <si>
    <t>SeaGrant; NSF(National Science Foundation (NSF)); Office of Polar Programs (OPP); Directorate For Geosciences(National Science Foundation (NSF)NSF - Directorate for Geosciences (GEO))</t>
  </si>
  <si>
    <t>We are grateful to J. Ewart for providing the clams for these experiments. We would like to acknowledge Dr. T. Hanson for his assistance with the protein phosphorylation experiments. This work was supported by SeaGrant R/B-43 and NSF grant # 0238281.</t>
  </si>
  <si>
    <t>1436-2228</t>
  </si>
  <si>
    <t>1436-2236</t>
  </si>
  <si>
    <t>MAR BIOTECHNOL</t>
  </si>
  <si>
    <t>Mar. Biotechnol.</t>
  </si>
  <si>
    <t>10.1007/s10126-009-9177-2</t>
  </si>
  <si>
    <t>Biotechnology &amp; Applied Microbiology; Marine &amp; Freshwater Biology</t>
  </si>
  <si>
    <t>477VS</t>
  </si>
  <si>
    <t>WOS:000268547600007</t>
  </si>
  <si>
    <t>Branch, TA; Mikhalev, YA; Kato, H</t>
  </si>
  <si>
    <t>Branch, T. A.; Mikhalev, Y. A.; Kato, H.</t>
  </si>
  <si>
    <t>Separating pygmy and Antarctic blue whales using long-forgotten ovarian data</t>
  </si>
  <si>
    <t>MARINE MAMMAL SCIENCE</t>
  </si>
  <si>
    <t>Balaenoptera musculus; Balaenoptera musculus indica; Bayesian models; corpora lutea; mixture models; statistical models; subspecies identification; true blue whales</t>
  </si>
  <si>
    <t>LENGTH; CALLS</t>
  </si>
  <si>
    <t>Pygmy blue whales (Balaenoptera musculus brevicauda) are &lt;= 24.1 m and are generally found north of 52 degrees S in summer, whereas the more southerly Antarctic blue whales (B. m. intermedia) may exceed 30 m. Previous assessments have assumed that catches and recent surveys south of 60 degrees S recorded Antarctic blue whales, but these may have included pygmy blue whales. Here, we use ovarian corpora, which accumulate with ovulations and hence with length, to separate these subspecies. The resulting Bayesian mixture model, applied to 1,380 Northern Region (north of 52 degrees S and 35 degrees-180 degrees E) and 3,844 Southern Ocean (south of 52 degrees S) blue whales, estimated that only 0.1% (95% credibility intervals 0.0%-0.4%) of the Antarctic region blue whales were pygmy blue whales and, unexpectedly, found significantly lower lifetime ovulation counts for pygmy blue whales than for Antarctic blue whales (7.6 vs. 13.6). Over four decades, despite substantial depletion of Antarctic blue whales, there was no trend in the estimated proportion of pygmy blue whales in the Antarctic. Several lines of investigation found no evidence for sizeable numbers of pygmy blue whales in ovarian corpora data collected in the 1930s, as was previously hypothesized.</t>
  </si>
  <si>
    <t>[Branch, T. A.] Univ Washington, Sch Aquat &amp; Fishery Sci, Seattle, WA 98195 USA; [Branch, T. A.] Univ Cape Town, Dept Math &amp; Appl Math, Marine Resource Assessment &amp; Management Grp, ZA-7701 Rondebosch, Western Cape, South Africa; [Mikhalev, Y. A.] S Ukrainian Pedag Univ, UA-65009 Odessa, Ukraine; [Kato, H.] Tokyo Univ Marine Sci &amp; Technol, Fac Marine Sci, Dept Ocean Sci, Lab Cetacean Biol, Tokyo 1088477, Japan</t>
  </si>
  <si>
    <t>University of Washington; University of Washington Seattle; University of Cape Town; Ministry of Education &amp; Science of Ukraine; South Ukrainian National Pedagogical University Named After K. D. Ushynsky; Tokyo University of Marine Science &amp; Technology</t>
  </si>
  <si>
    <t>Branch, TA (corresponding author), Univ Washington, Sch Aquat &amp; Fishery Sci, Box 355020, Seattle, WA 98195 USA.</t>
  </si>
  <si>
    <t>tbranch@gmail.com</t>
  </si>
  <si>
    <t>Branch, Trevor/A-5691-2009</t>
  </si>
  <si>
    <t>International Whaling Commission (IWC); South African National Antarctic Programme</t>
  </si>
  <si>
    <t>Funding was obtained from the International Whaling Commission (IWC) and the South African National Antarctic Programme. C. Allison, S. Burkett, and F. Wright of the IWC Secretariat extracted and photocopied relevant portions of the Soviet logbooks for TAB, and C. Allison additionally provided data from the IWC catch database. P. Best gave useful advice about nomenclature and biology and provided some obscure references, and S. Kromann went out of her way to photocopy and provide several lengthy sources of ovarian corpora data from the National Marine Mammal Laboratory, Seattle.</t>
  </si>
  <si>
    <t>0824-0469</t>
  </si>
  <si>
    <t>MAR MAMMAL SCI</t>
  </si>
  <si>
    <t>Mar. Mamm. Sci.</t>
  </si>
  <si>
    <t>10.1111/j.1748-7692.2009.00292.x</t>
  </si>
  <si>
    <t>509VI</t>
  </si>
  <si>
    <t>WOS:000271046600005</t>
  </si>
  <si>
    <t>Engel, MH; Martin, AR</t>
  </si>
  <si>
    <t>Engel, M. H.; Martin, A. R.</t>
  </si>
  <si>
    <t>Feeding grounds of the western South Atlantic humpback whale population</t>
  </si>
  <si>
    <t>MEGAPTERA-NOVAEANGLIAE POPULATIONS; MOVEMENTS; BRAZIL</t>
  </si>
  <si>
    <t>[Engel, M. H.] Inst Baleia Jubarte, BR-45900000 Caravelas, BA, Brazil; [Martin, A. R.] British Antarctic Survey, NERC, Cambridge CB3 0ET, England</t>
  </si>
  <si>
    <t>Engel, MH (corresponding author), Inst Baleia Jubarte, Rua Barao Rio Branco,26 Ctr, BR-45900000 Caravelas, BA, Brazil.</t>
  </si>
  <si>
    <t>marcia.engel@baleiajubarte.org.br</t>
  </si>
  <si>
    <t>Natural Environment Research Council [bas010017] Funding Source: researchfish; NERC [bas010017] Funding Source: UKRI</t>
  </si>
  <si>
    <t>1748-7692</t>
  </si>
  <si>
    <t>10.1111/j.1748-7692.2009.00301.x</t>
  </si>
  <si>
    <t>WOS:000271046600015</t>
  </si>
  <si>
    <t>Pike, J; Crosta, X; Maddison, EJ; Stickley, CE; Denis, D; Barbara, L; Renssen, H</t>
  </si>
  <si>
    <t>Pike, Jennifer; Crosta, Xavier; Maddison, Eleanor J.; Stickley, Catherine E.; Denis, Delphine; Barbara, Loic; Renssen, Hans</t>
  </si>
  <si>
    <t>Observations on the relationship between the Antarctic coastal diatoms Thalassiosira antarctica Comber and Porosira glacialis (Grunow) Jorgensen and sea ice concentrations during the late Quaternary</t>
  </si>
  <si>
    <t>East Antarctica; Quaternary; diatoms; sea ice</t>
  </si>
  <si>
    <t>SURFACE SEDIMENTS; WEDDELL SEA; PRYDZ BAY; BRANSFIELD BASIN; EAST ANTARCTICA; ADELIE LAND; HOLOCENE; OCEAN; ASSEMBLAGES; PENINSULA</t>
  </si>
  <si>
    <t>The available ecological and palaeoecological information for two sea ice-related marine diatoms (Bacillariophyceae), Thalassiosira antarctica Comber and Porosira glacialis (Grunow) Jorgensen, suggests that these two species have similar sea surface temperature (SST), sea surface salinity (SSS) and sea ice proximity preferences. From phytoplankton observations, both are described as summer or autumn bloom species, commonly found in low SST waters associated with sea ice, although rarely within the ice. Both species form resting spores (RS) as irradiance decreases, SST falls and SSS increases in response to freezing ice in autumn. Recent work analysing late Quaternary seasonally laminated diatom ooze from coastal Antarctic sites has revealed that sub-laminae dominated either by I antarctica RS, or by R glacialis RS, are nearly always deposited as the last sediment increment of the year, interpreted as representing autumn flux. In this study, we focus on sites from the East Antarctic margin and show that there is a spatial and temporal separation in whether T antarctica RS or P. glacialis RS form the autumnal sub-laminae. For instance, in deglacial sediments from the Mertz Ninnis Trough (George V Coast) P. glacialis RS form the sub-laminae whereas in similar age sediments from Iceberg Alley (Mac.Robertson Shelf) T antarctica RS dominate the autumn sub-lamina. In the Dumont d'Urville Trough (Adelie Land), mid-Holocene (Hypsithermal warm period) autumnal sub-laminae are dominated by T antarctica RS whereas late Holocene (Neoglacial cool period) sub-laminae are dominated by P. glacialis RS. These observations from late Quaternary seasonally laminated sediments would appear to indicate that P. glacialis prefers slightly cooler ocean-climate conditions than T antarctica. We test this relationship against two down-core Holocene quantitative diatom abundance records from Dumont d'Urville Trough and Svenner Channel (Princess Elizabeth Land) and compare the results with SST and sea ice concentration results of an Antarctic and Southern Ocean Holocene climate simulation that used a coupled atmosphere-sea ice-vegation model forced with orbital parameters and greenhouse gas concentrations. We find that abundance of P. glacialis RS is favoured by higher winter and spring sea ice concentrations and that a climatically-sensitive threshold exists between the abundance of P. glacialis RS and T antarctica RS in the sediments. An increase to &gt;0.1 for the ratio of P. glacialis RS:T antarctica RS indicates a change to increased winter sea ice concentration (to &gt;80% concentration), cooler spring seasons with increased sea ice, slightly warmer autumn seasons with less sea ice and a change from similar to 7.5 months annual sea ice cover at a site to much greater than 7.5 months. In the East Antarctic sediment record, an increase in the ratio from &lt;0.1 to above 0.1 occurs at the transition from the warmer Hypsithermal climate into the cooler Neoglacial climate (similar to 4 cal kyr) indicating that the ratio between these two diatoms has the potential to be used as a semiquantitative climate proxy. (C) 2009 Elsevier B.V. All rights reserved.</t>
  </si>
  <si>
    <t>[Pike, Jennifer] Cardiff Univ, Sch Earth &amp; Ocean Sci, Cardiff CF10 3YE, S Glam, Wales; [Crosta, Xavier; Denis, Delphine; Barbara, Loic] Univ Bordeaux 1, CNRS, UMR EPOC 5805, F-33405 Talence, France; [Maddison, Eleanor J.] Open Univ, Dept Earth &amp; Environm Sci, Milton Keynes MK7 6AA, Bucks, England; [Stickley, Catherine E.] Univ Tromso, Dept Geol, N-9037 Tromso, Norway; [Stickley, Catherine E.] Polar Environm Ctr, Norwegian Polar Inst, N-9296 Tromso, Norway; [Renssen, Hans] Vrije Univ Amsterdam, Dept Paleoclimatol &amp; Geomorphol, Amsterdam, Netherlands</t>
  </si>
  <si>
    <t>Cardiff University; Centre National de la Recherche Scientifique (CNRS); CNRS - National Institute for Earth Sciences &amp; Astronomy (INSU); Universite de Bordeaux; Open University - UK; UiT The Arctic University of Tromso; Norwegian Polar Institute; Vrije Universiteit Amsterdam</t>
  </si>
  <si>
    <t>Pike, J (corresponding author), Cardiff Univ, Sch Earth &amp; Ocean Sci, Main Bldg,Pk Pl, Cardiff CF10 3YE, S Glam, Wales.</t>
  </si>
  <si>
    <t>pikej@cardiff.ac.uk; x.crosta@epoc.u-bordeaux1.fr; e.j.maddison@open.ac.uk; catherine.stickley@npolar.no; d.denis@epoc.u-bordeaux1.fr; l.barbara@epoc.u-bordeaux1.fr; hans.renssen@falw.vu.nl</t>
  </si>
  <si>
    <t>Pike, Jennifer/D-2589-2009; Barbara, Loic JB/D-2607-2013; Renssen, Hans/C-9927-2010</t>
  </si>
  <si>
    <t>Pike, Jennifer/0000-0001-9415-6003; Barbara, Loic/0000-0003-1519-5835</t>
  </si>
  <si>
    <t>Natural Environment Research Council (NERC) [NER/A/S/2001/01106]; NERC [NER/A/2002/10350]; TARDHOL; Invited Professor Scheme of Bordeaux I University; Netherlands Organization for Scientific Research; [NBP01-01]; Natural Environment Research Council [NER/A/S/2001/01106] Funding Source: researchfish</t>
  </si>
  <si>
    <t>Natural Environment Research Council (NERC)(UK Research &amp; Innovation (UKRI)Natural Environment Research Council (NERC)); NERC(UK Research &amp; Innovation (UKRI)Natural Environment Research Council (NERC)); TARDHOL; Invited Professor Scheme of Bordeaux I University; Netherlands Organization for Scientific Research(Netherlands Organization for Scientific Research (NWO)); ; Natural Environment Research Council(UK Research &amp; Innovation (UKRI)Natural Environment Research Council (NERC))</t>
  </si>
  <si>
    <t>This research was funded by Natural Environment Research Council (NERC) research grant NER/A/S/2001/01106 (JP), NERC postgraduate research studentship NER/A/2002/10350 (EJM at the School of Earth and Ocean Sciences, Cardiff University). XC was funded by the project TARDHOL through the national EVE-LEFE program (INSU-CNRS). This manuscript was developed during JP's stay at EPOC, funded by the Invited Professor Scheme of Bordeaux I University. The climate modelling work was supported by the Netherlands Organization for Scientific Research (HR). JP would like to thank Captain Joe Borkowski, the Edison Chouest Offshore crew, the Raytheon Polar Services Company staff and scientific party aboard the RVIB Nathaniel B. Palmer during cruise NBP01-01, and the staff at the Antarctic Research Facility (Florida State University) for assistance with sampling. We (JP, CES, EJM, XC) particularly acknowledge discussion and encouragement over many stages of this research by Amy Leventer. XC personally thanks members of the images X (CADO) cruise and from cruise NBP01-01 for providing data and suggestions. Logistical support for Images X (CADO) cruise was provided by IPEV-TAAF.JP would also like to thank Charlotte Sjunneskog for sharing west Antarctic Peninsula diatom data sets, and Ian Thomas for assistance in handling the NSIDC satellite daily sea ice concentration data set. Finally we would like to thank Mada Angeles BArcena Pernia and one anonymous reviewer for their careful consideration of our manuscript.</t>
  </si>
  <si>
    <t>10.1016/j.marmicro.2009.06.005</t>
  </si>
  <si>
    <t>514BR</t>
  </si>
  <si>
    <t>Green Accepted, Green Submitted</t>
  </si>
  <si>
    <t>WOS:000271369000002</t>
  </si>
  <si>
    <t>Raum-Suryan, KL; Jemison, LA; Pitcher, KW</t>
  </si>
  <si>
    <t>Raum-Suryan, Kimberly L.; Jemison, Lauri A.; Pitcher, Kenneth W.</t>
  </si>
  <si>
    <t>Entanglement of Steller sea lions (Eumetopias jubatus) in marine debris: Identifying causes and finding solutions</t>
  </si>
  <si>
    <t>MARINE POLLUTION BULLETIN</t>
  </si>
  <si>
    <t>Steller sea lion; Eumetopias jubatus; Marine debris; Entanglement; Alaska; British Columbia</t>
  </si>
  <si>
    <t>MAN-MADE DEBRIS; ANTARCTIC FUR SEALS; NORTHWESTERN HAWAIIAN-ISLANDS; FISHING GEAR; SOUTH GEORGIA; NEW-ZEALAND; CALIFORNIA; ALASKA; PINNIPEDS; NET</t>
  </si>
  <si>
    <t>Entanglement in marine debris is a contributing factor in Steller sea lion (SSL; Eumetopias jubatus) injury and mortality. We quantified SSL entanglement by debris type, sex and age class, entanglement incidence, and estimated population level effects. Surveys of SSL haul-outs were conducted from 20002007 in Southeast Alaska and northern British Columbia. We recorded 386 individuals of all age classes as being either entangled in marine debris or having ingested fishing gear. Packing bands were the most common neck entangling material (54%), followed by rubber bands (30%), net (7%), rope (7%), and monofilament line (2%). Ingested fishing gear included salmon fishery flashers (lures: 80%), longline gear (12%), hook and line (4%), spinners/spoons (2%), and bait hooks (2%). Entanglement incidence was 0.26% (SD = 0.0064, n = 69 sites). Lose the Loop! Simple procedures such as cutting entangling loops of synthetic material and eliminating the use of packing bands can prevent entanglements. (C) 2009 Elsevier Ltd. All rights reserved.</t>
  </si>
  <si>
    <t>[Raum-Suryan, Kimberly L.] Sea Gypsy Res, Newport, OR 97365 USA; [Jemison, Lauri A.] Alaska Dept Fish &amp; Game, Div Wildlife Conservat, Douglas, AK 99824 USA; [Pitcher, Kenneth W.] Alaska Dept Fish &amp; Game, Div Wildlife Conservat, Anchorage, AK 99518 USA</t>
  </si>
  <si>
    <t>Alaska Department of Fish &amp; Game; Alaska Department of Fish &amp; Game</t>
  </si>
  <si>
    <t>Raum-Suryan, KL (corresponding author), Oregon State Univ, Hatfield Marine Sci Ctr, Marine Mammal Inst, 2030 SE Marine Sci Dr, Newport, OR 97365 USA.</t>
  </si>
  <si>
    <t>kim.raum-suryan@oregonstate.edu</t>
  </si>
  <si>
    <t>NOAA [NA17FX1079, NA04NMF4390170]; NMFS [358-1564]; ADFG ACUC [03-0002]</t>
  </si>
  <si>
    <t>NOAA(National Oceanic Atmospheric Admin (NOAA) - USA); NMFS; ADFG ACUC</t>
  </si>
  <si>
    <t>Thank you to T. Gelatt, L. Rea, J. King, K. Hastings, D. McAllister, G. Snedgen, B. Wilson, C. Kaplan, H. Kaplan, G. Pendleton, M. Rehberg, C. Clark, V. Stegall, K. Blejwas, and the rest of the ADFG crew for help in the field. We appreciate entanglement data provided by A. Trites and D. Gummeson (University of British Columbia). We thank P. Olesiuk (Department of Fisheries and Oceans Canada) and J. Neilson, C. Gabriel, and J. Womble (Glacier Bay National Park). Thank you to S. Moore (Moore and Moore Films) for his efforts in helping to bring awareness to this issue. We thank reviewer M. Williams and editor/reviewer C. Sheppard for comments on earlier versions of this manuscript. ADFG research was funded through NOAA cooperative agreement funds NA17FX1079 and NA04NMF4390170 and all research was conducted under NMFS permit # 358-1564 and ADFG ACUC Assurance #03-0002.</t>
  </si>
  <si>
    <t>0025-326X</t>
  </si>
  <si>
    <t>1879-3363</t>
  </si>
  <si>
    <t>MAR POLLUT BULL</t>
  </si>
  <si>
    <t>Mar. Pollut. Bull.</t>
  </si>
  <si>
    <t>10.1016/j.marpolbul.2009.06.004</t>
  </si>
  <si>
    <t>Environmental Sciences; Marine &amp; Freshwater Biology</t>
  </si>
  <si>
    <t>514CH</t>
  </si>
  <si>
    <t>WOS:000271370800020</t>
  </si>
  <si>
    <t>Ahn, IY; Ji, J; Park, H</t>
  </si>
  <si>
    <t>Ahn, In-Young; Ji, Jungyoun; Park, Hyun</t>
  </si>
  <si>
    <t>Metal accumulation in sea urchins and their kelp diet in an Arctic fjord (Kongsfjorden, Svalbard)</t>
  </si>
  <si>
    <t>STRONGYLOCENTROTUS-DROEBACHIENSIS; MARINE ECOSYSTEM; TRACE-ELEMENTS; PHOCID SEALS; HEAVY-METALS; RINGED SEALS; CADMIUM; BIOACCUMULATION; LEAD; METALLOTHIONEIN</t>
  </si>
  <si>
    <t>[Ahn, In-Young; Ji, Jungyoun; Park, Hyun] KORDI, Korea Polar Res Inst, Inchon 406840, South Korea</t>
  </si>
  <si>
    <t>Korea Polar Research Institute (KOPRI); Korea Institute of Ocean Science &amp; Technology (KIOST)</t>
  </si>
  <si>
    <t>Ahn, IY (corresponding author), KORDI, Korea Polar Res Inst, Songdo Technopk,7-50 Songdo Dong, Inchon 406840, South Korea.</t>
  </si>
  <si>
    <t>iahn@kopri.re.kr</t>
  </si>
  <si>
    <t>Korea Polar Research Institute (KOPRI) [PE09040]</t>
  </si>
  <si>
    <t>This work was carried out as a part of the Korean Antarctic Research Programme (PE09040) with support of the Korea Polar Research Institute (KOPRI). The authors would like to extend special thanks to the diver, Mr. Seung Goo Ra, for collecting specimens in Kongsfjorden.</t>
  </si>
  <si>
    <t>10.1016/j.marpolbul.2009.07.013</t>
  </si>
  <si>
    <t>WOS:000271370800031</t>
  </si>
  <si>
    <t>French, D; Scott, K</t>
  </si>
  <si>
    <t>French, Duncan; Scott, Karen</t>
  </si>
  <si>
    <t>INTERNATIONAL LEGAL IMPLICATIONS OF CLIMATE CHANGE FOR THE POLAR REGIONS: TOO MUCH, TOO LITTLE, TOO LATE?</t>
  </si>
  <si>
    <t>MELBOURNE JOURNAL OF INTERNATIONAL LAW</t>
  </si>
  <si>
    <t>SOUTHERN-OCEAN; CANADA; FUTURE; ICE</t>
  </si>
  <si>
    <t>Climate change is by definition both a global and a regional issue. Perhaps this paradox is most evident in the polar regions where regional change and global impact coexist. This commentary does not deny the importance of the global regime, but opts instead to consider the role of those institutions which can most affect the particularities of the polar context, namely the Arctic Council and the Antarctic Treaty Consultative Meetings. So far, discussion within these institutions has focused on the science of climate change, and it is certainly the case that research done within both regions has made important contributions to regional and global knowledge. The development of regional policy and regulatory responses to climate change has, however, been fairly minimal to date. Nevertheless, the original perception that climate change is not an issue which can be addressed regionally is slowly beginning to change. There are (at least) three areas where action can and should be undertaken by polar states: mitigating and minimising local greenhouse gas emissions; developing appropriate regional adaptation strategies; and representing the interests of these regions within appropriate international fora. We argue that regional regimes cannot abrogate complete responsibility when it comes to climate change. Despite recent scientific and policy initiatives, climate change is under-regulated in the polar regions. Thus, there is too much rhetoric and too little regulation. Unfortunately, before we get a chance to resolve this conundrum, the global reality may overtake the normative endeavour; in other words, it may also be too late.</t>
  </si>
  <si>
    <t>[French, Duncan] Univ Sheffield, Int Law, Sheffield, S Yorkshire, England; [Scott, Karen] Univ Canterbury, Christchurch, New Zealand</t>
  </si>
  <si>
    <t>University of Sheffield; University of Canterbury</t>
  </si>
  <si>
    <t>French, D (corresponding author), Univ Sheffield, Int Law, Sheffield, S Yorkshire, England.</t>
  </si>
  <si>
    <t>UNIV MELBOURNE, MELBOURNE LAW SCH</t>
  </si>
  <si>
    <t>MELBOURNE</t>
  </si>
  <si>
    <t>MELBOURNE LAW SCH, MELBOURNE, VIC 3010, AUSTRALIA</t>
  </si>
  <si>
    <t>1444-8602</t>
  </si>
  <si>
    <t>1444-8610</t>
  </si>
  <si>
    <t>MELB J INT LAW</t>
  </si>
  <si>
    <t>Melb. J. Int. Law</t>
  </si>
  <si>
    <t>Law</t>
  </si>
  <si>
    <t>Government &amp; Law</t>
  </si>
  <si>
    <t>V00GY</t>
  </si>
  <si>
    <t>WOS:000213524300010</t>
  </si>
  <si>
    <t>Dobrica, E; Engrand, C; Duprat, J; Gounelle, M; Leroux, H; Quirico, E; Rouzaud, JN</t>
  </si>
  <si>
    <t>Dobrica, E.; Engrand, C.; Duprat, J.; Gounelle, M.; Leroux, H.; Quirico, E.; Rouzaud, J. -N.</t>
  </si>
  <si>
    <t>Connection between micrometeorites and Wild 2 particles: From Antarctic snow to cometary ices</t>
  </si>
  <si>
    <t>METEORITICS &amp; PLANETARY SCIENCE</t>
  </si>
  <si>
    <t>Conference on Multiscale Geo-Forensic Examination of Comet 81P/Wild 2</t>
  </si>
  <si>
    <t>OCT 26-28, 2008</t>
  </si>
  <si>
    <t>Timber Cove, CA</t>
  </si>
  <si>
    <t>TOF-SIMS ANALYSIS; INTERPLANETARY DUST PARTICLES; OXYGEN ISOTOPIC COMPOSITIONS; X-RAY-DIFFRACTION; COSMIC SPHERULES; AMINO-ACIDS; TAGISH LAKE; ELEMENTAL COMPOSITION; RAMAN-SPECTROSCOPY; ATMOSPHERIC ENTRY</t>
  </si>
  <si>
    <t>We discuss the relationship between large cosmic dust that represents the main source of extraterrestrial matter presently accreted by the Earth and samples from comet 81P/Wild 2 returned by the Stardust mission in January 2006. Prior examinations of the Stardust samples have shown that Wild 2 cometary dust particles contain a large diversity of components, formed at various heliocentric distances. These analyses suggest large-scale radial mixing mechanism(s) in the early solar nebula and the existence or a continuum between primitive asteroidal and cometary matter. The recent collection of CONCORDIA Antarctic micrometeorites recovered from ultra-clean snow close to Dome C provides the most unbiased collection of large cosmic dust available for analyses in the laboratory. Many similarities can be found between Antarctic micrometeorites and Wild 2 samples, in terms of chemical, mineralogical, and isotopic compositions, and in the structure and composition of their carbonaceous matter. Cosmic dust in the form of CONCORDIA Antarctic micrometeorites and primitive IDPs are preferred samples to study the asteroid-comet continuum.</t>
  </si>
  <si>
    <t>[Dobrica, E.; Engrand, C.; Duprat, J.] Univ Paris Sud, CNRS, Ctr Spectrometrie Nucl &amp; Spectrometrie Masse, F-91405 Orsay, France; [Gounelle, M.] Museum Natl Hist Nat, Lab Mineral &amp; Cosmochim, F-75005 Paris, France; [Leroux, H.] Univ Sci &amp; Technol Lille, Lab Struct &amp; Proprietes Etat Solide, F-59655 Villeneuve Dascq, France; [Quirico, E.] Univ Grenoble 1, CNRS, INSU, Lab Planetol Grenoble, F-38041 Grenoble 09, France; [Rouzaud, J. -N.] Ecole Normale Super, CNRS, Geol Lab, F-75231 Paris 5, France</t>
  </si>
  <si>
    <t>Centre National de la Recherche Scientifique (CNRS); Universite Paris Saclay; Universite Paris Cite; Museum National d'Histoire Naturelle (MNHN); Universite de Lille; Centre National de la Recherche Scientifique (CNRS); CNRS - National Institute for Earth Sciences &amp; Astronomy (INSU); Communaute Universite Grenoble Alpes; Universite Grenoble Alpes (UGA); Universite PSL; Ecole Normale Superieure (ENS); Centre National de la Recherche Scientifique (CNRS)</t>
  </si>
  <si>
    <t>Dobrica, E (corresponding author), Univ Paris Sud, CNRS, Ctr Spectrometrie Nucl &amp; Spectrometrie Masse, Orsay Campus, F-91405 Orsay, France.</t>
  </si>
  <si>
    <t>elena.dobrica@csnsm.in2p3.fr</t>
  </si>
  <si>
    <t>quirico, eric/K-9650-2013; Leroux, Hugues/S-4570-2017</t>
  </si>
  <si>
    <t>quirico, eric/0000-0003-2768-0694; ROUZAUD, Jean-Noel/0000-0002-1933-2617; Dobrica, Elena/0000-0002-7653-3431; Leroux, Hugues/0000-0002-8806-8434</t>
  </si>
  <si>
    <t>1086-9379</t>
  </si>
  <si>
    <t>1945-5100</t>
  </si>
  <si>
    <t>METEORIT PLANET SCI</t>
  </si>
  <si>
    <t>Meteorit. Planet. Sci.</t>
  </si>
  <si>
    <t>537PG</t>
  </si>
  <si>
    <t>WOS:000273124800016</t>
  </si>
  <si>
    <t>Gu, J; Hilser, VJ</t>
  </si>
  <si>
    <t>Gu, Jenny; Hilser, Vincent J.</t>
  </si>
  <si>
    <t>Sequence-Based Analysis of Protein Energy Landscapes Reveals Nonuniform Thermal Adaptation within the Proteome</t>
  </si>
  <si>
    <t>MOLECULAR BIOLOGY AND EVOLUTION</t>
  </si>
  <si>
    <t>thermal adaptation; proteome stability; protein stability; conformational flexibility; metabolism evolution</t>
  </si>
  <si>
    <t>QUINTUPLE THERMOSTABILIZING MUTATIONS; SP-NOV REPRESENTS; CONFORMATIONAL FLEXIBILITY; THERMOPHILIC ADAPTATION; LOW-TEMPERATURES; COLD ADAPTATION; HI VARIANT; RNASE HI; DISORDER; DATABASE</t>
  </si>
  <si>
    <t>Thermal adaptation of individual proteins is often achieved through modulating protein stability, with proteins that are adapted to extreme cold environments having increased conformational flexibility when brought to mesophilic conditions. Conversely, proteins adapted to higher temperatures appear less dynamic and tire found to be much more stable against thermal denaturation than their mesophilic counterparts. According to the current paradigm, the adaptation of an organism for survival at higher or lower temperatures is facilitated by the adaptation of the component proteins. We note, however, that these observations have been carried out on relatively few proteins. The extent to which the conformational stabilities of all members of the proteome have been modulated for thermal adaptation remains unclear, with no direct experimental strategies to address this issue. Adapted extremophilies are likely to use it Multitude of molecular and biophysical strategies for survival and, therefore, evolution of specific biophysical properties of proteins for optimal function may not be necessary for all proteins in the proteome. Using it sequence-based predictor of protein stability, eScape, an in silico examination of several extremophilic proteomes shows a correlation between the collective stability of the proteins and the thermal range of survival for the organism as expected. Unexpectedly, however, the analysis shows that protein thermostability is modified to different extents across the proteome and depends oil the functional role for which the protein is involved. Identification of these differences provides unique opportunities to study interdependence within the proteome as well as the role that the proteome plays in the process of evolutionary thermal adaptation.</t>
  </si>
  <si>
    <t>Univ Texas Med Branch, Dept Biochem &amp; Mol Biol, Galveston, TX USA; Univ Texas Med Branch, Sealy Ctr Struct Biol &amp; Mol Biophys, Galveston, TX USA</t>
  </si>
  <si>
    <t>University of Texas System; University of Texas Medical Branch Galveston; University of Texas System; University of Texas Medical Branch Galveston</t>
  </si>
  <si>
    <t>Gu, J (corresponding author), Univ Munster, Inst Evolut &amp; Biodivers, Munster, Germany.</t>
  </si>
  <si>
    <t>j.gu@uni-muenster.de; vjhilser@utmb.edu</t>
  </si>
  <si>
    <t>NIH [GM63747]; Robert A. Welch Foundation [H-1461]</t>
  </si>
  <si>
    <t>NIH(United States Department of Health &amp; Human ServicesNational Institutes of Health (NIH) - USA); Robert A. Welch Foundation(The Welch Foundation)</t>
  </si>
  <si>
    <t>This study was supported by NIH grant GM63747 and the Robert A. Welch Foundation (H-1461). J.G. would like to thank the Jeanne Kempner Scholar Foundation and the NSF Antarctic Biology Training Program.</t>
  </si>
  <si>
    <t>0737-4038</t>
  </si>
  <si>
    <t>1537-1719</t>
  </si>
  <si>
    <t>MOL BIOL EVOL</t>
  </si>
  <si>
    <t>Mol. Biol. Evol.</t>
  </si>
  <si>
    <t>10.1093/molbev/msp140</t>
  </si>
  <si>
    <t>Biochemistry &amp; Molecular Biology; Evolutionary Biology; Genetics &amp; Heredity</t>
  </si>
  <si>
    <t>500AI</t>
  </si>
  <si>
    <t>WOS:000270268900008</t>
  </si>
  <si>
    <t>Bulychev, AA; Gilod, DA</t>
  </si>
  <si>
    <t>Bulychev, A. A.; Gilod, D. A.</t>
  </si>
  <si>
    <t>Two-Dimensional Gravity Simulation of the Tectonosphere under the American-Antarctic Ridge</t>
  </si>
  <si>
    <t>MOSCOW UNIVERSITY GEOLOGY BULLETIN</t>
  </si>
  <si>
    <t>American-Antarctic Ridge; satellite-altimetry data; gravity field; tectonosphere; 2D-gravity simulation; method of complete normalized gradient</t>
  </si>
  <si>
    <t>This paper discusses the results of a two-dimensional gravity simulation along a number of transects across the American-Antarctic Spreading System. Bathymetric data, as well as the data of gravity anomalies from satellite altimetry and data on the age of the ocean floor, were used as data. The results of a preliminary three-dimensional simulation were applied for constructing the model and for analyzing the field of complete normalized gradient. A qualitative analysis of the principal tectonosphere boundaries in individual segments of the American-Antarctic Spreading System was undertaken.</t>
  </si>
  <si>
    <t>[Bulychev, A. A.; Gilod, D. A.] Moscow MV Lomonosov State Univ, Fac Geol, Dept Geophys Methods, Moscow 119991, Russia</t>
  </si>
  <si>
    <t>Lomonosov Moscow State University</t>
  </si>
  <si>
    <t>Bulychev, AA (corresponding author), Moscow MV Lomonosov State Univ, Fac Geol, Dept Geophys Methods, Moscow 119991, Russia.</t>
  </si>
  <si>
    <t>aabul@geophys.geol.msu.ru; gilod@geophys.geol.msu.ru</t>
  </si>
  <si>
    <t>Russian Foundation for Basic Research [07-05-00014a]</t>
  </si>
  <si>
    <t>This work was supported by the Russian Foundation for Basic Research, project no. 07-05-00014a.</t>
  </si>
  <si>
    <t>0145-8752</t>
  </si>
  <si>
    <t>1934-8436</t>
  </si>
  <si>
    <t>MOSC UNIV GEOL BULL</t>
  </si>
  <si>
    <t>Mosc. Univ. Geol. Bull.</t>
  </si>
  <si>
    <t>10.3103/S0145875209050056</t>
  </si>
  <si>
    <t>V2U7Z</t>
  </si>
  <si>
    <t>WOS:000217930200005</t>
  </si>
  <si>
    <t>Studinger, M; Barrett, P</t>
  </si>
  <si>
    <t>Studinger, Michael; Barrett, Peter</t>
  </si>
  <si>
    <t>Antarctica sinking</t>
  </si>
  <si>
    <t>News Item</t>
  </si>
  <si>
    <t>ICE-SHEET; GLACIATION; OLIGOCENE; OCEAN</t>
  </si>
  <si>
    <t>[Studinger, Michael] Columbia Univ, Lamont Doherty Earth Observ, Palisades, NY 10964 USA; [Barrett, Peter] Victoria Univ Wellington, Antarctic Res Ctr, Wellington 6140, New Zealand</t>
  </si>
  <si>
    <t>Columbia University; Victoria University Wellington</t>
  </si>
  <si>
    <t>Studinger, M (corresponding author), Columbia Univ, Lamont Doherty Earth Observ, POB 1000, Palisades, NY 10964 USA.</t>
  </si>
  <si>
    <t>mstuding@ldeo.columbia.edu; Peter.Barrett@vuw.ac.nz</t>
  </si>
  <si>
    <t>10.1038/ngeo644</t>
  </si>
  <si>
    <t>501BW</t>
  </si>
  <si>
    <t>WOS:000270355000004</t>
  </si>
  <si>
    <t>Hegglin, MI; Shepherd, TG</t>
  </si>
  <si>
    <t>Hegglin, Michaela I.; Shepherd, Theodore G.</t>
  </si>
  <si>
    <t>Large climate-induced changes in ultraviolet index and stratosphere-to-troposphere ozone flux</t>
  </si>
  <si>
    <t>CHEMISTRY; UNCERTAINTIES; EXTENSION; TRANSPORT; DYNAMICS; AGE</t>
  </si>
  <si>
    <t>Now that stratospheric ozone depletion has been controlled by the Montreal Protocol(1), interest has turned to the effects of climate change on the ozone layer(2,3). Climate models predict an accelerated stratospheric circulation(4-6), leading to changes in the spatial distribution of stratospheric ozone(2,7) and an increased stratosphere-to-troposphere ozone flux(8,9). Here we use an atmospheric chemistry climate model to isolate the effects of climate change from those of ozone depletion and recovery on stratosphere-to-troposphere ozone flux and the clear-sky ultraviolet radiation index-a measure of potential human exposure to ultraviolet radiation. We show that under the Intergovernmental Panel on Climate Change moderate emissions scenario(10), global stratosphere-to-troposphere ozone flux increases by 23% between 1965 and 2095 as a result of climate change. During this time, the clear-sky ultraviolet radiation index decreases by 9% in northern high latitudes-a much larger effect than that of stratospheric ozone recovery-and increases by 4% in the tropics, and by up to 20% in southern high latitudes in late spring and early summer. The latter increase in the ultraviolet index is equivalent to nearly half of that generated by the Antarctic 'ozone hole' that was created by anthropogenic halogens. Our results suggest that climate change will alter the tropospheric ozone budget and the ultraviolet index, which would have consequences for tropospheric radiative forcing(11), air quality(8) and human and ecosystem health(12).</t>
  </si>
  <si>
    <t>[Hegglin, Michaela I.; Shepherd, Theodore G.] Univ Toronto, Dept Phys, Toronto, ON M5S 1A7, Canada</t>
  </si>
  <si>
    <t>Hegglin, MI (corresponding author), Univ Toronto, Dept Phys, 60 St George St, Toronto, ON M5S 1A7, Canada.</t>
  </si>
  <si>
    <t>michaela@atmosp.physics.utoronto.ca</t>
  </si>
  <si>
    <t>Hegglin, Michaela/ABC-2799-2021; Hegglin, Michaela/D-7528-2017</t>
  </si>
  <si>
    <t>Hegglin, Michaela/0000-0003-2820-9044; Hegglin, Michaela/0000-0003-2820-9044</t>
  </si>
  <si>
    <t>Canadian Foundation for Climate and Atmospheric Sciences (CFCAS)</t>
  </si>
  <si>
    <t>The authors would like to acknowledge helpful discussions with V. Fioletov on ultraviolet index and C. McLandress on STE ozone fluxes. This study has been financially supported by the Canadian Foundation for Climate and Atmospheric Sciences (CFCAS) through the C-SPARC project, which provided the CMAM simulations.</t>
  </si>
  <si>
    <t>10.1038/NGEO604</t>
  </si>
  <si>
    <t>WOS:000270355000012</t>
  </si>
  <si>
    <t>Tarakanov, RY</t>
  </si>
  <si>
    <t>Tarakanov, R. Yu.</t>
  </si>
  <si>
    <t>Antarctic Bottom Water in the Scotia Sea and the Drake Passage</t>
  </si>
  <si>
    <t>OCEANOLOGY</t>
  </si>
  <si>
    <t>PACIFIC SECTOR; SOUTHERN-OCEAN; WEDDELL SEA; DEEP; CIRCULATION; CURRENTS</t>
  </si>
  <si>
    <t>The quantitative features and circulation of the Antarctic bottom water (AABW) in the Scotia Sea are investigated using an original procedure for the determination of the boundaries between the water masses. It is shown that the AABW is effectively transferred across the Antarctic Circumpolar Current (ACC) from the regions on the south flank of this current where the AABW penetrates into the Scotia Sea. This transfer results in the abyssal water cooling and freshening in the Yaghan Basin of the north Scotia Sea. Some rises and depressions in the bottom relief of the western and northern Scotia Sea are important features that impact the AABW transfer. It is shown that there is an additional path of the AABW transit transport to the North Atlantic passing through the western Scotia Sea. The existence of the semienclosed cyclonic abyssal water circulation in the South Shetland Trench and the westward transport of the Atlantic AABW along the Antarctic slope foot into the Pacific are proved.</t>
  </si>
  <si>
    <t>Russian Acad Sci, PP Shirshov Oceanol Inst, Moscow, Russia</t>
  </si>
  <si>
    <t>Russian Academy of Sciences; Shirshov Institute of Oceanology</t>
  </si>
  <si>
    <t>Tarakanov, RY (corresponding author), Russian Acad Sci, PP Shirshov Oceanol Inst, Moscow, Russia.</t>
  </si>
  <si>
    <t>rtarakanov@gmail.com</t>
  </si>
  <si>
    <t>Tarakanov, Roman/R-3325-2016</t>
  </si>
  <si>
    <t>Tarakanov, Roman/0000-0002-8711-1859</t>
  </si>
  <si>
    <t>Russian Foundation for Basic Research [09-05-00802 and 08-05-00120a]; NWO-RFBR [047.017.2006.003]; Russian Academy of Sciences [17]; World Ocean Federal Targeted Program; Foundation for the Promotion of National Science</t>
  </si>
  <si>
    <t>Russian Foundation for Basic Research(Russian Foundation for Basic Research (RFBR)Spanish Government); NWO-RFBR(Netherlands Organization for Scientific Research (NWO)Russian Foundation for Basic Research (RFBR)); Russian Academy of Sciences(Russian Academy of Sciences); World Ocean Federal Targeted Program; Foundation for the Promotion of National Science</t>
  </si>
  <si>
    <t>This study was supported by the Russian Foundation for Basic Research (project nos. 09-05-00802 and 08-05-00120a), NWO-RFBR 047.017.2006.003, by Program no. 17 for Fundamental Research of the Russian Academy of Sciences, by the World Ocean Federal Targeted Program, and the Foundation for the Promotion of National Science.</t>
  </si>
  <si>
    <t>0001-4370</t>
  </si>
  <si>
    <t>1531-8508</t>
  </si>
  <si>
    <t>OCEANOLOGY+</t>
  </si>
  <si>
    <t>Oceanology</t>
  </si>
  <si>
    <t>10.1134/S0001437009050026</t>
  </si>
  <si>
    <t>516NP</t>
  </si>
  <si>
    <t>WOS:000271549500002</t>
  </si>
  <si>
    <t>Piacentino, GLM; Barrera-Oro, E</t>
  </si>
  <si>
    <t>Piacentino, Gabriela L. M.; Barrera-Oro, Esteban</t>
  </si>
  <si>
    <t>Phenotypic plasticity in the Antarctic fish Trematomus newnesi (Nototheniidae) from the South Shetland Islands</t>
  </si>
  <si>
    <t>Antarctic fish; Nototheniidae; Morphs; South Shetland Islands</t>
  </si>
  <si>
    <t>POTTER COVE; POLYMORPHISM; PENINSULA; INSHORE; BIOLOGY; PISCES; DIET</t>
  </si>
  <si>
    <t>The presence of the two morphs, typical and large mouth, in the Antarctic fish species Trematomus newnesi (Perciformes, Notothenioidei) was recorded for the first time in nearshore waters of the South Shetland Islands (Potter Cove) and western Antarctic Peninsula (Petermann Island). The two morphs were distinguishable in specimens of 60-241 mm total length (TL); about 30% of the specimens constituted intermediate forms. In addition to the previously known characters separating the morphs, we found that the relative size of the eye can also be used to identify smaller and larger fish of the typical morph. The ecological significance of the two morphs remains unclear. Ratios of diagnostic characters for identification of the species at two size ranges (60-131 and 132-241 mm TL) are provided.</t>
  </si>
  <si>
    <t>[Piacentino, Gabriela L. M.; Barrera-Oro, Esteban] Museo Argentino Ciencias Nat Bernardino Rivadavia, Buenos Aires, DF, Argentina; [Barrera-Oro, Esteban] Inst Antartico Argentino, Buenos Aires, DF, Argentina; [Barrera-Oro, Esteban] Consejo Nacl Invest Cient &amp; Tecn, RA-1033 Buenos Aires, DF, Argentina</t>
  </si>
  <si>
    <t>Museo Argentino de Ciencias Naturales Bernardino Rivadavia (MACN); Instituto Antartico Argentino; Consejo Nacional de Investigaciones Cientificas y Tecnicas (CONICET)</t>
  </si>
  <si>
    <t>Piacentino, GLM (corresponding author), Museo Argentino Ciencias Nat Bernardino Rivadavia, A Gallardo 470,CI405DJR, Buenos Aires, DF, Argentina.</t>
  </si>
  <si>
    <t>gabpia@ciudad.com.ar; ebarreraoro@dna.gov.ar</t>
  </si>
  <si>
    <t>10.1007/s00300-009-0651-0</t>
  </si>
  <si>
    <t>499AA</t>
  </si>
  <si>
    <t>WOS:000270187100002</t>
  </si>
  <si>
    <t>Li, SP; Ochyra, R; Wu, PC; Seppelt, RD; Cai, MH; Wang, HY; Li, CS</t>
  </si>
  <si>
    <t>Li, Su-Ping; Ochyra, Ryszard; Wu, Peng-Cheng; Seppelt, Rodney D.; Cai, Ming-Hong; Wang, Hai-Ying; Li, Cheng-Sen</t>
  </si>
  <si>
    <t>Drepanocladus longifolius (Amblystegiaceae), an addition to the moss flora of King George Island, South Shetland Islands, with a review of Antarctic benthic mosses</t>
  </si>
  <si>
    <t>Bryophyta; Amblystegiaceae; Drepanocladus longifolius; Benthic mosses; Antarctica</t>
  </si>
  <si>
    <t>CONTINENTAL ANTARCTICA; AQUATIC MOSSES; LAKES; HILLS</t>
  </si>
  <si>
    <t>Drepanocladus longifolius (Mitt.) Paris is recorded for the first time from King George Island, South Shetland Islands, in the maritime Antarctic. It was collected in West Lake during the 23rd Chinese National Antarctic Research Expedition in 2006-2007. The moss was found at a depth of 5-6 m attached to the bed of the lake. The stems of the moss are about 1-1.5 m in length. The moss exhibits seasonal growth patterns, with shorter branch internodes, more widely spaced leaves and more branches in summer than in winter. Most of the branches are initiated in summer. The annual shoot extension is about 3-6 cm, which implies that the plants must be at least 15 years of age. The distribution of aquatic moss species and records in Antarctica is outlined and discussed and the nomenclature of previous reports clarified.</t>
  </si>
  <si>
    <t>[Li, Su-Ping; Wu, Peng-Cheng; Li, Cheng-Sen] Chinese Acad Sci, State Key Lab Systemat &amp; Evolutionary Bot, Inst Bot, Beijing 100093, Peoples R China; [Ochyra, Ryszard] Polish Acad Sci, Inst Bot, Krakow, Poland; [Seppelt, Rodney D.] Australian Antarctic Div, Kingston, Tas 7050, Australia; [Cai, Ming-Hong] Polar Res Inst China, Shanghai, Peoples R China; [Wang, Hai-Ying] Chinese Acad Sci, Key Lab Systemat Mycol &amp; Lichenol, Inst Microbiol, Beijing 100101, Peoples R China</t>
  </si>
  <si>
    <t>Chinese Academy of Sciences; Institute of Botany, CAS; Polish Academy of Sciences; Australian Antarctic Division; Polar Research Institute of China; Chinese Academy of Sciences; Institute of Microbiology, CAS</t>
  </si>
  <si>
    <t>Li, CS (corresponding author), Chinese Acad Sci, State Key Lab Systemat &amp; Evolutionary Bot, Inst Bot, Beijing 100093, Peoples R China.</t>
  </si>
  <si>
    <t>lics@ibcas.ac.cn</t>
  </si>
  <si>
    <t>Ochyra, Ryszard/0000-0002-2541-0722</t>
  </si>
  <si>
    <t>Strategic Research Foundation on Polar Sciences of China [20080220]</t>
  </si>
  <si>
    <t>Strategic Research Foundation on Polar Sciences of China</t>
  </si>
  <si>
    <t>We wish to express our sincere gratitude to Chinese Arctic and Antarctic Administration, the State Oceanic Administration of China. Also, many thanks to the members of the 23rd Chinese National Antarctic Research Expedition teams for their help during the field work. This research was supported by the Strategic Research Foundation on Polar Sciences of China (No. 20080220).</t>
  </si>
  <si>
    <t>10.1007/s00300-009-0636-z</t>
  </si>
  <si>
    <t>WOS:000270187100003</t>
  </si>
  <si>
    <t>Carlini, AR; Coria, NR; Santos, MM; Negrete, J; Juares, MA; Daneri, GA</t>
  </si>
  <si>
    <t>Carlini, Alejandro R.; Coria, N. R.; Santos, M. M.; Negrete, J.; Juares, M. A.; Daneri, G. A.</t>
  </si>
  <si>
    <t>Responses of Pygoscelis adeliae and P. papua populations to environmental changes at Isla 25 de Mayo (King George Island)</t>
  </si>
  <si>
    <t>Pygoscelis penguins; South Shetland Islands; Environmental changes; Population decline; Breeding success</t>
  </si>
  <si>
    <t>ANTARCTIC PENGUIN POPULATIONS; BREEDING SUCCESS; CHINSTRAP PENGUINS; SEA-ICE; SOUTH-SHETLAND; CLIMATE-CHANGE; PENINSULA; VARIABILITY; COMPETITION; DYNAMICS</t>
  </si>
  <si>
    <t>As part of a monitoring study of Ad,lie and Gentoo penguin colonies, birds occupying nests with eggs and chicks in crSches were counted annually from the 1995/1996 to the 2006/2007 seasons at Stranger Point, Isla 25 de Mayo (King George Island), Antarctica. During the study period the Ad,lie penguin population showed a decrease of 62%. The number of chicks in crSches followed a similar trend, the smallest number occurring in 2002, when it was 63% lower than in 1995/1996. In contrast, the Gentoo breeding population size increased by 68%, while chicks produced increased by 63%. Despite the opposing trends in population size between species, there was a positive relation in their interannual variation, although the extent, and for some years the direction, of the change observed always favoured Gentoo penguins. Breeding success (chicks in crSches/nests with eggs) fluctuated between 0.65 and 1.26 for Ad,lies and between 0.76 and 1.27 for Gentoo penguins, and did not differ significantly between species. The similar breeding success of these species suggests that the contrasting population trends observed were driven by factors operating over winter. We suggest that current changes in environmental conditions may affect adult birds of both species during the previous winter with different intensity but in a roughly similar way, but that juvenile survival of both species and thus the recruitment of new breeders might be affected differentially, with a much lower survival rate of juvenile Ad,lie penguins.</t>
  </si>
  <si>
    <t>[Carlini, Alejandro R.; Coria, N. R.; Santos, M. M.; Negrete, J.] Inst Antartico Argentino, Dept Ciencias Biol, Buenos Aires, DF, Argentina; [Santos, M. M.; Negrete, J.; Juares, M. A.] Consejo Nacl Invest Cient &amp; Tecn, RA-1033 Buenos Aires, DF, Argentina; [Daneri, G. A.] Museo Argentino Cs Nat B Rivadavia, Div Mastozool, Buenos Aires, DF, Argentina</t>
  </si>
  <si>
    <t>Instituto Antartico Argentino; Consejo Nacional de Investigaciones Cientificas y Tecnicas (CONICET)</t>
  </si>
  <si>
    <t>Carlini, AR (corresponding author), Inst Antartico Argentino, Dept Ciencias Biol, Cerrito 1248,C1010AAZ, Buenos Aires, DF, Argentina.</t>
  </si>
  <si>
    <t>acarlini@dna.gov.ar</t>
  </si>
  <si>
    <t>Santos, Mercedes/D-5243-2016</t>
  </si>
  <si>
    <t>Juares, Mariana A./0000-0002-6763-0416; Negrete, Javier/0000-0001-6853-8307</t>
  </si>
  <si>
    <t>Direccion Nacional del Antartico; Instituto Antartico Argentino</t>
  </si>
  <si>
    <t>We want to thank S. Poljak, R Montiel, E. Soibelzon, M. Ciancio, M. Gasco, J. Mennucci and L. Balboni for field assistance. The permit for this work was granted by the Direccion Nacional del Antartico (Environmental Office). This work was supported by the Direccion Nacional del Antartico, Instituto Antartico Argentino. We thank Dr. W. Fraser and two anonymous reviewers for their helpful comments on the manuscript.</t>
  </si>
  <si>
    <t>10.1007/s00300-009-0637-y</t>
  </si>
  <si>
    <t>WOS:000270187100004</t>
  </si>
  <si>
    <t>Zeng, YX; Zheng, TL; Li, HR</t>
  </si>
  <si>
    <t>Zeng, Yinxin; Zheng, Tianling; Li, Huirong</t>
  </si>
  <si>
    <t>Community composition of the marine bacterioplankton in Kongsfjorden (Spitsbergen) as revealed by 16S rRNA gene analysis</t>
  </si>
  <si>
    <t>Biodiversity; Bacterioplankton; Denaturing gradient gel electrophoresis; Clone library; Spitsbergen</t>
  </si>
  <si>
    <t>GRADIENT GEL-ELECTROPHORESIS; ARCTIC SEA-ICE; BACTERIAL COMMUNITIES; MICROBIAL-POPULATIONS; PLANKTONIC BACTERIA; DIVERSITY; SVALBARD; BIODIVERSITY; SEDIMENTS; OCEAN</t>
  </si>
  <si>
    <t>Phylogenetic diversity of the marine bacterioplankton in Kongsfjorden (Spitsbergen) was investigated by 16S rRNA gene analysis. Community fingerprint analysis by PCR-denaturing gradient gel electrophoresis revealed that there was no apparent difference of bacterioplankton community composition between sampling locations in the fjord. A higher biodiversity was observed in bottom water of station 3 in the central part of the fjord. By 16S rRNA gene clone library analysis, sequences detected both in surface and bottom water of station 3 fell into eight putative divisions, including Proteobacteria (Alpha, Beta, Gamma and Delta), Bacteroidetes, Actinobacteria, Verrucomicrobia and unidentified bacteria, in addition to chloroplasts of algae. Sequences representing Planctomycetes were only observed in bottom water. Compared to the preponderance of clones representing Gammaproteobacteria (36.5%) and Alphaproteobacteria (29.4%) in bottom water, Alphaproteobacteria (43.6%) and algae (27.7%) constituted two dominant fractions in surface water. Cloned sequences showed 82.1-100% similarity to those described sequences. It suggests that, attributing to the influence of ocean currents as well as freshwater input in the summer, the bacterial community in Kongsfjorden may consist of a mixture of cosmopolitan and uniquely endemic phylotypes.</t>
  </si>
  <si>
    <t>[Zheng, Tianling] Xiamen Univ, State Key Lab Marine Environm Sci, Sch Life Sci, Xiamen 361005, Peoples R China; [Zeng, Yinxin] Xiamen Univ, Inst Appl &amp; Environm Microbiol, Sch Life Sci, Xiamen 361005, Peoples R China; [Zeng, Yinxin; Li, Huirong] Polar Res Inst China, State Ocean Adm, Key Lab Polar Sci, Shanghai 200136, Peoples R China</t>
  </si>
  <si>
    <t>Xiamen University; Xiamen University; Polar Research Institute of China</t>
  </si>
  <si>
    <t>Zheng, TL (corresponding author), Xiamen Univ, State Key Lab Marine Environm Sci, Sch Life Sci, Xiamen 361005, Peoples R China.</t>
  </si>
  <si>
    <t>yxzeng@yahoo.com; microzh@xmu.edu.cn</t>
  </si>
  <si>
    <t>Zheng, TL/G-3974-2010</t>
  </si>
  <si>
    <t>National Natural Science Foundation of China [40676002, 40876097]; China's Action Plan for the International Polar Year (IPY)</t>
  </si>
  <si>
    <t>National Natural Science Foundation of China(National Natural Science Foundation of China (NSFC)); China's Action Plan for the International Polar Year (IPY)</t>
  </si>
  <si>
    <t>We appreciate the assistance of the Chinese Arctic and Antarctic Administration (CAA) who organized the Chinese Arctic Yellow River Station Expedition in 2007. We thank Jacqueline M. Grebmeier at the Center for Environmental Science of the University of Maryland for language improvement on this paper. We also are grateful to three anonymous reviewers for suggestive comments and modiWcation. This work was supported by the National Natural Science Foundation of China (Grant no. 40676002 and 40876097) and China's Action Plan for the International Polar Year (IPY).</t>
  </si>
  <si>
    <t>10.1007/s00300-009-0641-2</t>
  </si>
  <si>
    <t>WOS:000270187100006</t>
  </si>
  <si>
    <t>Moteki, M; Horimoto, N; Nagaiwa, R; Amakasu, K; Ishimaru, T; Yamaguchi, Y</t>
  </si>
  <si>
    <t>Moteki, Masato; Horimoto, Naho; Nagaiwa, Riou; Amakasu, Kazuo; Ishimaru, Takashi; Yamaguchi, Yukuya</t>
  </si>
  <si>
    <t>Pelagic fish distribution and ontogenetic vertical migration in common mesopelagic species off Lutzow-Holm Bay (Indian Ocean sector, Southern Ocean) during austral summer</t>
  </si>
  <si>
    <t>Antarctica; Community structure; Indian Ocean sector; Larval fish; Mesopelagic fish; Ontogenetic vertical distribution</t>
  </si>
  <si>
    <t>PACIFIC CENTRAL GYRE; SCOTIA SEA; COMMUNITY STRUCTURE; MYCTOPHID FISHES; SHETLAND ISLANDS; WEDDELL SEA; OPEN WATERS; ICE-EDGE; ROSS SEA; LARVAE</t>
  </si>
  <si>
    <t>The horizontal and vertical distributions of fish were examined off Lutzow-Holm Bay in the Indian Ocean sector of the Southern Ocean during midnight sun in January 2005. Fish were sampled from six discrete depth layers (0-2,000 m). The most abundant fish in layers from the surface to 200 m were larval stages of Electrona antarctica and Notolepis coatsi. In layers from 200 to 2,000 m, fish assemblages were relatively uniform among all stations and were dominated by E. antarctica (juvenile-subadult), Cyclothone microdon, and Bathylagus antarcticus. Cluster analysis revealed three epipelagic communities related to water temperature and salinity. An ontogenetic habitat shift to deeper layers was apparent for E. antarctica, N. coatsi, and B. antarcticus. Preferences for warm waters were observed in E. antarctica (larvae) and N. coatsi (preflexion to flexion larvae), although they were distributed across a broad range of temperature and salinity in epipelagic zones.</t>
  </si>
  <si>
    <t>[Moteki, Masato; Horimoto, Naho; Nagaiwa, Riou; Amakasu, Kazuo; Ishimaru, Takashi; Yamaguchi, Yukuya] Tokyo Univ Marine Sci &amp; Technol, Dept Ocean Sci, Minato Ku, Tokyo 1088477, Japan</t>
  </si>
  <si>
    <t>Tokyo University of Marine Science &amp; Technology</t>
  </si>
  <si>
    <t>Moteki, M (corresponding author), Tokyo Univ Marine Sci &amp; Technol, Dept Ocean Sci, Minato Ku, 4-5-7 Konan, Tokyo 1088477, Japan.</t>
  </si>
  <si>
    <t>masato@kaiyodai.ac.jp</t>
  </si>
  <si>
    <t>MIYAZAKI, Naho/O-1921-2014; AMAKASU, Kazuo/O-1857-2014</t>
  </si>
  <si>
    <t>Japan Society for the Promotion of Science [14255102, 19255014, 16101001]; Grants-in-Aid for Scientific Research [19255014, 16101001] Funding Source: KAKEN</t>
  </si>
  <si>
    <t>We thank Captain Y. Koike, the staV of the TR/ V Umitaka-maru, and all onboard cadets in the Advanced Course for Maritime Science and Technology for their invaluable assistance in sample collection. We also thank our scientiWc colleagues from NIPR, TUMSAT, and other institutes for helping process RMT samples onboard. Thanks are also due to D. Hirano, A. Ono, Y. Watanabe, and R. Toda (TUMSAT) for processing CTD and PAR data. T. Hirawake of Hokkaido University kindly provided us with SeaWiFS images during the research period to determine the position of the ice edge. This study was primarily supported by Grants-in-Aid for ScientiWc Research from the Japan Society for the Promotion of Science (Nos. 14255102 and 19255014 for T. Ishimaru and 16101001 for M. Fukuchi of the NIPR). A portion of the data analysis was conducted at facilities of the Australian Antarctic Division, Kingston, Tasmania, by the Wrst author.</t>
  </si>
  <si>
    <t>10.1007/s00300-009-0643-0</t>
  </si>
  <si>
    <t>WOS:000270187100007</t>
  </si>
  <si>
    <t>Goldsworthy, SD; McKenzie, J; Page, B; Lancaster, ML; Shaughnessy, PD; Wynen, LP; Robinson, SA; Peters, KJ; Baylis, AMM; McIntosh, RR</t>
  </si>
  <si>
    <t>Goldsworthy, Simon David; McKenzie, Jane; Page, Brad; Lancaster, Melanie L.; Shaughnessy, Peter D.; Wynen, Louise P.; Robinson, Susan A.; Peters, Kristian J.; Baylis, Alastair M. M.; McIntosh, Rebecca R.</t>
  </si>
  <si>
    <t>Fur seals at Macquarie Island: post-sealing colonisation, trends in abundance and hybridisation of three species</t>
  </si>
  <si>
    <t>Fur seals; Arctocephalus spp.; Macquarie Island; Population recovery; Hybridisation; Colonisation</t>
  </si>
  <si>
    <t>PRINCE-EDWARD-ISLANDS; ARCTOCEPHALUS-GAZELLA; NEW-ZEALAND; REPRODUCTIVE SUCCESS; POPULATION-CHANGES; MATING STRATEGIES; BREEDING-SEASON; SOUTHERN-OCEAN; HEARD-ISLAND; PUP GROWTH</t>
  </si>
  <si>
    <t>Commercial sealers exterminated the original fur seal population at Macquarie Island in the early 1800s. The first breeding record since the sealing era was not reported until March 1955. Three species of fur seal now occur at Macquarie Island, the Antarctic (Arctocephalus gazella), subantarctic (A. tropicalis) and New Zealand (A. forsteri) fur seal. Census data from 54 breeding seasons in the period 1954-2007 were used to estimate population status and growth for each species. Between the 1950s and 1970s, annual increases in pup production for the species aggregate were low. Between 1986 and 2007, pup production of Antarctic fur seals increased by about 8.8% per year and subantarctic fur seals by 6.8% per year. The New Zealand fur seal, although the most numerous fur seal species on Macquarie Island, has yet to establish a breeding population, due to the absence of reproductively mature females. Hybridisation among species is significant, but appears to be declining. The slow establishment and growth of fur seal populations on Macquarie Island appears to have been affected by its distance from major population centres and hence low immigration rates, asynchronous colonisation times of males and females of each species, and extensive hybridisation.</t>
  </si>
  <si>
    <t>[Goldsworthy, Simon David; McKenzie, Jane; Page, Brad; Peters, Kristian J.; Baylis, Alastair M. M.] S Australian Res &amp; Dev Inst Aquat Sci, Adelaide, SA 5024, Australia; [Lancaster, Melanie L.; Peters, Kristian J.; Baylis, Alastair M. M.] Univ Adelaide, Sch Earth &amp; Environm Sci, Adelaide, SA 5005, Australia; [Shaughnessy, Peter D.] S Australian Museum, Adelaide, SA 5000, Australia; [Wynen, Louise P.] No Terr Police Fire &amp; Emergency Serv, Forens Sci Branch, Darwin, NT 0828, Australia; [Robinson, Susan A.] Dept Primary Ind &amp; Water, Hobart, Tas 7001, Australia; [McIntosh, Rebecca R.] La Trobe Univ, Dept Zool, Bundoora, Vic 3086, Australia</t>
  </si>
  <si>
    <t>University of Adelaide; La Trobe University</t>
  </si>
  <si>
    <t>Goldsworthy, SD (corresponding author), S Australian Res &amp; Dev Inst Aquat Sci, 2 Hamra Ave, Adelaide, SA 5024, Australia.</t>
  </si>
  <si>
    <t>goldsworthy.simon@saugov.sa.gov.au</t>
  </si>
  <si>
    <t>Shaughnessy, Peter/AAG-6689-2021; Baylis, Alastair/H-9471-2019</t>
  </si>
  <si>
    <t>Baylis, Alastair/0000-0002-5167-0472; Goldsworthy, Simon/0000-0003-4988-9085</t>
  </si>
  <si>
    <t>Antarctic Science Advisory Committee; Australian Antarctic Science</t>
  </si>
  <si>
    <t>We are indebted to the many people who have assisted in this long-term study. In particular we thank Rachael Alderman, Phil Barnaart, Catherine Bone, Ailsa Brady, Chris Brown, Robin Brown, Rohan Clarke, Helen Cooley, Helen Crowley, Robert Gould, Kath Handasyde, Bob Jones, Kieran Lawton, Doreen Marchesan, Chris McKinley, Clive McMahon, Adam Morrissey, Kylie Russell, Jenny Scott, Cath Sliwa, David van Smerdijk, John Rich, Ioane Vakaci, Rosie Weelan, Annelise Wiebkin and Rupert Woods for help in the Weld. We appreciate the assistance given by many others at Macquarie Island over the years, and the Australian National Antarctic Research Expeditions for logistical support. We acknowledge David Pemberton, Hugh Best and Jenny Scott, Genael Beauplet and Christophe Guinet for unpublished information and Rene Wanles (Australian Antarctic Division) who assisted in the recovery of archived prints and slides. We also thank John Harwood, Marthan Bester, Greg Hofmeyr and Ian Staniland for comments on earlier versions of the manuscript. Research was conducted under permit from the Tasmanian Parks and Wildlife Service and conducted with the approval of the Antarctic Animal Ethics (Australian Antarctic Division) and animal ethics committees of the University of Tasmania, La Trobe University and the Department of Primary Industries and Resources, South Australia. We thank the Antarctic Science Advisory Committee and the Australian Antarctic Science grants scheme for continued funding support.</t>
  </si>
  <si>
    <t>10.1007/s00300-009-0645-y</t>
  </si>
  <si>
    <t>WOS:000270187100008</t>
  </si>
  <si>
    <t>Krna, MA; Day, TA; Ruhland, CT</t>
  </si>
  <si>
    <t>Krna, Matthew A.; Day, Thomas A.; Ruhland, Christopher T.</t>
  </si>
  <si>
    <t>Effects of neighboring plants on the growth and reproduction of Deschampsia antarctica in Antarctic tundra</t>
  </si>
  <si>
    <t>Competition; Facilitation; Glacial foreland; Plant interactions; Succession; Warming</t>
  </si>
  <si>
    <t>CHILEAN PATAGONIAN ANDES; VASCULAR PLANTS; POSITIVE INTERACTIONS; CLIMATE-CHANGE; COLOBANTHUS-QUITENSIS; PRIMARY SUCCESSION; SNOWY MOUNTAINS; CUSHION PLANTS; COMPETITION; VEGETATION</t>
  </si>
  <si>
    <t>Populations of the two native vascular plant species on the Antarctic Peninsula have increased over the past 40 years. This increase has been attributed to improved reproductive performance resulting from regional warming and increased growing season length. However, little is known of the influence that vascular plants have on the performance of neighboring plants in developing and well-established communities. We compared the aboveground growth and reproduction of Deschampsia antarctica plants growing alone or in close proximity to neighboring plants (D. antarctica, Colobanthus quitensis, or mosses) at a young, recently colonized and an older, well-developed plant community on the Antarctic Peninsula to assess whether neighboring plants had a positive or negative effect on D. antarctica performance, and whether these effects varied from young to old communities. In both communities, tillers on D. antarctica plants near neighbors produced 48-89% fewer leaves and 49-93% fewer tillers than those on D. antarctica plants growing alone. These tillers also had relative growth rates that were 25-66% lower- and tiller-size indices that were 42-87% less than those on plants growing alone. In addition, the biomass of tillers on plants growing near neighbors was 40-91% lower than those on plants growing alone. Leaf and tiller production was generally higher in the older, more developed community than in the younger community. Our findings illustrate that vegetative growth of D. antarctica is reduced when growing in close proximity to neighboring plants, suggesting that negative plant interactions are an important constraint at our field sites.</t>
  </si>
  <si>
    <t>[Krna, Matthew A.; Ruhland, Christopher T.] Mankato State Univ, Dept Biol Sci, Mankato, MN 56001 USA; [Day, Thomas A.] Arizona State Univ, Sch Life Sci, Tempe, AZ 85287 USA</t>
  </si>
  <si>
    <t>Minnesota State Colleges &amp; Universities; Minnesota State University Mankato; Arizona State University; Arizona State University-Tempe</t>
  </si>
  <si>
    <t>Ruhland, CT (corresponding author), Mankato State Univ, Dept Biol Sci, Trafton Sci Ctr S-242, Mankato, MN 56001 USA.</t>
  </si>
  <si>
    <t>christopher.ruhland@mnsu.edu</t>
  </si>
  <si>
    <t>Day, Thomas/B-1462-2008</t>
  </si>
  <si>
    <t>National Science Foundation Office [OPP-0230579]; College of Graduate Studies and Research at MNSU</t>
  </si>
  <si>
    <t>National Science Foundation Office; College of Graduate Studies and Research at MNSU</t>
  </si>
  <si>
    <t>This research was supported by the National Science Foundation Office of Polar Programs (grant #OPP-0230579) and a Summer Research Grant to CTR from The College of Graduate Studies and Research at MNSU. We especially thank Caroline De Van for her assistance in the Weld. We also thank the science and support personnel at Palmer Station for their help. Logistical support was provided by Raytheon Polar Services Company.</t>
  </si>
  <si>
    <t>10.1007/s00300-009-0646-x</t>
  </si>
  <si>
    <t>WOS:000270187100009</t>
  </si>
  <si>
    <t>Lescroël, A; Bajzak, C; Bost, CA</t>
  </si>
  <si>
    <t>Lescroel, Amelie; Bajzak, Catherine; Bost, Charles-Andre</t>
  </si>
  <si>
    <t>Breeding ecology of the gentoo penguin Pygoscelis papua at Kerguelen Archipelago</t>
  </si>
  <si>
    <t>Life-history traits; Sub-Antarctic islands; Breeding phenology; Foraging; Sex differences</t>
  </si>
  <si>
    <t>KING-GEORGE-ISLAND; HATCHING ASYNCHRONY; TEMPORAL VARIATION; FORAGING BEHAVIOR; MACQUARIE ISLAND; DIET COMPOSITION; ADELIE; POPULATION; SUCCESS; PRODUCTIVITY</t>
  </si>
  <si>
    <t>The gentoo penguin (Pygoscelis papua) is one of the most widespread penguin species and has been proven to be highly plastic in many aspects of its ecology. However, data from their sub-Antarctic range suggest an unexplained decline of their populations over the last 10-20 years, stressing the need for additional knowledge on their breeding ecology and demography. The present study provides insights into the breeding ecology of the gentoo penguin at a major breeding site, Kerguelen Archipelago, over three breeding seasons (1987, 2002 and 2003). Similarly to other northern populations, gentoo penguins breeding at Kerguelen exhibited winter laying, slow provisioning rate, slow growth rate associated with an extended rearing period and relatively low breeding success compared to southern populations. Our study also revealed interannual differences in the timing of laying and growth parameters as well as unusual sex differences in parental investment. Despite their high plasticity, there are indications that gentoo penguins at the northern edge of their range might work at the upper limit of their capacities. Sub-Antarctic populations would, therefore, be more sensitive to environmental changes than more southerly ones and need to be closely monitored.</t>
  </si>
  <si>
    <t>[Lescroel, Amelie; Bost, Charles-Andre] CNRS, UPR 1934, Ctr Etud Biol Chize, F-79360 Villiers En Bois, France; [Bajzak, Catherine] Ctr Ecol Fonct &amp; Evolut, Grp Ecol Comportementale, Dept Populat Biol, UMR 5175, F-34293 Montpellier 5, France</t>
  </si>
  <si>
    <t>Centre National de la Recherche Scientifique (CNRS);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t>
  </si>
  <si>
    <t>Lescroël, A (corresponding author), CNRS, UPR 1934, Ctr Etud Biol Chize, F-79360 Villiers En Bois, France.</t>
  </si>
  <si>
    <t>lescroel@cebc.cnrs.fr</t>
  </si>
  <si>
    <t>Institut Polaire Paul Emile Victor (IPEV) [394]</t>
  </si>
  <si>
    <t>Institut Polaire Paul Emile Victor (IPEV)</t>
  </si>
  <si>
    <t>This work was supported by the Institut Polaire Paul Emile Victor (IPEV, Programme No. 394, resp. C. A. Bost), the Terres Australes et Antarctiques Franc, aises and the Centre National de la Recherche Scientifique. We would like to thank Alain Lamalle and the members of the 37th, 39th, 52nd, 53rd and 54th missions at Kerguelen, and especially F. Genevois, V. Chartendrault, E. Pettex, J.- L. Chil, C. Marteau and F. Le Bouard for their help in the field. Finally, we are especially indebted to Pierre Jouventin for his thoughtful comments and inspiration over the whole study.</t>
  </si>
  <si>
    <t>10.1007/s00300-009-0647-9</t>
  </si>
  <si>
    <t>WOS:000270187100010</t>
  </si>
  <si>
    <t>Miranda, LS; Morandini, AC; Marques, AC</t>
  </si>
  <si>
    <t>Miranda, Lucilia S.; Morandini, Andre C.; Marques, Antonio C.</t>
  </si>
  <si>
    <t>Taxonomic review of Haliclystus antarcticus Pfeffer, 1889 (Stauromedusae, Staurozoa, Cnidaria), with remarks on the genus Haliclystus Clark, 1863</t>
  </si>
  <si>
    <t>Southern Ocean; Antarctic Peninsula; Benthos; Lucernariidae; Stauromedusae</t>
  </si>
  <si>
    <t>SCYPHOZOA; AURICULA; SCYPHOMEDUSAE; PACIFIC</t>
  </si>
  <si>
    <t>Difficulties concerning the taxonomy of stauromedusae are long known, and there is a clear need for taxonomic revision of the genus Haliclystus, as well as the reevaluation of some species. Haliclystus antarcticus Pfeffer, 1889 is recorded from Admiralty Bay, King George Island, Antarctic Peninsula. Due to the lack of detailed information on this species, we provide a redescription, presenting new data on the cnidome, morphometry, geographical distribution and intraspecific variation. Based on these characters, we propose that our specimens and Haliclystus auricula from Chile and Argentina are synonymous and should be classified as H. antarcticus. We also review the worldwide distribution of the genus Haliclystus Clark, 1863 and discuss taxonomic issues, concluding that some characters traditionally used in the taxonomy of the group should be used cautiously.</t>
  </si>
  <si>
    <t>[Miranda, Lucilia S.; Morandini, Andre C.; Marques, Antonio C.] Univ Sao Paulo, Dept Zool, Inst Biociencias, BR-05508090 Sao Paulo, Brazil</t>
  </si>
  <si>
    <t>Universidade de Sao Paulo</t>
  </si>
  <si>
    <t>Miranda, LS (corresponding author), Univ Sao Paulo, Dept Zool, Inst Biociencias, Rua Matao,Trav 14,101, BR-05508090 Sao Paulo, Brazil.</t>
  </si>
  <si>
    <t>mirandals@ib.usp.br</t>
  </si>
  <si>
    <t>Morandini, Andre Carrara/AAC-2320-2020; Marques, Antonio/E-8049-2011; Souza Miranda, Lucilia/L-4930-2015</t>
  </si>
  <si>
    <t>Morandini, Andre Carrara/0000-0003-3747-8748; Marques, Antonio/0000-0002-2884-0541; Souza Miranda, Lucilia/0000-0003-4121-8340</t>
  </si>
  <si>
    <t>Fundacao de Amparo a Pesquisa do Estado de Sao Paulo, FAPESP [2004/09961-4]; Conselho Nacional de Desenvolvimento Cientifico e Tecnologico, CNPq [55.7333/2005-9, 490348/2006-8, 305735/2006-3, 47467-2007-7, 481399/2007-0]; Conselho de Ensino para Graduados/Universidade Federal do Rio de Janeiro, Fundacao Universitaria Jose Bonifacio, CEPG/UFRJ-FUJB [ALV'2006 13126-1]; Fundacao de Amparo a Pesquisa do Estado do Rio de Janeiro, FAPERJ [E-26/171.150/2006]; Ministerio da Ciencia e Tecnologia/Financiadora de Estudos e Projetos MCT/FINEP/Acao Transversal-Cooperacao ICTs-Empresas (Petrobras) [06/2006 (3175/06)]; Fundacao de Amparo a Pesquisa do Estado de Sao Paulo (FAPESP) [04/09961-4] Funding Source: FAPESP</t>
  </si>
  <si>
    <t>Fundacao de Amparo a Pesquisa do Estado de Sao Paulo, FAPESP(Fundacao de Amparo a Pesquisa do Estado de Sao Paulo (FAPESP)Fundacao de Amparo a Pesquisa e Inovacao do Estado de Santa Catarina (FAPESC)); Conselho Nacional de Desenvolvimento Cientifico e Tecnologico, CNPq(Conselho Nacional de Desenvolvimento Cientifico e Tecnologico (CNPQ)); Conselho de Ensino para Graduados/Universidade Federal do Rio de Janeiro, Fundacao Universitaria Jose Bonifacio, CEPG/UFRJ-FUJB; Fundacao de Amparo a Pesquisa do Estado do Rio de Janeiro, FAPERJ(Fundacao Carlos Chagas Filho de Amparo a Pesquisa do Estado do Rio De Janeiro (FAPERJ)); Ministerio da Ciencia e Tecnologia/Financiadora de Estudos e Projetos MCT/FINEP/Acao Transversal-Cooperacao ICTs-Empresas (Petrobras)(Financiadora de Inovacao e Pesquisa (Finep)); Fundacao de Amparo a Pesquisa do Estado de Sao Paulo (FAPESP)(Fundacao de Amparo a Pesquisa do Estado de Sao Paulo (FAPESP))</t>
  </si>
  <si>
    <t>We are deeply grateful to: A. G. Collins (NMFS, National Systematics Laboratory, National Museum of Natural History, Smithsonian Institution) for corrections and comments on the manuscript and for providing support for the study of the Stauromedusae collection in the National Museum of Natural History, Smithsonian Institution; J. P. Didier, for her enormous support and commitment to the collection of material from Chile; A. Cunha, H. Y. Yamaguti, J. Bardi, M. M. Maronna, N. Mejia and T. P. Miranda (Instituto de Biociencias, Universidade de Sao Paulo, USP) for discussions and suggestions on a previous version of the text and the figures; Enio Matos and Eduardo Matos (in memoriam) for their assistance on the SEM (Instituto de Biociencias, Universidade de Sao Paulo, USP). We also thank the reviewers C. Mills, J. Gerhard and A. G. Collins, who have contributed to improve this paper. This work was supported by Fundacao de Amparo a Pesquisa do Estado de Sao Paulo, FAPESP (research grant 2004/09961-4), Conselho Nacional de Desenvolvimento Cientifico e Tecnologico, CNPq (55.7333/2005-9, 490348/2006-8, 305735/2006-3, 47467-2007-7). A. C. Morandini had partial support from Conselho de Ensino para Graduados/Universidade Federal do Rio de Janeiro, Fundacao Universitaria Jose Bonifacio, CEPG/UFRJ-FUJB (ALV'2006 13126-1), CNPq (481399/2007-0), Fundacao de Amparo a Pesquisa do Estado do Rio de Janeiro, FAPERJ (E-26/171.150/2006) and Ministerio da Ciencia e Tecnologia/Financiadora de Estudos e Projetos MCT/FINEP/Acao Transversal-Cooperacao ICTs-Empresas (Petrobras) - 06/2006 (3175/06).</t>
  </si>
  <si>
    <t>10.1007/s00300-009-0648-8</t>
  </si>
  <si>
    <t>WOS:000270187100011</t>
  </si>
  <si>
    <t>Delille, D; Pelletier, E; Rodriguez-Blanco, A; Ghiglione, JF</t>
  </si>
  <si>
    <t>Delille, Daniel; Pelletier, Emilien; Rodriguez-Blanco, Arturo; Ghiglione, Jean-Francois</t>
  </si>
  <si>
    <t>Effects of nutrient and temperature on degradation of petroleum hydrocarbons in sub-Antarctic coastal seawater</t>
  </si>
  <si>
    <t>Antarctic seawater; Temperature; Crude oil; Diesel oil; Bioremediation agents</t>
  </si>
  <si>
    <t>OIL-CONTAMINATED SOIL; DISPERSED CRUDE-OIL; ARCTIC SEA-ICE; DIESEL-OIL; MICROBIAL COMMUNITIES; BACTERIAL COMMUNITIES; INTERTIDAL SEDIMENTS; MARINE-ENVIRONMENT; FIELD OBSERVATIONS; SEASONAL-CHANGES</t>
  </si>
  <si>
    <t>In an attempt to evaluate the potential of petroleum bioremediation at high latitudes environments, microcosm studies using Antarctic coastal seawater contaminated with diesel or crude oil were conducted in Kerguelen Archipelago (49A degrees 22'S, 70A degrees 12'E). Microcosms were incubated at three different temperatures (4, 10 and 20A degrees C). During experiments, changes observed in microbial assemblages (total direct count, heterotrophic cultivable microorganisms and hydrocarbon-degrading microorganisms) were generally similar for all incubation temperatures, but chemical data showed only some slight changes in biodegradation indices [I (C12-C20) pound/I (C21-C32) pound and C17/pristane]. The complete data set provided strong evidence of the presence of indigenous hydrocarbon-degrading bacteria in Antarctic seawater and their high potential for hydrocarbon bioremediation. The rate of oil degradation could be increased by the addition of a commercial fertilizer, but water temperature had little effects on biodegradation efficiency which is in conflict with the typical temperature-related assumption predicting 50% rate reduction when temperature is reduced by 10A degrees C. Global warming of Antarctic seawater should not increase significantly the rate of oil biodegradation in these remote regions.</t>
  </si>
  <si>
    <t>[Delille, Daniel; Rodriguez-Blanco, Arturo; Ghiglione, Jean-Francois] Univ Paris 06, UPMC, Lab Arago, UMR 7621, F-66650 Banyuls Sur Mer, France; [Delille, Daniel; Rodriguez-Blanco, Arturo; Ghiglione, Jean-Francois] CNRS, UMR7621, Lab Oceanog Biol Banyuls, F-66650 Banyuls Sur Mer, France; [Pelletier, Emilien] Univ Quebec, Inst Sci Mer Rimouski, Rimouski, PQ G5L 3A1, Canada</t>
  </si>
  <si>
    <t>Centre National de la Recherche Scientifique (CNRS); CNRS - National Institute for Earth Sciences &amp; Astronomy (INSU); Sorbonne Universite; Sorbonne Universite; Centre National de la Recherche Scientifique (CNRS); CNRS - National Institute for Earth Sciences &amp; Astronomy (INSU); University of Quebec</t>
  </si>
  <si>
    <t>Delille, D (corresponding author), Univ Paris 06, UPMC, Lab Arago, UMR 7621, Ave Fontaule,BP 44, F-66650 Banyuls Sur Mer, France.</t>
  </si>
  <si>
    <t>daniel.delille@obs-banyuls.fr</t>
  </si>
  <si>
    <t>Daniel, Delille/S-9542-2019; Rodriguez-Blanco, Arturo/G-2622-2010; Ghiglione, Jean-Francois JF/A-7540-2011</t>
  </si>
  <si>
    <t>Institut Francais pour la Recherche et la Technologie Polaires; Canadian Research Chair in marine ecotoxicology</t>
  </si>
  <si>
    <t>This research was supported by the Institut Francais pour la Recherche et la Technologie Polaires and the Canadian Research Chair in marine ecotoxicology (E.P).</t>
  </si>
  <si>
    <t>10.1007/s00300-009-0652-z</t>
  </si>
  <si>
    <t>WOS:000270187100012</t>
  </si>
  <si>
    <t>Yu, Y; Li, HR; Zeng, YX; Chen, B</t>
  </si>
  <si>
    <t>Yu, Yong; Li, Huirong; Zeng, Yinxin; Chen, Bo</t>
  </si>
  <si>
    <t>Extracellular enzymes of cold-adapted bacteria from Arctic sea ice, Canada Basin</t>
  </si>
  <si>
    <t>Extracellular enzymes; Psychrophilic; Psychrotolerant; Cold-active lipase; Sea ice; Arctic</t>
  </si>
  <si>
    <t>RIBOSOMAL-RNA; DIVERSITY; EXOPOLYSACCHARIDES; COMMUNITIES; HABITAT; NOV.</t>
  </si>
  <si>
    <t>A total of 338 aerobic heterotrophic bacterial strains were isolated from Arctic sea ice, Canada Basin (77A degrees 30'N-80A degrees 12'N). The capability of the isolates to produce protease, lipase, amylase, chitinase, beta-galactosidase, cellulase and/or agarase was investigated. Isolates that were able to degrade tributyrin, skim milk, starch, lactose and chitin accounted for 71.6, 65.7, 38.5, 31.6 and 16.9% of sea ice strains, respectively. Lipase producers and/or protease producers were phylogenetically widespread among the isolated strains. Starch and/or lactose hydrolytic strains were mainly distributed among Colwellia, Marinomonas, Pseudoalteromonas, Pseudomonas and Shewanella isolates. Pseudoalteromonas tetraodonis, Pseudoalteromonas elyakovii, Bacillus firmus and Janibacter melonis isolates all have the ability to degrade chitin. Only some strains belonging to Pseudoalteromonas genus scored positive for agarase (6) and cellulose (9). The temperature dependences for lipase activities were determined for five psychrophilic and six psychrotolerant bacteria. At low temperatures, the psychrophilic bacterial lipase activity was not significantly higher than psychrotolerant bacterial lipase, though all lipases showed remarkably high activity with 10-36% residual activity at 0A degrees C.</t>
  </si>
  <si>
    <t>[Yu, Yong; Li, Huirong; Zeng, Yinxin; Chen, Bo] Polar Res Inst China, Key Lab Polar Sci, SOA, Shanghai 200136, Peoples R China</t>
  </si>
  <si>
    <t>Polar Research Institute of China</t>
  </si>
  <si>
    <t>Yu, Y (corresponding author), Polar Res Inst China, Key Lab Polar Sci, SOA, Shanghai 200136, Peoples R China.</t>
  </si>
  <si>
    <t>yuyong@pric.gov.cn</t>
  </si>
  <si>
    <t>National Key Technology R&amp;D Program of China [2006BAB18B07]; National Basic Research Program of China [2004CB719601]; National Natural Science Foundation of China [30500001, 40676002]; National Infrastructure of Natural Resources for Science and Technology [2005DKA21209]</t>
  </si>
  <si>
    <t>National Key Technology R&amp;D Program of China(National Key Technology R&amp;D Program); National Basic Research Program of China(National Basic Research Program of China); National Natural Science Foundation of China(National Natural Science Foundation of China (NSFC)); National Infrastructure of Natural Resources for Science and Technology</t>
  </si>
  <si>
    <t>We thank Qing Ji, Ming-Hong Cai, Wei Luo, and Jian-Feng He for their help during the different stages of this research. We thank Mr. Leif Fossheim and Professor Xiaohua Zhang for their improvement on English writing. We thank the reviewers and editors who contributed their efforts to this paper. We also thank the Chinese Arctic and Antarctic Administration (CAA) who supports the Weld work of this research. This research was supported by the National Key Technology R&amp;D Program of China (2006BAB18B07) the National Basic Research Program of China (2004CB719601), the National Natural Science Foundation of China (30500001, 40676002) and the National Infrastructure of Natural Resources for Science and Technology Program of China (No. 2005DKA21209).</t>
  </si>
  <si>
    <t>10.1007/s00300-009-0654-x</t>
  </si>
  <si>
    <t>WOS:000270187100014</t>
  </si>
  <si>
    <t>Wienecke, B</t>
  </si>
  <si>
    <t>Wienecke, Barbara</t>
  </si>
  <si>
    <t>Emperor penguin colonies in the Australian Antarctic Territory: how many are there?</t>
  </si>
  <si>
    <t>POLAR RECORD</t>
  </si>
  <si>
    <t>APTENODYTES-FORSTERI; COAST; MOLT</t>
  </si>
  <si>
    <t>Emperor penguins Aptenodytes forsteri are endemic to Antarctica. Their breeding colonies are located in the coastal areas of the continent. The precise number of breeding locations is uncertain. This paper examines what is known about the colonies in the Australian Antarctic Territory and examines which colonies are without doubt breeding locations and which ones require further examination in order to determine their existence and status. Several colonies have not been seen since they were first reported. This begs the question of whether the reported sightings were indeed of breeding colonies. Given the extent of uncertainty with regard to the number of colonies, it is suggested that the listing of the species by the International Union for the Conservation of Nature be changed from 'of least concern' to 'data deficient'.</t>
  </si>
  <si>
    <t>Australian Antarctic Div, Kingston, Tas 7050, Australia</t>
  </si>
  <si>
    <t>Wienecke, B (corresponding author), Australian Antarctic Div, 203 Channel Highway, Kingston, Tas 7050, Australia.</t>
  </si>
  <si>
    <t>Barbara.Wienecke@aad.gov.au</t>
  </si>
  <si>
    <t>0032-2474</t>
  </si>
  <si>
    <t>POLAR REC</t>
  </si>
  <si>
    <t>POLAR REC.</t>
  </si>
  <si>
    <t>10.1017/S0032247409008341</t>
  </si>
  <si>
    <t>499HI</t>
  </si>
  <si>
    <t>WOS:000270208700002</t>
  </si>
  <si>
    <t>Elzinga, A</t>
  </si>
  <si>
    <t>Elzinga, Aant</t>
  </si>
  <si>
    <t>Through the lens of the polar years: changing characteristics of polar research in historical perspective</t>
  </si>
  <si>
    <t>INTERNATIONAL GEOPHYSICAL YEAR; RADIO EXPLORATION; IONOSPHERE; METEOROLOGY; HYPOTHESES; ANTARCTICA; STANDARDS; REGIONS</t>
  </si>
  <si>
    <t>The four polar years are used as windows for highlighting changes in the character of polar research over the past 125 years. The approach taken may be seen as one of an archaeology of knowledge. As such it fixes on four separate strata in the history of science and seeks to lay bare distinctive features in each of these. To simplify, the focus is selective, mainly presenting three types of aspect for each year. The first is the character of the instruments and research technologies employed in each, and the second is the kinds of problems tackled, while the third is the associated view or ideal of science that stands out. The latter aspect has to do with epistemology. The paper suggests that whereas work during the first International Polar Year (IPY) reflected an empirical inductivist philosophy of science, during the second IPY a mix of problem oriented, and hypothesis driven, approaches existed alongside inductivism. By the time of the International Geophysical Year (IGY) the theoretical foundations of polar research had grown stronger and much of the focus had shifted to larger scale geophysical processes. Finally, today's ambition to develop an integrated Earth system science reflects an ideal that is systemic, constructivist and predictive. Such epistemological features are evident in some of the most advanced forms of computer aided analysis of Arctic and Antarctic processes, as well as in visualisation methodologies used to interpret and present data, concepts, models and theories. This latest approach is evident in some of the planning and agenda setting documents generated under the auspices of the current IPY.</t>
  </si>
  <si>
    <t>Univ Gothenburg, Dept Hist Ideas &amp; Theory Sci, Gothenburg, Sweden</t>
  </si>
  <si>
    <t>Elzinga, A (corresponding author), Univ Gothenburg, Dept Hist Ideas &amp; Theory Sci, Gothenburg, Sweden.</t>
  </si>
  <si>
    <t>aant.elzinga@theorysc.gu.se</t>
  </si>
  <si>
    <t>1475-3057</t>
  </si>
  <si>
    <t>10.1017/S0032247409008316</t>
  </si>
  <si>
    <t>WOS:000270208700003</t>
  </si>
  <si>
    <t>Barrett, ND</t>
  </si>
  <si>
    <t>Barrett, Noel D.</t>
  </si>
  <si>
    <t>Norway and the 'winning' of Australian Antarctica</t>
  </si>
  <si>
    <t>EXPEDITION</t>
  </si>
  <si>
    <t>Enquiries by Norwegian whalers precipitated the British annexation of the Falkland Island Dependencies and the Ross Dependency. Seeking territory free of British control, Lars Christensen's Norwegian whalers claimed Bouvet Island, which the British believed was theirs. Realisation of the economic value of whaling led Leopold Amery, of the British colonial office to develop Britain's Antarctic domination policy. In pursuit of this policy, the 1926 Imperial Conference formulated a process to claim a sector of Antarctica for Australia. A.G. Price's The Winning of Australian Antarctica describes the role of the Mawson led BANZARE in this process. To gain title to Bouvet Island, the Norwegian Government, dependant on friendly relations with Britain, agreed not to claim territory listed by the Imperial Conference as of 'special interest' to Britain. Claims made by whalers who had mapped and named territory in the unlisted area between Kemp and Queen Mary Lands were rejected by the Norwegian prime minister. Following the 1933 Order in Council establishing the Australian Antarctic Territory, Norway raised concerns that the territory included Haakon VII Vidde (polar plateau) and the parts of Dronning (Queen) Maud Land that had been mapped and discovered by Norwegians. Price's contention that Australian Antarctica was 'won' is questionable.</t>
  </si>
  <si>
    <t>Univ Tasmania, Inst Antarctic &amp; So Ocean Studies, Hobart, Tas 7001, Australia</t>
  </si>
  <si>
    <t>University of Tasmania</t>
  </si>
  <si>
    <t>Barrett, ND (corresponding author), Univ Tasmania, Inst Antarctic &amp; So Ocean Studies, Private Bag 77, Hobart, Tas 7001, Australia.</t>
  </si>
  <si>
    <t>nbarrett@utas.edu.au</t>
  </si>
  <si>
    <t>10.1017/S0032247409008328</t>
  </si>
  <si>
    <t>WOS:000270208700006</t>
  </si>
  <si>
    <t>Southwell, C; Smith, D; Bender, A</t>
  </si>
  <si>
    <t>Southwell, Colin; Smith, David; Bender, Angela</t>
  </si>
  <si>
    <t>Incomplete search effort: a potential source of bias in estimates of Adelie penguin breeding populations in the Australian Antarctic Territory</t>
  </si>
  <si>
    <t>EAST ANTARCTICA; ENDERBY LAND; ROOKERIES; ISLANDS</t>
  </si>
  <si>
    <t>Potential Adelie penguin Pygoscelis adeliae breeding habitat in the Australian Antarctic Territory (AAT: 45 degrees E-136 degrees E, 142 degrees E-160 degrees E) was mapped using a geographic information system (GIS), and the literature reviewed for evidence of the mapped habitat being searched for presence or absence of breeding Adelie penguins. It is concluded that incomplete search effort is a possible source of substantial negative bias of Adelie penguin breeding abundance derived from published count data in some regions of the AAT. The extent of search effort in other regions of Antarctica could be determined using the same approach applied here, because GIS data required for mapping potential habitat are available for the entire continent. We would expect that regions with more scientific and tourist activity, such as the Antarctic Peninsula, are likely to have greater search effort than the AAT.</t>
  </si>
  <si>
    <t>[Southwell, Colin; Smith, David; Bender, Angela] Australian Antarctic Div, Dept Environm Water Heritage &amp; Arts, Kingston, Tas 7050, Australia</t>
  </si>
  <si>
    <t>Southwell, C (corresponding author), Australian Antarctic Div, Dept Environm Water Heritage &amp; Arts, Channel Highway, Kingston, Tas 7050, Australia.</t>
  </si>
  <si>
    <t>Colin.Southwell@aad.gov.au</t>
  </si>
  <si>
    <t>10.1017/S0032247409008444</t>
  </si>
  <si>
    <t>WOS:000270208700008</t>
  </si>
  <si>
    <t>Bulkeley, R</t>
  </si>
  <si>
    <t>Bulkeley, Rip</t>
  </si>
  <si>
    <t>Politics at the first Comite Special de l'Annee Geophysique Internationale (CSAGI) Antarctic conference</t>
  </si>
  <si>
    <t>At the first Comite Special de l'Annee Geophysique Internationale (CSAGI) Antarctic conference, held in July 1955, the opening remarks of its president, supported by a resolution proposed by the Chilean Ambassador and passed unanimously, stipulated that the meeting was not to be concerned with political matters and that its purposes were exclusively scientific. Those guidelines were not entirely successful. The Chilean resolution was itself a political move, and delegates reported that the meeting was repeatedly disturbed by further political interventions. The conference was nevertheless significant because it was the first time that representatives of eleven countries ever attended such a meeting, thus ensuring that the International Geophysical Year would mark a new phase in international relations respecting Antarctica.</t>
  </si>
  <si>
    <t>Bulkeley, R (corresponding author), 38 Lonsdale Rd, Oxford OX2 7EW, England.</t>
  </si>
  <si>
    <t>rip@igy50.net</t>
  </si>
  <si>
    <t>10.1017/S0032247409008468</t>
  </si>
  <si>
    <t>WOS:000270208700009</t>
  </si>
  <si>
    <t>Wan, XF; Fan, JT; Wu, HJ</t>
  </si>
  <si>
    <t>Wan, Xianfu; Fan, Jintu; Wu, Huijun</t>
  </si>
  <si>
    <t>Measurement of thermal radiative properties of penguin down and other fibrous materials using FTIR</t>
  </si>
  <si>
    <t>POLYMER TESTING</t>
  </si>
  <si>
    <t>Penguin down; Thermal radiative properties; FTIR; Fibrous insulation; Measurement</t>
  </si>
  <si>
    <t>HEAT-TRANSFER; POLYOLEFIN FOAMS; INSULATION; CONDUCTIVITY; TEMPERATURE; FEATHERS</t>
  </si>
  <si>
    <t>Penguins live in the extremely cold Antarctic. Understanding the thermal radiative properties of penguin down may help LIS to develop super insulating materials. In this study, Fourier transform infrared spectroscopy (FTIR) was applied to measure the thermal radiative properties of penguin down and compare them with those of other fibrous materials. It was found that penguin and duck down are superior to other fibrous materials, such as polyester, Thinsulate and wool, at the same fibre volume fraction, in shielding the radiative heat transmission, largely due to their fine fibre diameter. There is an optimum fibre diameter at which the fibrous materials are at their best in blocking thermal radiation. The fibre diameter of penguin down is very close to this optimum value. The study further found that the relationship between the effective thermal radiative conductivity and fibre fineness may be better fitted with a quadratic curve. (C) 2009 Elsevier Ltd. All rights reserved.</t>
  </si>
  <si>
    <t>[Wan, Xianfu; Fan, Jintu; Wu, Huijun] Hong Kong Polytech Univ, Inst Text &amp; Clothing, Kowloon, Hong Kong, Peoples R China</t>
  </si>
  <si>
    <t>Hong Kong Polytechnic University</t>
  </si>
  <si>
    <t>Fan, JT (corresponding author), Hong Kong Polytech Univ, Inst Text &amp; Clothing, Kowloon, Hong Kong, Peoples R China.</t>
  </si>
  <si>
    <t>tcfanjt@inet.polyu.edu.hk</t>
  </si>
  <si>
    <t>Wu, Huijun/E-9755-2012</t>
  </si>
  <si>
    <t>Fan, Jintu/0000-0002-7130-0081</t>
  </si>
  <si>
    <t>Hong Kong Polytechnic University [G-U388]</t>
  </si>
  <si>
    <t>Hong Kong Polytechnic University(Hong Kong Polytechnic University)</t>
  </si>
  <si>
    <t>We would like to thank the support of Hong Kong Polytechnic University through the funding of the project: G-U388.</t>
  </si>
  <si>
    <t>0142-9418</t>
  </si>
  <si>
    <t>1873-2348</t>
  </si>
  <si>
    <t>POLYM TEST</t>
  </si>
  <si>
    <t>Polym. Test</t>
  </si>
  <si>
    <t>10.1016/j.polymertesting.2009.04.007</t>
  </si>
  <si>
    <t>Materials Science, Characterization &amp; Testing; Polymer Science</t>
  </si>
  <si>
    <t>Materials Science; Polymer Science</t>
  </si>
  <si>
    <t>498EY</t>
  </si>
  <si>
    <t>WOS:000270121200002</t>
  </si>
  <si>
    <t>Liu, XC; Hu, JM; Zhao, Y; Lou, YX; Wei, CJ; Liu, XH</t>
  </si>
  <si>
    <t>Liu, Xiaochun; Hu, Jianmin; Zhao, Yue; Lou, Yuxing; Wei, Chunjing; Liu, Xiaohan</t>
  </si>
  <si>
    <t>Late Neoproterozoic/Cambrian high-pressure mafic granulites from the Grove Mountains, East Antarctica: P-T-t path, collisional orogeny and implications for assembly of East Gondwana</t>
  </si>
  <si>
    <t>PRECAMBRIAN RESEARCH</t>
  </si>
  <si>
    <t>East Antarctica; Prydz Belt; Late Neoproterozoic/Cambrian; HP mafic granulite; Collisional orogeny</t>
  </si>
  <si>
    <t>PRINCE-CHARLES MOUNTAINS; MINERAL EQUILIBRIA CALCULATIONS; PRYDZ-BAY; RAUER-GROUP; U-PB; LARSEMANN HILLS; POLYMETAMORPHIC TERRANE; METAPELITIC GRANULITES; METASEDIMENTARY ROCKS; CONTINENTAL COLLISION</t>
  </si>
  <si>
    <t>The Grove Mountains are an inland continuation of the Late Neoproterozoic/Cambrian Prydz Belt of East Antarctica. In this paper we report high-pressure (HP) mafic granulites that occur in glacial moraines from this area. Petrographical textures, mineral compositions and P-T pseudosection calculations in the system NCFMASHTO (Na2O-CaO-FeO-MgO-Al2O3-SiO2-H2O-TiO2-Fe2O3) suggest that the HP mafic granulites record peak P-T conditions of 11.8-14.0 kbar and 770-840 degrees C. The post-peak evolution of these rocks involved near-isothermal decompression of ca. 6 kbar followed by a greenschist facies overprint. SHRIMP U-Pb zircon dating, coupled with the identification of mineral inclusion assemblage in zircons, reveals HP metamorphism occurred at ca. 545 Ma and subsequent retrograde reactions involving near-isothermal decompression at ca. 530 Ma. Garnet-clinopyroxene-whole-rock Sm-Nd isotopic analyses also yield Cambrian 'isochron' ages. This reflects collision at a convergent plate margin followed by extensional exhumation as the orogen collapsed during Late Neoproterozoic/Cambrian orogeny. Therefore, the occurrence of HP mafic granulites from the Grove Mountains provides evidence for a collisional tectonic setting for the Prydz Belt, which supports the notion that East Gondwana was not finally assembled until the Cambrian. (C) 2009 Elsevier B.V. All rights reserved.</t>
  </si>
  <si>
    <t>[Liu, Xiaochun; Hu, Jianmin; Zhao, Yue] Chinese Acad Geol Sci, Inst Geomech, Beijing 100081, Peoples R China; [Lou, Yuxing; Wei, Chunjing] Peking Univ, Sch Earth &amp; Space Sci, Beijing 100871, Peoples R China; [Liu, Xiaohan] Chinese Acad Sci, Inst Tibetan Plateau Res, Beijing 100085, Peoples R China</t>
  </si>
  <si>
    <t>China Geological Survey; Institute of Geomechanics, Chinese Academy of Geological Sciences; Chinese Academy of Geological Sciences; Peking University; Chinese Academy of Sciences; Institute of Tibetan Plateau Research, CAS</t>
  </si>
  <si>
    <t>Liu, XC (corresponding author), Chinese Acad Geol Sci, Inst Geomech, 11 Minzudaxue Nanlu, Beijing 100081, Peoples R China.</t>
  </si>
  <si>
    <t>liuxchqw@yahoo.com.cn</t>
  </si>
  <si>
    <t>Zhao, Yue/K-3287-2012</t>
  </si>
  <si>
    <t>Geological Investigation Project of the Chinese Geological Survey [1212010511505, 1212010711509]; National Natural Science Foundation of China [40872052, 40872135]; National Key Technology R D Program [2006BAB18B08]</t>
  </si>
  <si>
    <t>Geological Investigation Project of the Chinese Geological Survey; National Natural Science Foundation of China(National Natural Science Foundation of China (NSFC)); National Key Technology R D Program(National Key Technology R&amp;D Program)</t>
  </si>
  <si>
    <t>We appreciate the constructive comments and suggestions of A.P. Nutman, S.L. Harley and M. Santosh on an earlier draft of the manuscript. S.L. Harley helps us to calculate the end-members of clinopyroxene. Critical reviews by S.D. Boger and S.L. Harley substantially improved the manuscript. The field work was carried out during the 2005-2006 Chinese National Antarctic Research Expedition. This research was supported by the Geological Investigation Project of the Chinese Geological Survey (Nos. 1212010511505 and 1212010711509), the National Natural Science Foundation of China (Nos. 40872052 and 40872135) and the National Key Technology R &amp; D Program (No. 2006BAB18B08).</t>
  </si>
  <si>
    <t>0301-9268</t>
  </si>
  <si>
    <t>1872-7433</t>
  </si>
  <si>
    <t>PRECAMBRIAN RES</t>
  </si>
  <si>
    <t>Precambrian Res.</t>
  </si>
  <si>
    <t>10.1016/j.precamres.2009.07.001</t>
  </si>
  <si>
    <t>513ZM</t>
  </si>
  <si>
    <t>WOS:000271362800012</t>
  </si>
  <si>
    <t>Auel, H; Ekau, W</t>
  </si>
  <si>
    <t>Auel, Holger; Ekau, Werner</t>
  </si>
  <si>
    <t>Distribution and respiration of the high-latitude pelagic amphipod Themisto gaudichaudi in the Benguela Current in relation to upwelling</t>
  </si>
  <si>
    <t>PROGRESS IN OCEANOGRAPHY</t>
  </si>
  <si>
    <t>HYPERIID AMPHIPOD; LIFE-HISTORY; SEABIRDS; METABOLISM; LIBELLULA; SUMMER; DIET; CRUSTACEA; PATTERNS; JAPONICA</t>
  </si>
  <si>
    <t>The cold and highly productive waters of coastal upwelling areas provide habitats for marine species usually occurring at higher latitudes and allow those species to extend their distribution ranges towards the equator into regions otherwise characterised by warm and oligotrophic sub-tropical waters. The pelagic hyperiid amphipod Themisto gaudichaudi has a circum-Antarctic epipelagic distribution pattern generally south of 35 degrees S and plays an important role in Antarctic food webs as effective link from zooplankton secondary production to higher trophic levels including seabirds and marine mammals. In the cold and productive waters of the Benguela Current coastal upwelling system, the distribution range of the species extents far northward into the subtropics. The present study focuses on the distribution of T gaudichaudi at the northernmost limit of its range in the Benguela upwelling system in relation to upwelling intensity and hydrographic conditions (sea surface temperature) based on time-series data from 2002 to 2008. Moreover, field data on life-history traits and respiration rates in relation to water temperature are combined to elucidate the environmental and physiological factors limiting the distribution range. Compared to Themisto populations from higher latitudes, the relatively higher water temperatures in the coastal upwelling region lead to higher respiration rates, faster growth, earlier sexual maturity and smaller body size. (C) 2009 Elsevier Ltd. All rights reserved.</t>
  </si>
  <si>
    <t>[Auel, Holger] Univ Bremen, Marine Zool FB 2, D-28334 Bremen, Germany; [Ekau, Werner] Ctr Trop Marine Ecol ZMT, D-28359 Bremen, Germany</t>
  </si>
  <si>
    <t>University of Bremen; Leibniz Zentrum fur Marine Tropenforschung (ZMT)</t>
  </si>
  <si>
    <t>Auel, H (corresponding author), Univ Bremen, Marine Zool FB 2, POB 330440, D-28334 Bremen, Germany.</t>
  </si>
  <si>
    <t>hauel@uni-bremen.de; wekau@zmt-bremen.de</t>
  </si>
  <si>
    <t>0079-6611</t>
  </si>
  <si>
    <t>PROG OCEANOGR</t>
  </si>
  <si>
    <t>Prog. Oceanogr.</t>
  </si>
  <si>
    <t>10.1016/j.pocean.2009.07.040</t>
  </si>
  <si>
    <t>539GO</t>
  </si>
  <si>
    <t>WOS:000273242100022</t>
  </si>
  <si>
    <t>Renfrew, IA; Outten, SD; Moore, GWK</t>
  </si>
  <si>
    <t>Renfrew, I. A.; Outten, S. D.; Moore, G. W. K.</t>
  </si>
  <si>
    <t>An easterly tip jet off Cape Farewell, Greenland. I: Aircraft observations</t>
  </si>
  <si>
    <t>QUARTERLY JOURNAL OF THE ROYAL METEOROLOGICAL SOCIETY</t>
  </si>
  <si>
    <t>Greenland Flow Distortion experiment (GFDex); barrier wind; topographic flow</t>
  </si>
  <si>
    <t>IRMINGER SEA; ANTARCTIC PENINSULA; WIND DIRECTION; BARRIER WINDS; FLOW; CONVECTION; MOUNTAINS</t>
  </si>
  <si>
    <t>An easterly tip jet event off Cape Farewell, Greenland, is described and analysed in considerable detail. In Part I of this study (this paper) comprehensive aircraft-based observations are described, while in Part II of this study numerical simulations and a dynamical analysis are presented. The easterly tip jet of 21 February 2007 took place during the Greenland Flow Distortion experiment. It resulted through the interaction of a barotropic synoptic-scale low pressure system in the central North Atlantic and the high topography Of Southern Greenland. hi situ observations reveal a jet core at the coast with peak winds of almost 50 m s(-1), about 100-800 m above the sea surface, and of 30 m s(-1) at 10 m. The depth of the jet increased with wind speed from similar to 1500 m to similar to 2500 m as the peak winds increased front 30 to 50 in s-1. The jet accelerated and curved anticyclonically as it reached Cape Farewell and the end of the barrier. The easterly tip jet was associated with a tongue of cold and dry air along the coast Of Southeast Greenland, general cloud cover to the east. and cloud streets to the south of Cape Farewell. Precipitation was observed during the low-level components of the flight. The very high wind speeds generated a highly turbulent atmospheric boundary layer and resulted in some of the highest surface wind stresses ever observed over the ocean. Copyright (C) 2009 Royal Meteorological Society</t>
  </si>
  <si>
    <t>[Renfrew, I. A.; Outten, S. D.] Univ E Anglia, Sch Environm Sci, Norwich NR4 7TJ, Norfolk, England; [Moore, G. W. K.] Univ Toronto, Dept Phys, Toronto, ON M5S 1A1, Canada</t>
  </si>
  <si>
    <t>University of East Anglia; University of Toronto</t>
  </si>
  <si>
    <t>Renfrew, IA (corresponding author), Univ E Anglia, Sch Environm Sci, Norwich NR4 7TJ, Norfolk, England.</t>
  </si>
  <si>
    <t>i.renfrew@uea.ac.uk</t>
  </si>
  <si>
    <t>Renfrew, Ian A/E-4057-2010; Moore, George Kent/D-8518-2011</t>
  </si>
  <si>
    <t>Moore, George Kent/0000-0002-3986-5605; Outten, Stephen/0000-0002-4883-611X; Renfrew, Ian/0000-0001-9379-8215</t>
  </si>
  <si>
    <t>Natural Environment Research Council [NE/C003365/1] Funding Source: researchfish</t>
  </si>
  <si>
    <t>0035-9009</t>
  </si>
  <si>
    <t>1477-870X</t>
  </si>
  <si>
    <t>Q J ROY METEOR SOC</t>
  </si>
  <si>
    <t>Q. J. R. Meteorol. Soc.</t>
  </si>
  <si>
    <t>B</t>
  </si>
  <si>
    <t>10.1002/qj.513</t>
  </si>
  <si>
    <t>543KF</t>
  </si>
  <si>
    <t>WOS:000273575200002</t>
  </si>
  <si>
    <t>Petersen, GN; Renfrew, IA; Moore, GWK</t>
  </si>
  <si>
    <t>Petersen, G. N.; Renfrew, I. A.; Moore, G. W. K.</t>
  </si>
  <si>
    <t>An overview of barrier winds off southeastern Greenland during the Greenland Flow Distortion experiment</t>
  </si>
  <si>
    <t>Greenland Flow Distortion experiment; Barrier flow; FAAM; observations; orographic flow; MetUM</t>
  </si>
  <si>
    <t>LAYER MIXING SCHEME; AIR-SEA INTERACTION; LABRADOR-SEA; ANTARCTIC PENINSULA; IRMINGER SEA; WEDDELL SEA; ICE-SHEET; TIP JET; CLIMATOLOGY; MOUNTAINS</t>
  </si>
  <si>
    <t>During the Greenland Flow Distortion experiment, barrier flow was observed by an instrumented aircraft on 1, 2, 5 and 6 March 2007 off southeastern Greenland. During this time period the barrier flow increased from a narrow jet, similar to 15 m s(-1), to a jet filling almost the whole of the Denmark Strait with maximum wind speed exceeding 40 m s(-1). Dropsonde observations show that the barrier flow was capped by a sharp temperature inversion below mountain height. Below the inversion was a cold and dry jet, with a larger northerly wind component than that of the flow above, which was also warmer and more moist. Thus, the observations indicate two air masses below mountain height: a cold and dry barrier jet of northern origin and, above this, a warmer and moister air mass that was of cyclonic origin. Numerical simulations emphasize the non-stationarity of the Greenland barrier flow and its dependence on the synoptic situation in the Greenland-Iceland region. They show that the barrier jet originated north of the Denmark Strait and was drawn southward by a synoptic-scale cyclone, with the strength and location of the maximum winds highly dependent on the location of the cyclone relative to the orography of Greenland. Experiments without Greenland's orography suggest a similar to 20 m s(-1) enhancement of the low-level peak wind speeds due to the presence of the barrier. Thus, the Greenland barrier flows are not classic geostrophically balanced barrier flows but have a significant ageostrophic component and are precisely controlled by synoptic-scale systems. Copyright (C) 2009 Royal Meteorological Society</t>
  </si>
  <si>
    <t>[Petersen, G. N.; Renfrew, I. A.] Univ E Anglia, Sch Environm Sci, Norwich NR4 7TJ, Norfolk, England; [Moore, G. W. K.] Univ Toronto, Dept Phys, Toronto, ON M5S 1A1, Canada</t>
  </si>
  <si>
    <t>Petersen, GN (corresponding author), Univ E Anglia, Sch Environm Sci, Norwich NR4 7TJ, Norfolk, England.</t>
  </si>
  <si>
    <t>gnp@vedur.is</t>
  </si>
  <si>
    <t>Moore, George Kent/D-8518-2011; Petersen, Guðrún Nína/AAY-6282-2021; Renfrew, Ian A/E-4057-2010; Petersen, Gudrun Nina/AAD-3619-2020</t>
  </si>
  <si>
    <t>Moore, George Kent/0000-0002-3986-5605; Petersen, Guðrún Nína/0000-0003-0214-7324; Petersen, Gudrun Nina/0000-0003-0214-7324; Renfrew, Ian/0000-0001-9379-8215</t>
  </si>
  <si>
    <t>10.1002/qj.455</t>
  </si>
  <si>
    <t>WOS:000273575200004</t>
  </si>
  <si>
    <t>Moorthy, KK; Nair, VS; Babu, SS; Satheesh, SK</t>
  </si>
  <si>
    <t>Moorthy, K. Krishna; Nair, Vijayakumar S.; Babu, S. Suresh; Satheesh, S. K.</t>
  </si>
  <si>
    <t>Spatial and vertical heterogeneities in aerosol properties over oceanic regions around India: Implications for radiative forcing</t>
  </si>
  <si>
    <t>ICARB; elevated aerosol layers; aerosol heating rate; Arabian Sea and Bay of Bengal aerosols</t>
  </si>
  <si>
    <t>ARABIAN SEA; PENINSULAR INDIA; OPTICAL DEPTHS; INDOEX; 3-WAVELENGTH; MONSOON; BENGAL; BAY</t>
  </si>
  <si>
    <t>The influence of atmospheric aerosols on Earth's radiation budget and hence climate, though well recognized and extensively investigated in recent years, remains largely uncertain mainly because of the large spatio-temporal heterogeneity and the lack of data with adequate resolution. To characterize this diversity, a major multi-platform field campaign ICARB (Integrated Campaign for Aerosols, gases and Radiation Budget) was carried out during the pre-monsoon period of 2006 over the Indian landmass and surrounding oceans, which was the biggest such campaign ever conducted over this region. Based on the extensive and concurrent measurements of the optical and physical properties of atmospheric aerosols during ICARB, the spatial distribution of aerosol radiative forcing was estimated over the entire Bay of Bengal (BoB), northern Indian Ocean and Arabian Sea (AS) as well as large spatial variations within these regions. Besides being considerably lower than the mean values reported earlier for this region, our studies have revealed large differences in the forcing components between the BoB and the AS. While the regionally averaged aerosol-induced atmospheric forcing efficiency was 31 +/- 6 W m(-2) tau(-1) for the BoB, it was only similar to 18 +/- 7 W m(-2) tau(-1) for the AS. Airborne measurements revealed the presence of strong, elevated aerosol layers even over the oceans, leading to vertical structures in the atmospheric forcing, resulting in significant warming in the lower troposphere. These observations suggest serious climate implications and raise issues ranging from the impact of aerosols on vertical thermal structure of the atmospheric and hence cloud formation processes to monsoon circulation. Copyright (C) 2009 Royal Meteorological Society</t>
  </si>
  <si>
    <t>[Moorthy, K. Krishna; Nair, Vijayakumar S.; Babu, S. Suresh] Vikram Sarabhai Space Ctr, Space Phys Lab, Trivandrum 695022, Kerala, India; [Satheesh, S. K.] Indian Inst Sci, Ctr Atmospher &amp; Ocean Sci, Bangalore 560012, Karnataka, India; [Satheesh, S. K.] Indian Inst Sci, Divecha Ctr Climate Change, Bangalore 560012, Karnataka, India</t>
  </si>
  <si>
    <t>Department of Space (DoS), Government of India; Indian Space Research Organisation (ISRO); Vikram Sarabhai Space Center (VSSC); Indian Institute of Science (IISC) - Bangalore; Indian Institute of Science (IISC) - Bangalore</t>
  </si>
  <si>
    <t>Moorthy, KK (corresponding author), Vikram Sarabhai Space Ctr, Space Phys Lab, Trivandrum 695022, Kerala, India.</t>
  </si>
  <si>
    <t>krishnamoorthy_k@vssc.gov.in</t>
  </si>
  <si>
    <t>MOORTHY, KRISHNA/AAG-6807-2019</t>
  </si>
  <si>
    <t>Moorthy, K. Krishna/0000-0002-7234-3868</t>
  </si>
  <si>
    <t>NRSC</t>
  </si>
  <si>
    <t>The ICARB campaign was an outcome of the untiring efforts of the Geosphere Biosphere Programme of the Indian Space Research Organization. We are thankful to G. Madhavan Nair, for facilitating the ICARB, and V. Jayaraman, C.B.S. Dutt and R. Sridharan for the programmatic support. We acknowledge Rasik Ravindra, and M. Sudhakar and his team of the National Centre for Antarctic and Ocean Studies for the shipboard facilities; the Director, NRSC and the aircraft team headed by K. Kalyanaraman, and V. Raghu Venkataraman for support for the aircraft measurements. We acknowledge Raechal Chacko, Naseema Beegum and Marina Aloysius for helping with the onboard data collection and Santhosh Kr. Pandey and V. Vinoj for providing the measurements over the island stations.</t>
  </si>
  <si>
    <t>10.1002/qj.525</t>
  </si>
  <si>
    <t>WOS:000273575200016</t>
  </si>
  <si>
    <t>Gale, SJ</t>
  </si>
  <si>
    <t>Gale, S. J.</t>
  </si>
  <si>
    <t>Event chronostratigraphy: A high-resolution tool for dating the recent past</t>
  </si>
  <si>
    <t>QUATERNARY GEOCHRONOLOGY</t>
  </si>
  <si>
    <t>Event stratigraphy; Recent past; Lead-210; Cesium-137; Lead pollution; Discus rotundatus; Megaloceros giganteus; Extinction markers; Tasmanian tiger</t>
  </si>
  <si>
    <t>LAKE-SEDIMENTS; ANTARCTIC SNOW; KAHAROA TEPHRA; HOLOCENE TUFA; VOLCANIC ASH; LEAD; MOLLUSCAN; RECORD; BIOSTRATIGRAPHY; HISTORY</t>
  </si>
  <si>
    <t>The most recent part of the geological timescale presents us with some of the greatest challenges for dating. With the exception of Th-230/U-234 methods, whose use is restricted to rather specific depositional environments, there is no established geochronometric tool capable of dating more than a fraction of the recent past at a resolution adequate to tackle the environmental issues of this period. Event stratigraphy, the investigation of comparatively rare and abrupt occurrences that leave some trace in the stratigraphic record, has been widely employed as a means of correlation and dating of older geological strata. Yet this approach has frequently been overlooked in efforts to establish chronologies of the recent past It is ironic, therefore, that because of the acceleration of human activity, stratigraphic events have almost certainly occurred with greater frequency over the last few centuries than at any preceding time in Earth history. Because the history of human-induced events is usually well-established, the markers of such events have immense chronostratigraphic value. They may be employed in circumstances in which radiometric techniques may not be suitable, and may offer higher-resolution dates than those associated with conventional dating methods. Dated event horizons may also provide the essential means by which to validate geochronometric analyses of the recent past. Event markers may be divided into those that produce discontinuities in the rock record and those (of much greater value in the terrestrial deposits that are the focus of most investigations of the recent past) that leave some tangible signal in the rocks. These signals may be the result of either natural factors or human-induced processes, and may occur in a range of temporal contexts. They may mark the instant of occurrence of a short-lived phenomenon, or they may represent the abrupt disappearance or sudden appearance of some feature. This paper reviews each of these markers, focussing specifically on their application to the chronology of the recent past and the global environmental transformation that has taken place during this time. (C) 2008 Elsevier Ltd. All rights reserved.</t>
  </si>
  <si>
    <t>Univ Sydney, Sch Geosci, Sydney, NSW 2006, Australia</t>
  </si>
  <si>
    <t>University of Sydney</t>
  </si>
  <si>
    <t>Gale, SJ (corresponding author), Univ Sydney, Sch Geosci, Sydney, NSW 2006, Australia.</t>
  </si>
  <si>
    <t>s.gale@usyd.edu.au</t>
  </si>
  <si>
    <t>1871-1014</t>
  </si>
  <si>
    <t>1878-0350</t>
  </si>
  <si>
    <t>QUAT GEOCHRONOL</t>
  </si>
  <si>
    <t>Quat. Geochronol.</t>
  </si>
  <si>
    <t>10.1016/j.quageo.2008.12.003</t>
  </si>
  <si>
    <t>513PM</t>
  </si>
  <si>
    <t>WOS:000271335200007</t>
  </si>
  <si>
    <t>Rodbell, DT; Smith, JA; Mark, BG</t>
  </si>
  <si>
    <t>Rodbell, Donald T.; Smith, Jacqueline A.; Mark, Bryan G.</t>
  </si>
  <si>
    <t>Glaciation in the Andes during the Lateglacial and Holocene</t>
  </si>
  <si>
    <t>SOUTHERNMOST SOUTH-AMERICA; NORTH PATAGONIAN ICEFIELD; 20TH-CENTURY GLACIER FLUCTUATIONS; COSMOGENIC NUCLIDE CHRONOLOGY; LATE-PLEISTOCENE GLACIATION; TROPICAL CORDILLERA-BLANCA; SURFACE EXPOSURE AGES; CHILEAN LAKE DISTRICT; BANFF NATIONAL-PARK; LAGO BUENOS-AIRES</t>
  </si>
  <si>
    <t>This review updates the chronology of Andean glaciation during the Lateglacial and the Holocene from the numerous articles and reviews published over the past three decades. The Andes, which include some of the world's wettest and driest mountainous regions, offer an unparalleled opportunity to elucidate spatial and temporal patterns of glaciation along a continuous 68-degree meridional transect. The geographic and altitudinal extent of modern glaciers and the sensitivity of both modern and former glaciers to respond to changes in specific climatic variables reflect broad-scale atmospheric circulation and consequent regional moisture patterns. Glaciers in the tropical Andes and in the mid-latitude Andes are likely to have been far more sensitive to changes in temperature than glaciers in the dry subtropical Andes. Broad-scale temporal and spatial patterns of glaciation during the Lateglacial are apparent. In the southernmost Andes, the Lateglacial chronology appears to have a strong Antarctic signature with the best-dated moraines correlating closely with the Antarctic Cold Reversal. The southernmost Andes do not appear to have experienced a significant ice advance coeval with the Younger Dryas (YD) climatic reversal. At the other end of the Andes, from similar to 0 to 9 degrees N, a stronger YD connection may exist, but critical stratigraphic and geochronologic work is required before a YD ice advance can be fully demonstrated. In the central Andes of Peru, well-dated moraines record a significant ice readvance at the onset of the YD, but ice was retreating during much of the remaining YD interval. The spatial-temporal pattern of Holocene glaciation exhibits tantalizing but incomplete evidence for an Early to Mid-Holocene ice advance(s) in many regions, but not in the and subtropical Andes, where moraines deposited during or slightly prior to the Little Ice Age (LIA) record the most extensive advance of the Holocene. In many regions, there is strong evidence for Neoglacial advances in the interval between 1.0 and 2.5 ka. Moraines that correlate with the LIA of the Northern Hemisphere are seen in all presently glacierized mountain ranges; most of these date to within the past 450 years. Outboard of these moraines in many regions are moraines of a slightly more extensive advance that occurred several hundred years prior to the onset of the LIA. Priorities for future work include filling in several prominent spatial gaps in the distribution of chronologic studies. For the Lateglacial these gaps include the and regions of northern Chile and Argentina, the southern Peruvian Andes between 11.5 degrees and 13.5 degrees S, and the Andes of northern Peru and southern Ecuador between 3 degrees and 9 degrees S. Areas in need of better representation in regional datasets of Holocene glaciation include all of the Andes north of the Equator. Specific chronologic priorities include the need for close bracketing radiocarbon ages for purported Early and Mid-Holocene moraines, and the increased application of cosmogenic radionuclide dating to Lateglacial and Early Holocene moraines that are already constrained by maximum-limiting radiocarbon ages. (C) 2009 Elsevier Ltd. All rights reserved.</t>
  </si>
  <si>
    <t>[Rodbell, Donald T.] Union Coll, Dept Geol, Schenectady, NY 12308 USA; [Smith, Jacqueline A.] Coll St Rose, Dept Phys &amp; Biol Sci, Albany, NY 12203 USA; [Mark, Bryan G.] Ohio State Univ, Dept Geog, Columbus, OH 43210 USA</t>
  </si>
  <si>
    <t>Union College; University System of Ohio; Ohio State University</t>
  </si>
  <si>
    <t>Rodbell, DT (corresponding author), Union Coll, Dept Geol, Schenectady, NY 12308 USA.</t>
  </si>
  <si>
    <t>rodbelld@union.edu; smithj@strose.edu; mark.9@osu.edu</t>
  </si>
  <si>
    <t>Mark, Bryan/AAD-6137-2022; /AAD-1453-2020; Mark, Bryan G./HMD-9537-2023</t>
  </si>
  <si>
    <t>/0000-0002-4500-7957; Mark, Bryan G./0000-0002-4500-7957</t>
  </si>
  <si>
    <t>Directorate For Geosciences; Division Of Earth Sciences [0851981] Funding Source: National Science Foundation</t>
  </si>
  <si>
    <t>Directorate For Geosciences; Division Of Earth Sciences(National Science Foundation (NSF)NSF - Directorate for Geosciences (GEO))</t>
  </si>
  <si>
    <t>10.1016/j.quascirev.2009.03.012</t>
  </si>
  <si>
    <t>500YF</t>
  </si>
  <si>
    <t>WOS:000270341900010</t>
  </si>
  <si>
    <t>Hall, BL</t>
  </si>
  <si>
    <t>Hall, Brenda L.</t>
  </si>
  <si>
    <t>Holocene glacial history of Antarctica and the sub-Antarctic islands</t>
  </si>
  <si>
    <t>SOUTH-SHETLAND-ISLANDS; GROUNDED ICE-SHEET; TERRA-NOVA BAY; RADIOCARBON AGE CALIBRATION; WILSON PIEDMONT GLACIER; MCMURDO DRY VALLEYS; KING-GEORGE ISLAND; SEA-LEVEL HISTORY; JAMES-ROSS-ISLAND; LATE PLEISTOCENE</t>
  </si>
  <si>
    <t>A history of Holocene glaciation in the Antarctic and sub-Antarctic affords insight into questions concerning present and future ice-sheet and mountain-glacier behavior and global climate and sea-level change. Existing records permit broad correlation of Holocene ice fluctuations within the region. In several areas, ice extent was less than at present in mid-Holocene time. An important exception to this is the West Antarctic Ice Sheet, which has undergone continued recession throughout the Holocene, probably in response to internal dynamics. The first Neoglacial ice advances occurred at similar to 5.0 ka, although some sites (e.g., western Ross Sea) lack firm evidence for glacial expansion at that time. Glaciers in all areas underwent renewed growth in the past millennium, and most have subsequently undergone recession in the past 50 years, ranging from near-catastrophic in parts of the Antarctic Peninsula to minor in the western Ross Sea region and sections of East Antarctica. This magnitude difference likely reflects the much greater warming that is taking place in the Antarctic Peninsula region today as compared to East Antarctica. (C) 2009 Elsevier Ltd. All rights reserved.</t>
  </si>
  <si>
    <t>[Hall, Brenda L.] Univ Maine, Dept Earth Sci, Orono, ME 04469 USA; [Hall, Brenda L.] Univ Maine, Climate Change Inst, Orono, ME 04469 USA</t>
  </si>
  <si>
    <t>University of Maine System; University of Maine Orono; University of Maine System; University of Maine Orono</t>
  </si>
  <si>
    <t>Hall, BL (corresponding author), Univ Maine, Dept Earth Sci, Orono, ME 04469 USA.</t>
  </si>
  <si>
    <t>BrendaH@maine.edu</t>
  </si>
  <si>
    <t>US National Science Foundation; Italian Antarctic Research Program</t>
  </si>
  <si>
    <t>US National Science Foundation(National Science Foundation (NSF)); Italian Antarctic Research Program</t>
  </si>
  <si>
    <t>Parts of this work have been supported by the Office of Polar Programs of the US National Science Foundation and the Italian Antarctic Research Program. I thank G. Bromley and J. Stone for comments on an earlier draft of the manuscript and R. Ackert, C. Baroni, P.T. Davis, B. Menounos, and G. Osborn for very helpful reviews.</t>
  </si>
  <si>
    <t>10.1016/j.quascirev.2009.06.011</t>
  </si>
  <si>
    <t>WOS:000270341900011</t>
  </si>
  <si>
    <t>Reddy, PVV; Rao, SSSN; Pratibha, MS; Sailaja, B; Kavya, B; Manorama, RR; Singh, SM; Srinivas, TNR; Shivaji, S</t>
  </si>
  <si>
    <t>Reddy, Puram Vishnu Vardhan; Rao, Singireesu Soma Shiva Nageswara; Pratibha, Mambatta Shankaranarayanan; Sailaja, Buddhi; Kavya, Bakka; Manorama, Ravoori Ruth; Singh, Shiv Mohan; Srinivas, Tanuku Naga Radha; Shivaji, Sisinthy</t>
  </si>
  <si>
    <t>Bacterial diversity and bioprospecting for cold-active enzymes from culturable bacteria associated with sediment from a melt water stream of Midtre Lovenbreen glacier, an Arctic glacier</t>
  </si>
  <si>
    <t>RESEARCH IN MICROBIOLOGY</t>
  </si>
  <si>
    <t>16S rRNA gene; Actinobacteria; Bacilli; Flavobacteria; Proteobacteria; Extracellular enzyme activities; Phenotypic characteristics; Fatty acid profiles</t>
  </si>
  <si>
    <t>SP-NOV.; MICROBIAL COMMUNITIES; ANTARCTIC PENINSULA; FINNISH LAPLAND; GEN-NOV; SVALBARD; ADAPTATION; STRATEGIES; BACILLUS; MARINE</t>
  </si>
  <si>
    <t>Culturable bacterial diversity of Midtre Lovenbreen glacier, an Arctic glacier, was studied using 12 sediment samples collected from different points, along a transect, from the snout of Midtre Lovenbreen glacier up to the convergence point of the melt water stream with the sea. Bacterial abundance appeared to be closer to the convergence point of the glacial melt water stream with the sea than at the snout of the glacier. A total of 117 bacterial strains were isolated from the sediment samples. Based on 16S rRNA gene sequence analyses, the isolates (n = 117) could be categorised in to 32 groups, with each group representing a different taxa belonging to 4 phyla (Actinobacteria, Bacilli, Flavobacteria and Proteobacteria). Representatives of the 32 groups varied in their growth temperature range (4-37 degrees C), in their tolerance to NaCl (0.1-1 M NaCl) and in the growth pH range (2-13). Only 14 of 32 representative strains exhibited amylase, lipase and (or) protease activity and only one isolate (AsdM4-6) showed all three enzyme activities at 5 and 20 degrees C respectively. More than half of the isolates were pigmented. Fatty acid profile studies indicated that short-chain fatty acids, unsaturated fatty acids, branched fatty acids, cyclic and cis fatty acids are predominant in the psychrophilic bacteria. (C) 2009 Elsevier Masson SAS. All rights reserved.</t>
  </si>
  <si>
    <t>[Reddy, Puram Vishnu Vardhan; Rao, Singireesu Soma Shiva Nageswara; Pratibha, Mambatta Shankaranarayanan; Sailaja, Buddhi; Kavya, Bakka; Manorama, Ravoori Ruth; Srinivas, Tanuku Naga Radha; Shivaji, Sisinthy] Ctr Cellular &amp; Mol Biol, Hyderabad 500007, Andhra Pradesh, India; [Singh, Shiv Mohan] Natl Ctr Antarctic &amp; Ocean Res, Vasco Da Gama, Goa, India</t>
  </si>
  <si>
    <t>pvishnu@ccmb.res.in; shivagenetech@gmail.com; msprathi@ccmb.res.in; bsailaja@ccmb.res.in; nature_kavya@yahoo.com; manoramaskiran@rediffmail.com; drsmsingh@yahoo.com; tnrlsri@gmail.com; shivas@ccmb.res.in</t>
  </si>
  <si>
    <t>Department of Biotechnology; Council of Scientific and Industrial Research, Government of India; NCAOR; Ministry of Earth Sciences, Government of India</t>
  </si>
  <si>
    <t>Department of Biotechnology; Council of Scientific and Industrial Research, Government of India(Council of Scientific &amp; Industrial Research (CSIR) - India); NCAOR; Ministry of Earth Sciences, Government of India(Ministry of Earth Science (MoES), Government of India)</t>
  </si>
  <si>
    <t>We would like to thank the Department of Biotechnology and the Council of Scientific and Industrial Research, Government of India for financial support to SS. SS would also like to thank NCAOR and the Ministry of Earth Sciences, Government of India, for providing financial and logistic support for the trip to the Arctic.</t>
  </si>
  <si>
    <t>0923-2508</t>
  </si>
  <si>
    <t>1769-7123</t>
  </si>
  <si>
    <t>RES MICROBIOL</t>
  </si>
  <si>
    <t>Res. Microbiol.</t>
  </si>
  <si>
    <t>10.1016/j.resmic.2009.08.008</t>
  </si>
  <si>
    <t>524BA</t>
  </si>
  <si>
    <t>WOS:000272117600002</t>
  </si>
  <si>
    <t>Ruberto, LAM; Vázquez, SC; Mac Cormack, WP</t>
  </si>
  <si>
    <t>Ruberto, L. A. M.; Vazquez, S. C.; Mac Cormack, W. P.</t>
  </si>
  <si>
    <t>Bacterial hydrocarbon-degrading consortium from Antarctic soils</t>
  </si>
  <si>
    <t>REVISTA ARGENTINA DE MICROBIOLOGIA</t>
  </si>
  <si>
    <t>[Ruberto, L. A. M.; Vazquez, S. C.] UBA, CONICET, Catedra Microbiol Ind &amp; Biotecnol, Fac Farm &amp; Bioquim, RA-1113 Caba, DF, Argentina; [Mac Cormack, W. P.] Inst Antartico Argentino, RA-1010 Caba, Argentina</t>
  </si>
  <si>
    <t>University of Buenos Aires; Consejo Nacional de Investigaciones Cientificas y Tecnicas (CONICET); Instituto Antartico Argentino</t>
  </si>
  <si>
    <t>Ruberto, LAM (corresponding author), UBA, CONICET, Catedra Microbiol Ind &amp; Biotecnol, Fac Farm &amp; Bioquim, Junin 956-6 P, RA-1113 Caba, DF, Argentina.</t>
  </si>
  <si>
    <t>lruberto@ffyb.uba.ar</t>
  </si>
  <si>
    <t>Vazquez, Susana/AEP-5214-2022</t>
  </si>
  <si>
    <t>Vazquez, Susana/0000-0002-0760-6254; Mac Cormack, Walter/0000-0002-5280-5463; Ruberto, Lucas Adolfo Mauro/0000-0001-5604-772X</t>
  </si>
  <si>
    <t>ASOCIACION ARGENTINA MICROBIOLOGIA</t>
  </si>
  <si>
    <t>BUENOS AIRES</t>
  </si>
  <si>
    <t>BULNES 44 PB B, BUENOS AIRES, 00000, ARGENTINA</t>
  </si>
  <si>
    <t>0325-7541</t>
  </si>
  <si>
    <t>REV ARGENT MICROBIOL</t>
  </si>
  <si>
    <t>Rev. Argent. Microbiol.</t>
  </si>
  <si>
    <t>535TL</t>
  </si>
  <si>
    <t>WOS:000272994100012</t>
  </si>
  <si>
    <t>Paredes, JU</t>
  </si>
  <si>
    <t>Urbina Paredes, Javier</t>
  </si>
  <si>
    <t>The Antarctic Treaty, Chile's Position as a Bridge Country</t>
  </si>
  <si>
    <t>REVISTA UNISCI</t>
  </si>
  <si>
    <t>Antarctic Treaty; Chile-bridge country to the Antarctic; National Antarctic Policy; new challenges in the Antarctic</t>
  </si>
  <si>
    <t>This article explains the Antarctic Treaty, the system and the international regime that it has been sustaining since it was signed fifty years ago in Washington, USA, on September 1st, 1959. The challenges and purposes that it was called to meet during its time were overcome adequately. But today the Treaty faces new challenges, which are less political and more scientifical than before, derived from the climate change, the increasing touristic activity, the care for the environment and the security of the maritime and aerial navigation. Chile is a key actor in the Antarctic and in the system of the Antarctic Treaty, and it offers its potentialities, as a bridge country, being the closest to the continent, for the development of the Antarctic activities in general. In its international linkage in the matter, it acts under the frame of the Antarctic Treaty. Moreover, it develops concrete capabilities in relation with the greater and new demands that the Antarctic system will have to face, and it puts them at the disposal of the international community.</t>
  </si>
  <si>
    <t>[Urbina Paredes, Javier] Ejecutivo Consejo Polit Antart, Santiago, Chile</t>
  </si>
  <si>
    <t>Paredes, JU (corresponding author), Ejecutivo Consejo Polit Antart, Santiago, Chile.</t>
  </si>
  <si>
    <t>jurbinap@gmail.com</t>
  </si>
  <si>
    <t>UNIV COMPLUTENSE MADRID, SERVICIO PUBLICACIONES</t>
  </si>
  <si>
    <t>MADRID</t>
  </si>
  <si>
    <t>CIUDAD UNIV, OBISPO TREJO 3, MADRID, 28040, SPAIN</t>
  </si>
  <si>
    <t>2386-9453</t>
  </si>
  <si>
    <t>REV UNISCI</t>
  </si>
  <si>
    <t>Rev. UNISCI</t>
  </si>
  <si>
    <t>International Relations</t>
  </si>
  <si>
    <t>V7X2Z</t>
  </si>
  <si>
    <t>WOS:000421375200010</t>
  </si>
  <si>
    <t>Hou, SG; Li, YS; Xiao, CD; Pang, HX; Xu, JZ</t>
  </si>
  <si>
    <t>Hou ShuGui; Li YuanSheng; Xiao CunDe; Pang HongXi; Xu JianZhong</t>
  </si>
  <si>
    <t>Preliminary results of the close-off depth and the stable isotopic records along a 109.91 m ice core from Dome A, Antarctica</t>
  </si>
  <si>
    <t>SCIENCE IN CHINA SERIES D-EARTH SCIENCES</t>
  </si>
  <si>
    <t>Antarctica; Dome A; ice core; close-off depth; stable isotopes</t>
  </si>
  <si>
    <t>SOUTHERN-HEMISPHERE; LAST DEGLACIATION; DEUTERIUM EXCESS; EAST ANTARCTICA; FIRN-AIR; PRECIPITATION; GREENLAND; HOLOCENE; CLIMATE; MODEL</t>
  </si>
  <si>
    <t>A 109.91 m ice core was recovered from Dome A (or Dome Argus), the highest ice feature in Antarctica, during the 2004/05 austral summer by the 21st Chinese National Antarctic Research Expedition (CHINARE-21). Both methane profile along the core and firn densification model calculation suggest that the close-off depth is at about 102.0 m with an ice age about 4200 a. Stable isotopes (delta O-18 and delta D) of the chips samples produced during each run of ice core drilling at Dome A, together with those of the other cores recovered from the eastern inland Antarctica, suggest a relative stable climate with a temperature fluctuation amplitude about +/-0.6 degrees C at the eastern inland Antarctica during the late Holocene. The average d-excess (or d = delta D-8 delta O-18) of 17.1 parts per thousand along the Dome A core is probably the highest among the Antarctic inland ice cores, which may be resulted from the kinetic fractionation during the snow formation under an oversaturation condition. Moreover, the increasing trend of d-excess during the late Holocene reflects mainly the migration of the water source area for precipitation at Dome A towards low latitudes. This paper presents the first results of a shallow ice core recovered from the unexplored highest area of the Antarctic ice sheet, providing a background for the proposing deep ice core drilling at Dome A.</t>
  </si>
  <si>
    <t>[Hou ShuGui; Xiao CunDe; Xu JianZhong] Chinese Acad Sci, State Key Lab Cryospher Sci, Cold &amp; Arid Reg Environm &amp; Engn Res Inst, Lanzhou 730000, Peoples R China; [Li YuanSheng] Polar Res Inst China, Shanghai 200129, Peoples R China; [Pang HongXi] Tongji Univ, State Key Lab Marine Geol, Shanghai 200092, Peoples R China</t>
  </si>
  <si>
    <t>Chinese Academy of Sciences; Cold &amp; Arid Regions Environmental &amp; Engineering Research Institute, CAS; Polar Research Institute of China; Tongji University</t>
  </si>
  <si>
    <t>Hou, SG (corresponding author), Chinese Acad Sci, State Key Lab Cryospher Sci, Cold &amp; Arid Reg Environm &amp; Engn Res Inst, Lanzhou 730000, Peoples R China.</t>
  </si>
  <si>
    <t>Xu, Jianzhong/C-4899-2011; Xu, Jianzhong/L-6216-2013</t>
  </si>
  <si>
    <t>Hou, Shugui/0000-0002-0905-3542; Xu, Jianzhong/0000-0003-0434-5148; Xu, Jianzhong/0000-0002-9933-1744</t>
  </si>
  <si>
    <t>National Natural Science Foundation of China [40825017, 40576001]; Chinese Academy of Sciences; Chinese Academy of Sciences [KZCX3-SW354]; National Key Technology R D Program [2006BAB18B01]; Programme International de Cooperation Scientifique (PICS) Project Climate and Environment in Antarctica and the Himalayas [3499]</t>
  </si>
  <si>
    <t>National Natural Science Foundation of China(National Natural Science Foundation of China (NSFC)); Chinese Academy of Sciences(Chinese Academy of Sciences); Chinese Academy of Sciences(Chinese Academy of Sciences); National Key Technology R D Program(National Key Technology R&amp;D Program); Programme International de Cooperation Scientifique (PICS) Project Climate and Environment in Antarctica and the Himalayas</t>
  </si>
  <si>
    <t>Supported by National Natural Science Foundation of China (Grant Nos. 40825017 and 40576001), One Hundred Talents Program of Chinese Academy of Sciences, Knowledge Innovation Project of the Chinese Academy of Sciences (Grant No. KZCX3-SW354), National Key Technology R &amp; D Program (Grant No. 2006BAB18B01), and the Programme International de Cooperation Scientifique (PICS) Project Climate and Environment in Antarctica and the Himalayas (CLEAH, PICS no3499)</t>
  </si>
  <si>
    <t>1006-9313</t>
  </si>
  <si>
    <t>SCI CHINA SER D</t>
  </si>
  <si>
    <t>Sci. China Ser. D-Earth Sci.</t>
  </si>
  <si>
    <t>10.1007/s11430-009-0039-6</t>
  </si>
  <si>
    <t>510NZ</t>
  </si>
  <si>
    <t>WOS:000271097800004</t>
  </si>
  <si>
    <t>Simmons, B. L.; Wall, D. H.; Adams, B. J.; Ayres, E.; Barrett, J. E.; Virginia, R. A.</t>
  </si>
  <si>
    <t>Long-term experimental warming reduces soil nematode populations in the McMurdo Dry Valleys, Antarctica</t>
  </si>
  <si>
    <t>SOIL BIOLOGY &amp; BIOCHEMISTRY</t>
  </si>
  <si>
    <t>Antarctic soils; Climate change; Global change; Soil biodiversity; OTC</t>
  </si>
  <si>
    <t>TAYLOR VALLEY; DIVERSITY; BIODIVERSITY; ECOSYSTEM; WATER; MICROARTHROPODS; INVERTEBRATES; GEOCHEMISTRY; COMMUNITIES; ENVIRONMENT</t>
  </si>
  <si>
    <t>Climate models predict significant future warming in polar regions. In the McMurdo Dry Valleys, Antarctica. projected summer climate warming is expected to increase snow and glacial melt, resulting in higher stream discharge, rising lake levels, and an increase in areas of moist soil. but the potential influence of warming and associated changes in hydrology on the soil ecosystem is poorly understood. To examine the effects of soil warming and changes in the availability of liquid water on populations of soil invertebrates and their habitat, we established a full-factorial warming and water addition experiment at one experimental site in each of the three hydrologic basins of Taylor Valley, Antarctica, and measured responses over 8 years. We hypothesized that an increase in temperature and moisture together would enhance habitat suitability for soil invertebrates thereby increasing abundance, biomass and diversity of the soil animal communities. Instead, warming treatments had an overall negative effect on density and body size of the microbial-feeding nematode Scottnema lindsayae, the dominant animal in the dry valleys, which decreased by 42% in warmed plots. While experimental moisture additions as a single annual pulse had no effect on nematodes, the surface flooding of one site from rapid melting of upslope subsurface ice (the result of an unusual natural warming event) drastically altered soil moisture, salinity, and animal communities; mortality of S. lindsayae increased and densities decreased. This extreme soil wetting event also resulted in an increase in chlorophyll a and populations of Eudorylaimus spp, a nematode species that prefers moist to wet habitats and feeds on soil micro-algae. Our results suggest that warming in the dry valleys could significantly affect soil nematode populations and species composition both directly and indirectly by altering species-specific habitat suitability for soil biota. Published by Elsevier Ltd.</t>
  </si>
  <si>
    <t>[Simmons, B. L.; Wall, D. H.; Ayres, E.] Colorado State Univ, Nat Resource Ecol Lab, Ft Collins, CO 80523 USA; [Wall, D. H.] Colorado State Univ, Dept Biol, Ft Collins, CO 80523 USA; [Adams, B. J.] Brigham Young Univ, Dept Biol, Provo, UT 84602 USA; [Adams, B. J.] Brigham Young Univ, Evolutionary Ecol Labs, Provo, UT 84602 USA; [Barrett, J. E.] Virginia Polytech Inst &amp; State Univ, Dept Biol Sci, Blacksburg, VA 24061 USA; [Virginia, R. A.] Dartmouth Coll, Environm Studies Program, Hanover, NH 03755 USA</t>
  </si>
  <si>
    <t>Wall, Diana H/F-5491-2011; Barrett, John/D-5851-2016; Adams, Byron/C-3808-2009; Ayres, Edward/A-4172-2008</t>
  </si>
  <si>
    <t>Barrett, John/0000-0002-7610-0505; Adams, Byron/0000-0002-7815-3352; Ayres, Edward/0000-0001-5190-258X</t>
  </si>
  <si>
    <t>McMurdo Dry Valleys LTER [NSF-OPP 0096250]</t>
  </si>
  <si>
    <t>McMurdo Dry Valleys LTER</t>
  </si>
  <si>
    <t>This work is ongoing and supported by the McMurdo Dry Valleys LTER program (NSF-OPP 0096250). The authors would like to thank Raytheon Polar Services Corporation and PHI, Inc. for logistical support. Additional field and lab support was provided by Abigail Adams, D. Bradley Bate, Steve Blecker, Emma Broos, Katie Catapano, Nicole DeCrappeo, Anna Fleder, Holly Gardel, Grace Li, Johnson, Nkem, Andy Parsons, Michael Poage, Dorota Porazinska, Rebecca Stucker, and Kathy Welch. We thank Christopher Gardener for database management and IT support.</t>
  </si>
  <si>
    <t>0038-0717</t>
  </si>
  <si>
    <t>1879-3428</t>
  </si>
  <si>
    <t>SOIL BIOL BIOCHEM</t>
  </si>
  <si>
    <t>Soil Biol. Biochem.</t>
  </si>
  <si>
    <t>10.1016/j.soilbio.2009.07.009</t>
  </si>
  <si>
    <t>Soil Science</t>
  </si>
  <si>
    <t>Agriculture</t>
  </si>
  <si>
    <t>509VT</t>
  </si>
  <si>
    <t>WOS:000271047800005</t>
  </si>
  <si>
    <t>Colacevich, A; Caruso, T; Borghini, F; Bargagli, R</t>
  </si>
  <si>
    <t>Colacevich, Andrea; Caruso, Tancredi; Borghini, Francesca; Bargagli, Roberto</t>
  </si>
  <si>
    <t>Photosynthetic pigments in soils from northern Victoria Land (continental Antarctica) as proxies for soil algal community structure and function</t>
  </si>
  <si>
    <t>Antarctic soils; Physico-chemical features; Soil algae; Photosynthetic pigments; Model selection</t>
  </si>
  <si>
    <t>TERRESTRIAL ECOSYSTEMS; BIOTIC INTERACTIONS; ROSS ISLAND; ICE SHELF; DIVERSITY; PATTERNS; DETERMINANTS; CHLOROPHYLLS; CAROTENOIDS; ABUNDANCE</t>
  </si>
  <si>
    <t>Although soil algae are among the main primary producers in most terrestrial ecosystems of continental Antarctica, there are very few quantitative studies on their relative proportion in the main algal groups and on how their distribution is affected by biotic and abiotic factors. Such knowledge is essential for understanding the functioning of Antarctic terrestrial ecosystems. We therefore analyzed biological soil crusts from northern Victoria Land to determine their pH, electrical conductivity (EC) water content (W), total and organic C (TC and TOC) and total N (TN) contents, and the presence and abundance of photosynthetic pigments. In particular, the latter were tested as proxies for biomass and coarse-resolution community structure. Soil samples were collected from five sites with known soil algal communities and the distribution of pigments was shown to reflect differences in the relative proportions of Chlorophyta, Cyanophyta and Bacillariophyta in these sites. Multivariate and univariate models strongly indicated that almost all soil variables (EC, W, TOC and TN) were important environmental correlates of pigment distribution. However, a significant amount of variation is independent of these soil variables and may be ascribed to local variability such as changes in microclimate at varying spatial and temporal scales. There are at least five possible sources of local variation: pigment preservation, temporal variations in water availability, temporal and spatial interactions among environmental and biological components, the local-scale patchiness of organism distribution, and biotic interactions. (C) 2009 Elsevier Ltd. All rights reserved.</t>
  </si>
  <si>
    <t>[Colacevich, Andrea; Caruso, Tancredi; Borghini, Francesca; Bargagli, Roberto] Univ Siena, Dept Environm Sci G Sarfatti, I-53100 Siena, Italy</t>
  </si>
  <si>
    <t>University of Siena</t>
  </si>
  <si>
    <t>Caruso, T (corresponding author), Univ Siena, Dept Environm Sci G Sarfatti, Via PA Mattioli 4, I-53100 Siena, Italy.</t>
  </si>
  <si>
    <t>colacevich2@unisi.it; tancredicaruso@unisi.it; borghini@unisi.it; bargagli@unisi.it</t>
  </si>
  <si>
    <t>Caruso, Tancredi/H-1103-2012</t>
  </si>
  <si>
    <t>Caruso, Tancredi/0000-0002-3607-9609</t>
  </si>
  <si>
    <t>EBESA IPY [452]; SCAR EBA; Italian PNRA (Programma Nazionale di Ricerche in Antartide)</t>
  </si>
  <si>
    <t>EBESA IPY; SCAR EBA; Italian PNRA (Programma Nazionale di Ricerche in Antartide)(Ministry of Education, Universities and Research (MIUR))</t>
  </si>
  <si>
    <t>This study is a contribution to EBESA IPY project no. 452 and to the SCAR EBA Program and was supported by the Italian PNRA (Programma Nazionale di Ricerche in Antartide). We are grateful to two anonymous reviewers for constructive comments that improved earlier drafts.</t>
  </si>
  <si>
    <t>10.1016/j.soilbio.2009.07.020</t>
  </si>
  <si>
    <t>WOS:000271047800012</t>
  </si>
  <si>
    <t>Death, DL; Cunningham, AP; Pollard, LJ</t>
  </si>
  <si>
    <t>Death, D. L.; Cunningham, A. P.; Pollard, L. J.</t>
  </si>
  <si>
    <t>Multi-element and mineralogical analysis of mineral ores using laser induced breakdown spectroscopy and chemometric analysis</t>
  </si>
  <si>
    <t>SPECTROCHIMICA ACTA PART B-ATOMIC SPECTROSCOPY</t>
  </si>
  <si>
    <t>5th International Conference on Laser-Induced Breakdown Spectroscopy</t>
  </si>
  <si>
    <t>SEP 22-26, 2008</t>
  </si>
  <si>
    <t>Berlin, GERMANY</t>
  </si>
  <si>
    <t>Laser induced breakdown spectroscopy; Principal components analysis; Principal components regression; Optical emission; Ablation plasma</t>
  </si>
  <si>
    <t>QUANTITATIVE ELEMENTAL ANALYSIS; INDUCED PLASMA SPECTROSCOPY; IRON-ORE; SENSOR TECHNOLOGY; REAL-TIME; SAMPLES; SLURRIES; INDUSTRY; SPECTRA; SURFACE</t>
  </si>
  <si>
    <t>In the mining industry the quality and extent of an ore body is determined on the basis of routine assays conducted on drill core and chip samples. Both the elemental composition and the mineralogical classification are important in the characterisation of an ore body for commercial exploitation. Mining industry laboratories typically analyse large numbers of samples from both exploration and mine production environments. At CSIRO we have explored the application of chemometric methods of analysis in combination with laser induced breakdown spectroscopy (LIBS) in order to produce routine quantitative analysis of several ore types including iron, nickel and lead/zinc ores. In particular, principal components regression (PCR) has been applied to perform multi-element analysis of iron ore samples from Australia and West Africa. Calibration models for iron (4.8% Av. Relative Error), aluminium (2.2%), silicon (3.7%) and potassium (1.4%) were determined for the Australian ores. In addition phosphorous measurements were made at trace level for samples from West Africa (5.5% Av. Relative Error). LIBS measurements of segments of a nickel drill core were also analysed using PCR. Mineralogical classification using a combination of LIBS and principal components analysis (PCA) has also been explored. Broad discrimination of ore mineralogy was demonstrated on the basis of the PCA of LIBS spectra in selected emission wavelength bands. The combination of PCA and PCR offers potential for both broad mineralogical and elemental analysis for the minerals industry in exploration and in mine production for the on-line monitoring of ore quality. Crown Copyright (C) 2009 Published by Elsevier B.V. All rights reserved.</t>
  </si>
  <si>
    <t>[Death, D. L.; Pollard, L. J.] CSIRO Minerals, Lucas Hts Sci &amp; Technol Ctr, Menai, NSW 2234, Australia; [Cunningham, A. P.] Australian Antarctic Div, Davis Stn Antarctica, Davis, CA USA</t>
  </si>
  <si>
    <t>Commonwealth Scientific &amp; Industrial Research Organisation (CSIRO); Australian Antarctic Division</t>
  </si>
  <si>
    <t>Death, DL (corresponding author), CSIRO Minerals, Lucas Hts Sci &amp; Technol Ctr, PMB 5, Menai, NSW 2234, Australia.</t>
  </si>
  <si>
    <t>david.death@csiro.au</t>
  </si>
  <si>
    <t>0584-8547</t>
  </si>
  <si>
    <t>SPECTROCHIM ACTA B</t>
  </si>
  <si>
    <t>Spectroc. Acta Pt. B-Atom. Spectr.</t>
  </si>
  <si>
    <t>10.1016/j.sab.2009.07.017</t>
  </si>
  <si>
    <t>Spectroscopy</t>
  </si>
  <si>
    <t>516MO</t>
  </si>
  <si>
    <t>WOS:000271546700016</t>
  </si>
  <si>
    <t>Lopes, MSG; Rocha, RCS; Zanotto, SP; Gomez, JGC; da Silva, LF</t>
  </si>
  <si>
    <t>Garcez Lopes, Mateus Schreiner; Santos Rocha, Rafael Costa; Zanotto, Sandra Patricia; Cabrera Gomez, Jose Gregorio; da Silva, Luiziana Ferreira</t>
  </si>
  <si>
    <t>Screening of bacteria to produce polyhydroxyalkanoates from xylose</t>
  </si>
  <si>
    <t>WORLD JOURNAL OF MICROBIOLOGY &amp; BIOTECHNOLOGY</t>
  </si>
  <si>
    <t>Xylose; Sugar mixtures; Polyhydroxyalkanoates; Bacillus; Poly-3-hydroxybutyrate; Catabolite repression</t>
  </si>
  <si>
    <t>GRAM-NEGATIVE BACTERIA; ESCHERICHIA-COLI; PROPIONIC-ACID; BACILLUS; FERMENTATION; COPOLYMERS; STRAINS; ETHANOL; CEPACIA; GENES</t>
  </si>
  <si>
    <t>Although xylose is a major constituent of lignocellulosic feedstock and the second most abundant sugar in nature, only 22% of 3,152 screened bacterial isolates showed significant growth in xylose in 24 h. Of those 684, only 24% accumulated polyhydroxyalkanoates after 72 h. A mangrove isolate, identified as Bacillus sp. MA3.3, yielded the best results in literature thus far for Gram-positive strains in experiments with glucose and xylose as the sole carbon source. When glucose or xylose were supplied, poly-3-hydroxybutyrate (PHB) contents of cell dry weight were, respectively, 62 and 64%, PHB yield 0.25 and 0.24 g g(-1) and PHB productivity (P-PHB) 0.10 and 0.06 g l(-1) h(-1). This 40% P-PHB difference may be related to the theoretical ATP production per 3-hydroxybutyrate (3HB) monomer calculated as 3 mol mol(-1) for xylose, less than half of the ATP/3HB produced from glucose (7 mol mol(-1)). In PHB production using sugar mixtures, all parameters were strongly reduced due to carbon catabolite repression. PHB production using Gram-positive strains is particularly interesting for medical applications because these bacteria do not produce lipopolysaccharide endotoxins which can induce immunogenic reactions. Moreover, the combination of inexpensive substrates and products of more value may lead to the economical sustainability of industrial PHB production.</t>
  </si>
  <si>
    <t>[Garcez Lopes, Mateus Schreiner; Santos Rocha, Rafael Costa; Cabrera Gomez, Jose Gregorio; da Silva, Luiziana Ferreira] Univ Sao Paulo, Dept Microbiol, BR-05508900 Sao Paulo, Brazil; [Zanotto, Sandra Patricia] Univ Estado Amazonas, BR-69065170 Manaus, Amazonas, Brazil</t>
  </si>
  <si>
    <t>Universidade de Sao Paulo; Universidade do Estado do Amazonas</t>
  </si>
  <si>
    <t>da Silva, LF (corresponding author), Univ Sao Paulo, Dept Microbiol, Ave Prof Lineu Prestes,1374 Edificio Biomed 2,Cid, BR-05508900 Sao Paulo, Brazil.</t>
  </si>
  <si>
    <t>lukneif@icb.usp.br</t>
  </si>
  <si>
    <t>Gomez, José Gregório/C-4784-2012; Zanotto, Sandra P/H-2286-2015</t>
  </si>
  <si>
    <t>Gomez, Jose Gregorio Cabrera/0000-0003-4624-6113</t>
  </si>
  <si>
    <t>Fundacao de Amparo a Pesquisa do Estado de Sao Paulo (FAPESP)</t>
  </si>
  <si>
    <t>Fundacao de Amparo a Pesquisa do Estado de Sao Paulo (FAPESP)(Fundacao de Amparo a Pesquisa do Estado de Sao Paulo (FAPESP))</t>
  </si>
  <si>
    <t>The authors would like to thank to Dr. Vivian Pelizzari for providing Antarctic soil samples and the Fundacao de Amparo a Pesquisa do Estado de Sao Paulo (FAPESP) for financial support.</t>
  </si>
  <si>
    <t>0959-3993</t>
  </si>
  <si>
    <t>1573-0972</t>
  </si>
  <si>
    <t>WORLD J MICROB BIOT</t>
  </si>
  <si>
    <t>World J. Microbiol. Biotechnol.</t>
  </si>
  <si>
    <t>10.1007/s11274-009-0072-9</t>
  </si>
  <si>
    <t>490WA</t>
  </si>
  <si>
    <t>WOS:000269537600008</t>
  </si>
  <si>
    <t>Galea, HR</t>
  </si>
  <si>
    <t>Galea, Horia R.</t>
  </si>
  <si>
    <t>Hincksella brevitheca, a new species of hydroid (Cnidaria: Hydrozoa: Syntheciidae) from Cuba</t>
  </si>
  <si>
    <t>Cnidaria; Hydrozoa; Syntheciidae; hydroid; Hincksella brevitheca; Sertularella hartlaubi; Hincksella formosa; Caribbean; Cuba</t>
  </si>
  <si>
    <t>ANTARCTIC EXPEDITIONS; STAUROTHECA ALLMAN; ISLANDS</t>
  </si>
  <si>
    <t>A new species of hydroid, Hincksella brevitheca, sp. nov., is described based on material from off Cayo Largo, Cuba. Though sterile, the available material has hydrothecae almost completely immersed in internodes and thus is easily distinguished from its congeners, all with thecae projecting far beyond the internodes. The syntype of Sertularella hartlaubi Nutting, 1904, examined for this study, proved to be a synonym of H. formosa (Fewkes, 1881). Brief comments and a comparative table listing the main features of the known species belonging to Hincksella Billard, 1918 are provided.</t>
  </si>
  <si>
    <t>Muzeul Natl Istorie Nat Grigore Antipa, Bucharest, Romania</t>
  </si>
  <si>
    <t>Galea, HR (corresponding author), Muzeul Natl Istorie Nat Grigore Antipa, Sos Kiseleff 1, Bucharest, Romania.</t>
  </si>
  <si>
    <t>horia.galea@gmail.com</t>
  </si>
  <si>
    <t>501OX</t>
  </si>
  <si>
    <t>WOS:000270392300003</t>
  </si>
  <si>
    <t>Kitahara, MV; Capítoli, RR; Horn, NO</t>
  </si>
  <si>
    <t>Kitahara, Marcelo V.; Capitoli, Ricardo R.; Horn Filho, Norberto O.</t>
  </si>
  <si>
    <t>Distribution of deep-sea azooxanthellate scleractinians from southern Brazilian waters</t>
  </si>
  <si>
    <t>IHERINGIA SERIE ZOOLOGIA</t>
  </si>
  <si>
    <t>Portuguese</t>
  </si>
  <si>
    <t>South Atlanctic; deep-sea; latitudinal analysis; bathymetric analysis; grouping analysis; Scleractinia</t>
  </si>
  <si>
    <t>SLOPE; SHELF</t>
  </si>
  <si>
    <t>Distribution of deep-sea azooxanthellate scleractinians from southern Brazilian waters. Amongst organisms reported in deep waters (&gt;100 m) from southern Brazil, the azooxanthellate scleractinians are of particular importance due to their capacity to form habitats which attract many species of invertebrates and vertebrates. Through statistical analysis of distribution, identification of specimens deposited in scientific collections, and revision of all preterite records of azooxanthellate scleractinians from southern and part of southeastern coast of Brazil, was noted that the coordinates covered by the present study represent an transitional distributional area between the Caribbean and marginal Antarctic fauna, especially for the solitary species. From a vertical distribution analysis, an increase in the number of species in the sector between the external continental shelve and 500 m depth was observed. A grouping analysis was performed, allowing the discrimination of 6 association biotopes of corals. Thus, we present the first attempt to understand the distribution of this fauna from the continental shelf and continental slope of southern Brazil, between 24 degrees S and 34 degrees S.</t>
  </si>
  <si>
    <t>[Kitahara, Marcelo V.] James Cook Univ, ARC Ctr Excellence Coral Reefs Studies, Townsville, Qld 4811, Australia; [Kitahara, Marcelo V.] James Cook Univ, Coral Genom Grp, Townsville, Qld 4811, Australia; [Capitoli, Ricardo R.] Fundacao Univ Fed Rio Grande, Dept Oceanog, Lab Ecol Invertebrado Benton, BR-96201900 Rio Grande, RS, Brazil; [Horn Filho, Norberto O.] Univ Fed Santa Catarina, Dept Geociencias, Geol Lab, BR-88040970 Florianopolis, SC, Brazil</t>
  </si>
  <si>
    <t>James Cook University; James Cook University; Universidade Federal do Rio Grande; Universidade Federal de Santa Catarina (UFSC)</t>
  </si>
  <si>
    <t>Kitahara, MV (corresponding author), James Cook Univ, ARC Ctr Excellence Coral Reefs Studies, Townsville, Qld 4811, Australia.</t>
  </si>
  <si>
    <t>mvikitahara@yahoo.com.br; ricardocapitoli@furg.br; horn@cfh.ufsc.br</t>
  </si>
  <si>
    <t>Kitahara, Marcelo Visentini/D-5560-2011</t>
  </si>
  <si>
    <t>Kitahara, Marcelo Visentini/0000-0003-4011-016X</t>
  </si>
  <si>
    <t>FUNDACAO ZOOBOTANICA RIO GRANDE SUL, MUSEU CIENCIAS NATURAIS</t>
  </si>
  <si>
    <t>PORTO ALEGRE</t>
  </si>
  <si>
    <t>CAIXA POSTAL 1188, PORTO ALEGRE, RS 00000, BRAZIL</t>
  </si>
  <si>
    <t>0073-4721</t>
  </si>
  <si>
    <t>1678-4766</t>
  </si>
  <si>
    <t>IHERINGIA SER ZOOL</t>
  </si>
  <si>
    <t>Iheringia Ser. Zool.</t>
  </si>
  <si>
    <t>SEP 30</t>
  </si>
  <si>
    <t>10.1590/S0073-47212009000300001</t>
  </si>
  <si>
    <t>551LG</t>
  </si>
  <si>
    <t>gold, Green Submitted</t>
  </si>
  <si>
    <t>WOS:000274209800001</t>
  </si>
  <si>
    <t>Kamenkovich, I; Cheng, W; Sarachik, ES; Harrison, DE</t>
  </si>
  <si>
    <t>Kamenkovich, Igor; Cheng, Wei; Sarachik, E. S.; Harrison, D. E.</t>
  </si>
  <si>
    <t>Simulation of the Argo observing system in an ocean general circulation model</t>
  </si>
  <si>
    <t>MOORED INSTRUMENT ARRAY; COARSE-RESOLUTION; DESIGN; ASSIMILATION</t>
  </si>
  <si>
    <t>The main goal of this study is to determine how well large-scale temperature, salinity, upper ocean heat content (UOHC), and surface mixed layer fields and their variability can be reconstructed from the Argo observing system. The approach is to sample and reconstruct these oceanic fields from a coarse-resolution ocean general circulation model (OGCM), quantify the errors in the reconstructed fields, and analyze the factors controlling these errors. In particular, this study analyzes the effects of float movements on the spatial coverage and reconstruction of temporal variability. Overall performance of the simulated Argo array is good, and the reconstructed climatological means of such key quantities as the temperature, salinity, UOHC, and mixed layer depth are very close to the actual OGCM-simulated values in most of the global ocean. However, the differences between the reconstructed and actual fields (reconstruction errors'') are more significant in several regions with strong currents, such as the Antarctic Circumpolar Current (ACC). The results also suggest that the detection of the year-to-year changes in UOHC in the ACC, in high-latitude North Atlantic, and near the coasts can be particularly problematic. As illustrated by sensitivity experiments, the main effect of float movements is to increase reconstruction errors. This adverse effect of float movements is the main cause of large errors in the UOHC interannual difference in the ACC. When the spatial sampling coverage is improved, for example, by increasing the number of floats, the accuracy of reconstruction improves substantially.</t>
  </si>
  <si>
    <t>[Kamenkovich, Igor] Univ Miami, Rosenstiel Sch Marine &amp; Atmospher Sci, Miami, FL 33149 USA; [Cheng, Wei; Sarachik, E. S.] Univ Washington, Pacific Marine Environm Lab, Seattle, WA 98115 USA; [Cheng, Wei; Sarachik, E. S.] Univ Washington, Joint Inst Study Atmosphere &amp; Ocean, Seattle, WA 98115 USA; [Harrison, D. E.] Univ Washington, Dept Atmospher Sci, Seattle, WA 98195 USA</t>
  </si>
  <si>
    <t>University of Miami; University of Washington; University of Washington Seattle; National Oceanic Atmospheric Admin (NOAA) - USA; University of Washington; University of Washington Seattle; University of Washington; University of Washington Seattle</t>
  </si>
  <si>
    <t>Kamenkovich, I (corresponding author), Univ Miami, Rosenstiel Sch Marine &amp; Atmospher Sci, 4600 Rickenbacker Causeway, Miami, FL 33149 USA.</t>
  </si>
  <si>
    <t>ikamenkovich@rsmas.miami.edu</t>
  </si>
  <si>
    <t>Cheng, Wei/J-1030-2017; Kamenkovich, Igor/AAG-3451-2019; Harrison, Don E/D-9582-2013</t>
  </si>
  <si>
    <t>National Aeronautics and Space Administration [NNG06GA66G]</t>
  </si>
  <si>
    <t>National Aeronautics and Space Administration(National Aeronautics &amp; Space Administration (NASA))</t>
  </si>
  <si>
    <t>The authors would like to thank two anonymous reviewers for their helpful advice on improving this manuscript. Kamenkovich and Cheng were supported by the NOAA Climate Program Office, Climate Observation Division. Kamenkovich would also like to acknowledge the support by the National Aeronautics and Space Administration grant NNG06GA66G.</t>
  </si>
  <si>
    <t>C09021</t>
  </si>
  <si>
    <t>10.1029/2008JC005184</t>
  </si>
  <si>
    <t>502MJ</t>
  </si>
  <si>
    <t>WOS:000270464100001</t>
  </si>
  <si>
    <t>Albert, JM; Meredith, NP; Horne, RB</t>
  </si>
  <si>
    <t>Albert, Jay M.; Meredith, Nigel P.; Horne, Richard B.</t>
  </si>
  <si>
    <t>Three-dimensional diffusion simulation of outer radiation belt electrons during the 9 October 1990 magnetic storm</t>
  </si>
  <si>
    <t>WHISTLER-MODE CHORUS; RELATIVISTIC ELECTRONS; ZONE ELECTRONS; ACCELERATION; ENERGIES; WAVES; MAGNETOSPHERE; ENERGIZATION</t>
  </si>
  <si>
    <t>Relativistic (&gt;1 MeV) electron flux increases in the Earth's radiation belts are significantly underestimated by models that only include transport and loss processes, suggesting that some additional acceleration process is required. Here we use a new, three-dimensional code that includes radial diffusion and quasi-linear pitch angle and energy diffusion due to chorus waves, including cross terms, to simulate the 9 October 1990 magnetic storm. The diffusion coefficients are activity dependent, and time-dependent boundary conditions are imposed on all six boundary faces, taken from fits to CRRES Medium Electrons A electron data. Although the main phase dropout is not fully captured, the persistent phase space density peaks observed during the recovery phase are well explained, but this requires both chorus wave acceleration and radial diffusion.</t>
  </si>
  <si>
    <t>[Albert, Jay M.] USAF, Res Lab, Space Vehicles Directorate, Hanscom AFB, MA 01731 USA; [Meredith, Nigel P.; Horne, Richard B.] British Antarctic Survey, NERC, Cambridge CB3 0ET, England</t>
  </si>
  <si>
    <t>United States Department of Defense; United States Air Force; UK Research &amp; Innovation (UKRI); Natural Environment Research Council (NERC); NERC British Antarctic Survey</t>
  </si>
  <si>
    <t>Albert, JM (corresponding author), USAF, Res Lab, Space Vehicles Directorate, 29 Randolph Rd, Hanscom AFB, MA 01731 USA.</t>
  </si>
  <si>
    <t>jay.albert@hanscom.af.mil; nmer@bas.ac.uk; r.horne@bas.ac.uk</t>
  </si>
  <si>
    <t>Meredith, Nigel P/C-5806-2018; Horne, Richard B/U-3764-2019; Albert, Jay/AAV-6860-2020</t>
  </si>
  <si>
    <t>Horne, Richard B/0000-0002-0412-6407; Albert, Jay/0000-0001-9494-7630; Meredith, Nigel/0000-0001-5032-3463</t>
  </si>
  <si>
    <t>Space Vehicles Directorate of the Air Force Research Laboratory; NERC [bas010022, bas0100023] Funding Source: UKRI; Natural Environment Research Council [bas010022, bas0100023] Funding Source: researchfish</t>
  </si>
  <si>
    <t>Space Vehicles Directorate of the Air Force Research Laboratory(United States Department of DefenseUS Air Force Research Laboratory); NERC(UK Research &amp; Innovation (UKRI)Natural Environment Research Council (NERC)); Natural Environment Research Council(UK Research &amp; Innovation (UKRI)Natural Environment Research Council (NERC))</t>
  </si>
  <si>
    <t>This work was supported by the Space Vehicles Directorate of the Air Force Research Laboratory.; [40] Wolfgang Baumjohann thanks the reviewers for their assistance in evaluating this paper.</t>
  </si>
  <si>
    <t>A09214</t>
  </si>
  <si>
    <t>10.1029/2009JA014336</t>
  </si>
  <si>
    <t>502MT</t>
  </si>
  <si>
    <t>WOS:000270465200002</t>
  </si>
  <si>
    <t>Buck, WR; Small, C; Ryan, WBF</t>
  </si>
  <si>
    <t>Buck, W. Roger; Small, Christopher; Ryan, William B. F.</t>
  </si>
  <si>
    <t>Constraints on asthenospheric flow from the depths of oceanic spreading centers: The East Pacific Rise and the Australian-Antarctic Discordance</t>
  </si>
  <si>
    <t>asthenosphere; spreading centers</t>
  </si>
  <si>
    <t>SOUTHEAST INDIAN RIDGE; MANTLE CONVECTION; CRUSTAL THICKNESS; MIDOCEAN RIDGE; PLATE MOTIONS; STRUCTURE BENEATH; ISOTOPE EVIDENCE; HEAT-FLOW; PLUMES; MODEL</t>
  </si>
  <si>
    <t>The fastest spreading center, the East Pacific Rise (EPR), is consistently deeper than most other spreading centers. Its average depth along the similar to 5000 km length is similar to 3100 m, while the mean depth along the adjacent, slower spreading Pacific-Antarctic Rise (PAR) is similar to 2700 m. The deepest spreading center is the similar to 4000 m deep, similar to 1000 km long Australian Antarctic Discordance (AAD). Analytic and numerical models show that dynamic thinning of asthenosphere can explain the magnitude and wavelength of the depth anomalies along the EPR and AAD. Previous models did not show such significant depth anomalies along spreading centers because the equations used to describe flow of thin viscous asthenosphere were linearized. At the EPR, fast plate divergence thins the asthenosphere by both sequestering it into diverging lithosphere and dragging it with the plates in contrast to the slower spreading but faster migrating PAR. The AAD asthenosphere is starved because of the restriction of asthenospheric flow due to nearby thick continental lithospheric roots combined with a moderately fast spreading rate. A narrow range of asthenospheric properties explains observed depth anomalies for both the AAD and EPR. If the asthenosphere is similar to 100 degrees C hotter, and so similar to 10 kg/m(3) less dense than the underlying asthenosphere, then the model requires an average asthenospheric thickness of similar to 250 km and a viscosity of similar to 10(19) Pa s. Thinner asthenosphere works in the model if it has a lower density and lower viscosity. Although the source of the asthenosphere is not critical to our models, we assume that it is supplied by upwelling of depleted mantle plumes in contrast to enriched plumes that feed oceanic island basalts.</t>
  </si>
  <si>
    <t>[Buck, W. Roger; Small, Christopher; Ryan, William B. F.] Columbia Univ, Lamont Doherty Earth Observ, Earth Inst, Palisades, NY 10964 USA</t>
  </si>
  <si>
    <t>Columbia University</t>
  </si>
  <si>
    <t>Buck, WR (corresponding author), Columbia Univ, Lamont Doherty Earth Observ, Earth Inst, Palisades, NY 10964 USA.</t>
  </si>
  <si>
    <t>buck@ldeo.columbia.edu</t>
  </si>
  <si>
    <t>Small, Christopher/AAB-9030-2019</t>
  </si>
  <si>
    <t>SEP 25</t>
  </si>
  <si>
    <t>Q09007</t>
  </si>
  <si>
    <t>10.1029/2009GC002373</t>
  </si>
  <si>
    <t>499OR</t>
  </si>
  <si>
    <t>WOS:000270234300001</t>
  </si>
  <si>
    <t>Vicente, CS</t>
  </si>
  <si>
    <t>San Vicente, Carlos</t>
  </si>
  <si>
    <t>Hansenomysis sorbei n. sp., a new suprabenthic mysid (Crustacea: Mysida: Petalophthalmidae) from the Bellingshausen Sea (Southern Ocean)</t>
  </si>
  <si>
    <t>Mysida; Petalophthalmidae; Hansenomysis; Bellingshausen Sea; Antarctica</t>
  </si>
  <si>
    <t>SPATIAL-DISTRIBUTION</t>
  </si>
  <si>
    <t>A new Petalophthalmidae mysid, Hansenomysis sorbei n. sp., is described from specimens sampled with a suprabenthic sled in the Bellingshausen Sea (Southern Ocean). Hansenomysis sorbei is distinguishable from its closest congener, H. carinata Casanova, 1993, by the carapace and abdominal somites sculpturing and the relative size of uropods and telson. This new species is the fifth Hansenomysis species described from the Southern Ocean. An identification key for the Antarctic and Subantarctic Hansenomysis species is also included.</t>
  </si>
  <si>
    <t>Vicente, CS (corresponding author), C Nou 8, Tarragona 43839, Spain.</t>
  </si>
  <si>
    <t>csanvicente@gencat.cat</t>
  </si>
  <si>
    <t>Spanish Ministry of Science and Technology (MCYT) Antarctic [REN2001-1074/ANT, CGL2004-01856]</t>
  </si>
  <si>
    <t>Spanish Ministry of Science and Technology (MCYT) Antarctic(Spanish Government)</t>
  </si>
  <si>
    <t>The BENTART cruises were carried out under the auspices of two Spanish Ministry of Science and Technology (MCYT) Antarctic Programmes (REN2001-1074/ANT and CGL2004-01856).; I express my gratitude to my colleagues and the head of the BENTART-06 campaign Ana Ramos and the officers and crew of the RV Hesperides. Jordi Corbera, Fran Ramil, Alfonso Ramos and Jean Claude Sorbe played a vital part in the materialization of these projects at sea. Photograph of live animal was taken by Jean Claude Sorbe and Mireia Giralt improved the English text. To all of them I express my gratitude.</t>
  </si>
  <si>
    <t>10.11646/zootaxa.2240.1.2</t>
  </si>
  <si>
    <t>498WN</t>
  </si>
  <si>
    <t>WOS:000270176500002</t>
  </si>
  <si>
    <t>Tedesco, M; Monaghan, AJ</t>
  </si>
  <si>
    <t>Tedesco, Marco; Monaghan, Andrew J.</t>
  </si>
  <si>
    <t>An updated Antarctic melt record through 2009 and its linkages to high-latitude and tropical climate variability</t>
  </si>
  <si>
    <t>SOUTHERN ANNULAR MODE; ICE SHELF; OSCILLATION; PENINSULA; SURFACE; TRENDS; SNOW; PRECIPITATION; TEMPERATURE; CIRCULATION</t>
  </si>
  <si>
    <t>A 30-year minimum Antarctic snowmelt record occurred during austral summer 2008-2009 according to spaceborne microwave observations for 1980-2009. Strong positive phases of both the El-Nino Southern Oscillation (ENSO) and the Southern Hemisphere Annular Mode (SAM) were recorded during the months leading up to and including the 2008-2009 melt season. The 30-year record confirms that significant negative correlations exist at regional and continental scales between austral summer melting and both the ENSO and SAM indices for October-January. In particular, the strongest negative melting anomalies (such as those in 2008 and 2009) are related to amplified large-scale atmospheric forcing when both the SAM and ENSO are in positive phases. Our results suggest that enhanced snowmelt is likely to occur if recent positive summer SAM trends subside in conjunction with the projected recovery of stratospheric ozone levels, with subsequent impacts on ice sheet mass balance and sea level trends. Citation: Tedesco, M., and A. J. Monaghan (2009), An updated Antarctic melt record through 2009 and its linkages to high-latitude and tropical climate variability, Geophys. Res. Lett., 36, L18502, doi:10.1029/2009GL039186.</t>
  </si>
  <si>
    <t>[Tedesco, Marco] CUNY City Coll, New York, NY 10031 USA; [Monaghan, Andrew J.] Natl Ctr Atmospher Res, Boulder, CO 80307 USA</t>
  </si>
  <si>
    <t>City University of New York (CUNY) System; City College of New York (CUNY); National Center Atmospheric Research (NCAR) - USA</t>
  </si>
  <si>
    <t>Tedesco, M (corresponding author), CUNY City Coll, Marshak Sci Bldg, New York, NY 10031 USA.</t>
  </si>
  <si>
    <t>mtedesco@sci.ccny.cuny.edu</t>
  </si>
  <si>
    <t>Tedesco, Marco/F-7986-2015</t>
  </si>
  <si>
    <t>Monaghan, Andrew/0000-0002-8170-2359</t>
  </si>
  <si>
    <t>National Science Foundation; NASA; Division of Science of the City College of New York</t>
  </si>
  <si>
    <t>National Science Foundation(National Science Foundation (NSF)); NASA(National Aeronautics &amp; Space Administration (NASA)); Division of Science of the City College of New York</t>
  </si>
  <si>
    <t>NCAR is funded by the National Science Foundation. The work at the City College was partially funded by NASA and by the Division of Science of the City College of New York.</t>
  </si>
  <si>
    <t>SEP 24</t>
  </si>
  <si>
    <t>L18502</t>
  </si>
  <si>
    <t>10.1029/2009GL039186</t>
  </si>
  <si>
    <t>499OY</t>
  </si>
  <si>
    <t>WOS:000270235100001</t>
  </si>
  <si>
    <t>Elsig, J; Schmitt, J; Leuenberger, D; Schneider, R; Eyer, M; Leuenberger, M; Joos, F; Fischer, H; Stocker, TF</t>
  </si>
  <si>
    <t>Elsig, Joachim; Schmitt, Jochen; Leuenberger, Daiana; Schneider, Robert; Eyer, Marc; Leuenberger, Markus; Joos, Fortunat; Fischer, Hubertus; Stocker, Thomas F.</t>
  </si>
  <si>
    <t>Stable isotope constraints on Holocene carbon cycle changes from an Antarctic ice core</t>
  </si>
  <si>
    <t>ATMOSPHERIC CO2; TERRESTRIAL; DYNAMICS; RECORD; AGE; VARIABILITY; PEATLANDS; DIOXIDE; CLIMATE; SINK</t>
  </si>
  <si>
    <t>Reconstructions of atmospheric CO2 concentrations based on Antarctic ice cores(1,2) reveal significant changes during the Holocene epoch, but the processes responsible for these changes in CO2 concentrations have not been unambiguously identified. Distinct characteristics in the carbon isotope signatures of the major carbon reservoirs (ocean, biosphere, sediments and atmosphere) constrain variations in the CO2 fluxes between those reservoirs. Here we present a highly resolved atmospheric delta C-13 record for the past 11,000 years from measurements on atmospheric CO2 trapped in an Antarctic ice core. From mass-balance inverse model calculations(3,4) performed with a simplified carbon cycle model, we show that the decrease in atmospheric CO2 of about 5 parts per million by volume (p.p.m.v.). The increase in delta C-13 of about 0.25 parts per thousand during the early Holocene is most probably the result of a combination of carbon uptake of about 290 gigatonnes of carbon by the land biosphere and carbon release from the ocean in response to carbonate compensation of the terrestrial uptake during the termination of the last ice age. The 20 p.p.m.v. increase of atmospheric CO2 and the small decrease in delta C-13 of about 0.05 parts per thousand during the later Holocene can mostly be explained by contributions from carbonate compensation of earlier land-biosphere uptake and coral reef formation, with only a minor contribution from a small decrease of the land-biosphere carbon inventory.</t>
  </si>
  <si>
    <t>[Elsig, Joachim; Schmitt, Jochen; Leuenberger, Daiana; Schneider, Robert; Eyer, Marc; Leuenberger, Markus; Joos, Fortunat; Fischer, Hubertus; Stocker, Thomas F.] Univ Bern, Inst Phys, CH-3012 Bern, Switzerland; [Elsig, Joachim; Schmitt, Jochen; Leuenberger, Daiana; Schneider, Robert; Eyer, Marc; Leuenberger, Markus; Joos, Fortunat; Fischer, Hubertus; Stocker, Thomas F.] Univ Bern, Oeschger Ctr Climate Change Res, CH-3012 Bern, Switzerland; [Schmitt, Jochen; Fischer, Hubertus] Alfred Wegener Inst Polar &amp; Marine Res AWI, D-27568 Bremerhaven, Germany</t>
  </si>
  <si>
    <t>University of Bern; University of Bern; Helmholtz Association; Alfred Wegener Institute, Helmholtz Centre for Polar &amp; Marine Research</t>
  </si>
  <si>
    <t>Stocker, TF (corresponding author), Univ Bern, Inst Phys, Sidlerstr 5, CH-3012 Bern, Switzerland.</t>
  </si>
  <si>
    <t>stocker@climate.unibe.ch</t>
  </si>
  <si>
    <t>Stocker, Thomas F/B-1273-2013; Schmitt, Jochen/B-7893-2009; Leuenberger, Markus C/K-9655-2016; Joos, Fortunat/B-4118-2018; Fischer, Hubertus/A-1211-2014</t>
  </si>
  <si>
    <t>Schmitt, Jochen/0000-0003-4695-3029; Leuenberger, Markus C/0000-0003-4299-6793; Joos, Fortunat/0000-0002-9483-6030; Fischer, Hubertus/0000-0002-2787-4221</t>
  </si>
  <si>
    <t>EU (EPICA-MIS); national contributions from Belgium, Denmark, France, Germany, Italy, the Netherlands, Norway, Sweden, Switzerland and the United Kingdom; Swiss NSF; DFG priority programme INTERDYNAMIK; German climate programme DEKLIM</t>
  </si>
  <si>
    <t>EU (EPICA-MIS)(European Union (EU)); national contributions from Belgium, Denmark, France, Germany, Italy, the Netherlands, Norway, Sweden, Switzerland and the United Kingdom(Netherlands Government); Swiss NSF(Swiss National Science Foundation (SNSF)); DFG priority programme INTERDYNAMIK(German Research Foundation (DFG)); German climate programme DEKLIM</t>
  </si>
  <si>
    <t>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main logistic support was provided by IPEV and PNRA ( at Dome C) and AWI ( at Dronning Maud Land). We thank A. Landais, D. Rodriguez, E. Capron and G. Dreyfus for the contribution of delta15N data as well as P. Nyfeler and K. Grossenbacher for their technical support, T. Tschumi for sharing his Bern3D results, and J. Chappellaz for comments. We acknowledge financial support by the Swiss NSF, the DFG priority programme INTERDYNAMIK and the German climate programme DEKLIM. This is EPICA publication no. 227.</t>
  </si>
  <si>
    <t>10.1038/nature08393</t>
  </si>
  <si>
    <t>497SP</t>
  </si>
  <si>
    <t>WOS:000270082900036</t>
  </si>
  <si>
    <t>Kameda, T; Fujita, K; Sugita, O; Hirasawa, N; Takahashi, S</t>
  </si>
  <si>
    <t>Kameda, Takao; Fujita, Koji; Sugita, Okimasa; Hirasawa, Naohiko; Takahashi, Shuhei</t>
  </si>
  <si>
    <t>Total solar eclipse over Antarctica on 23 November 2003 and its effects on the atmosphere and snow near the ice sheet surface at Dome Fuji</t>
  </si>
  <si>
    <t>11 AUGUST 1999; AIR-TEMPERATURE; ENERGY BALANCE; SPATIAL VARIABILITY; EAST ANTARCTICA; MASS-BALANCE; STAKE METHOD; COSTA-RICA; STATION; PRESSURE</t>
  </si>
  <si>
    <t>The Moon cast a long shadow over Antarctica on 23 November 2003 in a total solar eclipse. The eclipse was observed at Dome Fuji Station, located at the highest point of East Dronning Maud Land, Antarctica, and lasted 1 h 41 min 37 s in a cloudless condition, during which the Sun was completely obscured for 1 min 43 s. This was the first total solar eclipse to be observed in the Antarctic ice sheet. During the eclipse at Dome Fuji, the air temperature at 1.5 m above the snow surface and the subsurface snow temperature decreased by 3.0 K and 1.8 K, respectively. Estimated surface snow temperatures decreased by 4.6 K. Atmospheric pressure and wind direction did not change, but the wind speed possibly decreased by 0.3 m/s with decreasing air temperature; natural variations in wind speed before and after the eclipse made it difficult to identify a true effect of the solar eclipse. Variations of energy components (net shortwave and longwave radiations, sensible and latent heat fluxes, and geothermal heat) during the eclipse were investigated. The total loss of global solar radiation during the eclipse was 0.60 MJ m(-2), equaling 1.6% of the total daily global solar radiation. Regional effects of the eclipse due to a reduction of global solar radiation for air temperature and snow temperature ranged from 0.015 to 0.020 K (W m(-2))(-1). We additionally examined the relation between eclipse obscuration (the fraction of the Sun's surface area occulted by the Moon) and the reduction of global solar radiation from the first to second contacts. The eclipse was also observed from space by the Moderate Resolution Imaging Spectroradiometer (MODIS) sensors onboard NASA's Terra and Aqua satellites. The observational results of this study will contribute to detailed model calculations for clarifying the meteorological effects of eclipses.</t>
  </si>
  <si>
    <t>[Kameda, Takao; Takahashi, Shuhei] Kitami Inst Technol, Snow &amp; Ice Res Lab, Kitami, Hokkaido 0908507, Japan; [Fujita, Koji] Nagoya Univ, Grad Sch Environm Studies, Chikusa Ku, Nagoya, Aichi 4648601, Japan; [Sugita, Okimasa] Japan Meteorol Agcy, Observat Dept, Chiyoda Ku, Tokyo 1008122, Japan; [Hirasawa, Naohiko] Natl Inst Polar Res, Tokyo 1908518, Japan</t>
  </si>
  <si>
    <t>Kitami Institute of Technology; Nagoya University; Japan Meteorological Agency; Research Organization of Information &amp; Systems (ROIS); National Institute of Polar Research (NIPR) - Japan</t>
  </si>
  <si>
    <t>Kameda, T (corresponding author), Kitami Inst Technol, Snow &amp; Ice Res Lab, 165 Koen Cho, Kitami, Hokkaido 0908507, Japan.</t>
  </si>
  <si>
    <t>kameda@mail.kitami-it.ac.jp</t>
  </si>
  <si>
    <t>Fujita, Koji/E-6104-2010</t>
  </si>
  <si>
    <t>Fujita, Koji/0000-0003-3753-4981; Takahashi, Shuhei/0000-0003-2303-8928; Kameda, Takao/0000-0001-6317-4399</t>
  </si>
  <si>
    <t>Grants-in-Aid for Scientific Research [21540448] Funding Source: KAKEN</t>
  </si>
  <si>
    <t>Grants-in-Aid for Scientific Research(Ministry of Education, Culture, Sports, Science and Technology, Japan (MEXT)Japan Society for the Promotion of ScienceGrants-in-Aid for Scientific Research (KAKENHI))</t>
  </si>
  <si>
    <t>SEP 23</t>
  </si>
  <si>
    <t>D18115</t>
  </si>
  <si>
    <t>10.1029/2009JD011886</t>
  </si>
  <si>
    <t>499PD</t>
  </si>
  <si>
    <t>WOS:000270235600010</t>
  </si>
  <si>
    <t>Sasaki, M; Imura, S; Kudoh, S; Yamanouchi, T; Morimoto, S; Hashida, G</t>
  </si>
  <si>
    <t>Sasaki, Masafumi; Imura, Satoshi; Kudoh, Sakae; Yamanouchi, Takashi; Morimoto, Shinji; Hashida, Gen</t>
  </si>
  <si>
    <t>Methane efflux from bubbles suspended in ice-covered lakes in Syowa Oasis, East Antarctica</t>
  </si>
  <si>
    <t>ATMOSPHERIC METHANE; ABUNDANCE; BACTERIA; EMISSION; GASES</t>
  </si>
  <si>
    <t>This is the first estimation of methane efflux from bubbles in lake ice in Antarctica. Bubbles suspended in shallow ice in 20 lakes were observed as part of the operations of the 45th Japanese Antarctic Research Expedition in ice-free rocky areas along the eastern coast of Lutzow-Holm Bay (Syowa Oasis) in East Antarctica in 2004. Anomalous methane concentrations in bubbles suspended in lake ice and anomalous dissolved methane concentrations in lake water were frequently found. Methane concentrations in bubbles varied of 5 orders of magnitude, from 1.9 ppmv to 18% vol/vol. A procedure that makes estimations of methane flux from ice bubbles possible has been developed, on the basis of a relationship between bubble-density distribution, brightness observed by digital photographs, and methane concentration in bubbles. Such a procedure applied to Lake Oyako Ike in the Skarvsnes area, where the maximum methane concentration was observed, suggests that total bubble volume is about 0.6% of ice volume and the mass of methane in bubbles in the lake is about 74 kg. Almost all gases in bubbles are released to the atmosphere in the early ice melt season (a period of a few weeks in December and January). By applying area fraction frequency distributions to methane concentration ranges for 20 lakes surveyed, extrapolation to the whole Syowa Oasis, including 110 lakes, would give a provisional estimate of total emission of about 2 tons-CH4/yr.</t>
  </si>
  <si>
    <t>[Sasaki, Masafumi] Kitami Inst Technol, Dept Mech Engn, Kitami, Hokkaido 0908507, Japan; [Imura, Satoshi; Kudoh, Sakae] Natl Inst Polar Res, Biosci Grp, Tokyo 1908518, Japan; [Yamanouchi, Takashi; Morimoto, Shinji; Hashida, Gen] Natl Inst Polar Res, Meteorol &amp; Glaciol Grp, Tokyo 1908518, Japan</t>
  </si>
  <si>
    <t>Kitami Institute of Technology; Research Organization of Information &amp; Systems (ROIS); National Institute of Polar Research (NIPR) - Japan; Research Organization of Information &amp; Systems (ROIS); National Institute of Polar Research (NIPR) - Japan</t>
  </si>
  <si>
    <t>Sasaki, M (corresponding author), Kitami Inst Technol, Dept Mech Engn, 165 Koen Cho, Kitami, Hokkaido 0908507, Japan.</t>
  </si>
  <si>
    <t>sasaki-m@mail.kitami-it.ac.jp</t>
  </si>
  <si>
    <t>Morimoto, Shinji/GQR-1817-2022; Yamanouchi, Takashi/P-2041-2015</t>
  </si>
  <si>
    <t>D18114</t>
  </si>
  <si>
    <t>10.1029/2009JD011849</t>
  </si>
  <si>
    <t>WOS:000270235600009</t>
  </si>
  <si>
    <t>Sakanoi, T; Fukunishi, H; Igarashi, K; Okano, S; Nishitani, N</t>
  </si>
  <si>
    <t>Sakanoi, T.; Fukunishi, H.; Igarashi, K.; Okano, S.; Nishitani, N.</t>
  </si>
  <si>
    <t>Neutral-ion interaction in the auroral E region obtained from coordinated Fabry-Perot imager and VHF radar observations</t>
  </si>
  <si>
    <t>GROUND-BASED OBSERVATIONS; LATITUDE E-REGION; IONOSPHERIC CURRENTS; SYOWA STATION; IIOKA 36-DEGREES-N; WIND; IRREGULARITIES; THERMOSPHERE; DYNAMICS; ANTARCTICA</t>
  </si>
  <si>
    <t>It is important to investigate the small-scale dynamics of thermospheric neutrals and ionospheric plasmas at high latitudes since there are local and temporal variations in energy input and transfer processes associated with auroral activities. To clarify these ionosphere-thermosphere interactions in the auroral E region, we examined neutral winds and plasma motions obtained by coordinated Fabry-Perot imager and VHF radar observations at Syowa Station, Antarctica. From case studies on 11 and 12 September 1996, we found a good correlation between temporal variation (period &lt; 1 hr) of E region neutral winds measured by the Fabry-Perot imager and the Doppler velocities of plasmas obtained from the VHF radar echoes. On the other hand, the absolute mean values of the neutral winds were around zero whereas the plasma Doppler velocities were 350-400 m/s, showing a significant discrepancy. Considering that the neutral-ion and ion-neutral momentum transfer collision frequencies in the E region are similar to 10(-6) Hz and similar to 10(2) Hz, respectively, these good correlations are probably due to ion motions driven by neutral drag force, suggesting a strong coupling between neutrals and ions in the E region. The observed correlation and discrepancy between the radar Doppler velocity and the neutral wind velocity are consistent with the linear theory of E region irregularities that shows the radar Doppler velocity is the sum of two components; one is the E x B drift speed, and another is proportional to the neutral wind velocity.</t>
  </si>
  <si>
    <t>[Sakanoi, T.] Tohoku Univ, Grad Sch Sci, Aoba Ku, Sendai, Miyagi 9808578, Japan; [Fukunishi, H.] Japan Soc Promot Sci Beijing Off, Beijing, Peoples R China; [Igarashi, K.] Natl Inst Informat &amp; Commun Technol, Koganei, Tokyo 1848795, Japan; [Nishitani, N.] Nagoya Univ, Solar Terr Environm Lab, Nagoya, Aichi 4648601, Japan</t>
  </si>
  <si>
    <t>Tohoku University; National Institute of Information &amp; Communications Technology (NICT) - Japan; Nagoya University</t>
  </si>
  <si>
    <t>Sakanoi, T (corresponding author), Tohoku Univ, Grad Sch Sci, Aoba Ku, Sendai, Miyagi 9808578, Japan.</t>
  </si>
  <si>
    <t>tsakanoi@pparc.geophys.tohoku.ac.jp; fuku@pat.geophys.tohoku.ac.jp; igarashi@nict.go.jp; okano@pparc.geophys.tohoku.ac.jp</t>
  </si>
  <si>
    <t>Nishitani, Nozomu/R-8831-2019; Sakanoi, Takeshi/C-5593-2018</t>
  </si>
  <si>
    <t>Nishitani, Nozomu/0000-0001-9842-5119; Sakanoi, Takeshi/0000-0002-7146-9020</t>
  </si>
  <si>
    <t>NASA's National Space Science Data Center</t>
  </si>
  <si>
    <t>We thank all the members of the 37th wintering party of the Japanese Antarctic Research Expedition for their support at Syowa Station. MSP and Geomagnetic data were provided by the World Data Center- C2 for Aurora at the National Institute of Polar Research. IMF conditions measured by WIND and IMP8 were downloaded from the `` cdaweb'' service site at the URL http://cdaweb.gsfc.nasa.gov/cdaweb/istp_public. The MSISE- 90 and IRI- 95 models were obtained from the Web pages of NASA's National Space Science Data Center.</t>
  </si>
  <si>
    <t>A09305</t>
  </si>
  <si>
    <t>10.1029/2008JA013956</t>
  </si>
  <si>
    <t>499PT</t>
  </si>
  <si>
    <t>WOS:000270237500002</t>
  </si>
  <si>
    <t>Waugh, DW; Oman, L; Newman, PA; Stolarski, RS; Pawson, S; Nielsen, JE; Perlwitz, J</t>
  </si>
  <si>
    <t>Waugh, D. W.; Oman, L.; Newman, P. A.; Stolarski, R. S.; Pawson, S.; Nielsen, J. E.; Perlwitz, J.</t>
  </si>
  <si>
    <t>Effect of zonal asymmetries in stratospheric ozone on simulated Southern Hemisphere climate trends</t>
  </si>
  <si>
    <t>Stratospheric ozone is represented in most climate models by prescribing zonal-mean fields. We examine the impact of this on Southern Hemisphere (SH) trends using a chemistry climate model (CCM): multi-decadal simulations with interactive stratospheric chemistry are compared with parallel simulations using the same model in which the zonal-mean ozone is prescribed. Prescribing zonal-mean ozone results in a warmer Antarctic stratosphere when there is a large ozone hole, with much smaller differences at other times. As a consequence, Antarctic temperature trends for 1960 to 2000 and 2000 to 2050 in the CCM are underestimated when zonal-mean ozone is prescribed. The impacts of stratospheric changes on the tropospheric circulation (i.e., summertime trends in the SH annular mode) are also underestimated. This shows that SH trends related to ozone depletion and recovery are underestimated when interactions between stratospheric ozone and climate are approximated by an imposed zonal-mean ozone field. Citation: Waugh, D. W., L. Oman, P. A. Newman, R. S. Stolarski, S. Pawson, J. E. Nielsen, and J. Perlwitz (2009), Effect of zonal asymmetries in stratospheric ozone on simulated Southern Hemisphere climate trends, Geophys. Res. Lett., 36, L18701, doi:10.1029/2009GL040419.</t>
  </si>
  <si>
    <t>[Waugh, D. W.; Oman, L.] Johns Hopkins Univ, Dept Earth &amp; Planetary Sci, Baltimore, MD 21218 USA; [Newman, P. A.; Stolarski, R. S.] NASA, Atmospher Chem &amp; Dynam Branch, Goddard Space Flight Ctr, Greenbelt, MD 20771 USA; [Pawson, S.; Nielsen, J. E.] NASA, Global Modeling &amp; Assimilat Off, Goddard Space Flight Ctr, Greenbelt, MD 20771 USA; [Perlwitz, J.] Univ Colorado, Cooperat Inst Res Environm Sci, NOAA, Boulder, CO 80309 USA</t>
  </si>
  <si>
    <t>Johns Hopkins University; National Aeronautics &amp; Space Administration (NASA); NASA Goddard Space Flight Center; National Aeronautics &amp; Space Administration (NASA); NASA Goddard Space Flight Center; University of Colorado System; University of Colorado Boulder; National Oceanic Atmospheric Admin (NOAA) - USA</t>
  </si>
  <si>
    <t>Waugh, DW (corresponding author), Johns Hopkins Univ, Dept Earth &amp; Planetary Sci, 320 Olin Bldg,3400 N Charles St, Baltimore, MD 21218 USA.</t>
  </si>
  <si>
    <t>waugh@jhu.edu</t>
  </si>
  <si>
    <t>Stolarski, Richard S/B-8499-2013; Perlwitz, Judith/B-7201-2008; Waugh, Darryn/K-3688-2016; Newman, Paul A./D-6208-2012; Oman, Luke/C-2778-2009; Pawson, Steven/I-1865-2014</t>
  </si>
  <si>
    <t>Perlwitz, Judith/0000-0003-4061-2442; Waugh, Darryn/0000-0001-7692-2798; Newman, Paul A./0000-0003-1139-2508; Oman, Luke/0000-0002-5487-2598; Pawson, Steven/0000-0003-0200-717X</t>
  </si>
  <si>
    <t>NASA MAP; NSF</t>
  </si>
  <si>
    <t>NASA MAP(National Aeronautics &amp; Space Administration (NASA)); NSF(National Science Foundation (NSF))</t>
  </si>
  <si>
    <t>This research was supported by the NASA MAP and NSF Large-scale Climate Dynamics programs. Computational resources were provided through NASA's High-End Computing program.</t>
  </si>
  <si>
    <t>SEP 22</t>
  </si>
  <si>
    <t>L18701</t>
  </si>
  <si>
    <t>10.1029/2009GL040419</t>
  </si>
  <si>
    <t>499OT</t>
  </si>
  <si>
    <t>WOS:000270234600009</t>
  </si>
  <si>
    <t>Kidston, J; Renwick, JA; McGregor, J</t>
  </si>
  <si>
    <t>Kidston, J.; Renwick, J. A.; McGregor, J.</t>
  </si>
  <si>
    <t>Hemispheric-Scale Seasonality of the Southern Annular Mode and Impacts on the Climate of New Zealand</t>
  </si>
  <si>
    <t>PENINSULA SUMMER TEMPERATURES; NORTH-ATLANTIC OSCILLATION; GENERAL-CIRCULATION MODEL; LOW-FREQUENCY VARIABILITY; ZONAL FLOW VACILLATION; STORM TRACKS; ANTARCTIC OSCILLATION; EXTRATROPICAL CIRCULATION; SURFACE-TEMPERATURE; AUSTRALIAN RAINFALL</t>
  </si>
  <si>
    <t>The seasonality of the southern annular mode (SAM) and the resulting impacts on the climate variability of New Zealand (NZ) are investigated. As with previous studies, during summer the SAM is found to be largely zonally symmetric, whereas during winter it exhibits increased zonal wavenumber 2-3 variability. This is consistent with seasonal variations in the mean state, and the authors argue that the seasonal cycle of near-surface temperature over the Australian continent plays an important role, making the eddy-driven jet, and hence the SAM, more zonally symmetric during summer than winter. During winter, the SAM exhibits little variability over the South Pacific and southeast of Australia. Dynamical reasons for this behavior are discussed. For the NZ region this seasonality implies that fluctuations in the SAM are associated with a zonal wind speed anomaly during summer but a more meridional wind speed anomaly during winter. This behavior is well captured by temperature and rainfall station data, which serves to corroborate the seasonal changes seen in the large-scale analysis. Moreover, the mode of climate variability that corresponds to a fluctuation of the zonal wind speed is well correlated with the SAM during the summer only and exhibits less variance during the winter. This is consistent with the notion that the seasonality of the SAM significantly impacts modes of climate variability in the region.</t>
  </si>
  <si>
    <t>[Kidston, J.] Victoria Univ Wellington, Natl Inst Water &amp; Atmospher Res, Wellington, New Zealand; [Kidston, J.; McGregor, J.] Victoria Univ Wellington, Sch Geog Environm &amp; Earth Sci, Wellington, New Zealand</t>
  </si>
  <si>
    <t>Victoria University Wellington; National Institute of Water &amp; Atmospheric Research (NIWA) - New Zealand; Victoria University Wellington</t>
  </si>
  <si>
    <t>Kidston, J (corresponding author), Natl Inst Water &amp; Atmospher Res NIWA, Private Bag 14901, Wellington, New Zealand.</t>
  </si>
  <si>
    <t>j.kidston@niwa.co.nz</t>
  </si>
  <si>
    <t>Renwick, James/0000-0002-9141-2486</t>
  </si>
  <si>
    <t>Marsden Fund of New Zealand</t>
  </si>
  <si>
    <t>Marsden Fund of New Zealand(Royal Society of New ZealandMarsden Fund (NZ))</t>
  </si>
  <si>
    <t>Funding for this research was provided by the Marsden Fund of New Zealand.</t>
  </si>
  <si>
    <t>SEP 21</t>
  </si>
  <si>
    <t>10.1175/2009JCLI2640.1</t>
  </si>
  <si>
    <t>496ZT</t>
  </si>
  <si>
    <t>WOS:000270021000003</t>
  </si>
  <si>
    <t>Lascaux, F; Masciadri, E; Hagelin, S; Stoesz, J</t>
  </si>
  <si>
    <t>Lascaux, F.; Masciadri, E.; Hagelin, S.; Stoesz, J.</t>
  </si>
  <si>
    <t>Mesoscale optical turbulence simulations at Dome C</t>
  </si>
  <si>
    <t>MONTHLY NOTICES OF THE ROYAL ASTRONOMICAL SOCIETY</t>
  </si>
  <si>
    <t>turbulence; atmospheric effects; site testing</t>
  </si>
  <si>
    <t>ATMOSPHERIC NUMERICAL-MODEL; MESO-NH; PARAMETERIZATION; ANTARCTICA</t>
  </si>
  <si>
    <t>In recent years, ground-based astronomy has been looking towards Antarctica, especially its summits and the internal continental plateau, where the optical turbulence appears to be confined in a shallow layer close to the icy surface. Preliminary measurements have so far indicated rather good values for the seeing above 30-35 m: around 0.3 arcsec at Dome C. Site-testing campaigns are however extremely expensive; instruments provide only local measurements and atmospheric modelling might represent a step ahead in the search and selection of astronomical sites, thanks to the possibility of reconstructing three-dimensional (3D) C(N)(2) maps over a surface of several km. The Antarctic Plateau therefore represents an important benchmark test to evaluate the possibility of discriminating between sites on the same plateau. Our group has proven that the analyses from the European Centre for Medium-Range Weather Forecasts (ECMWF) global model do not describe the Antarctic boundary and surface layers in the plateau with the required accuracy. A better description could be obtained with a mesoscale meteorological model. The mesoscale model Meso-NH has proven to be reliable in reproducing 3D maps of optical turbulence above mid-latitude astronomical sites. In this paper we study the ability of the Meso-NH model to reconstruct the meteorological parameters as well as the optical turbulence above Dome C with different model configurations (monomodel and grid-nesting). We concentrate our attention on the abilities of the model in reproducing the optical turbulence surface-layer thickness (h(s1)) and the integral of C(N)(2) in the free atmosphere and in the surface layer. It is worth highlighting that these are the first estimates ever made with a mesoscale model of the optical turbulence above the internal Antarctic Plateau.</t>
  </si>
  <si>
    <t>[Lascaux, F.; Masciadri, E.; Hagelin, S.; Stoesz, J.] Osserv Astrofis Arcetri, INAF, I-50125 Florence, Italy; [Hagelin, S.] Uppsala Univ, Dept Earth Sci, S-75236 Uppsala, Sweden</t>
  </si>
  <si>
    <t>Istituto Nazionale Astrofisica (INAF); Uppsala University</t>
  </si>
  <si>
    <t>Lascaux, F (corresponding author), Osserv Astrofis Arcetri, INAF, Largo Enrico Fermi 5, I-50125 Florence, Italy.</t>
  </si>
  <si>
    <t>lascaux@arcetri.astro.it; masciadri@arcetri.astro.it</t>
  </si>
  <si>
    <t>Hagelin, Susanna/AAA-2956-2021; Lascaux, Franck/AAK-4581-2021; Masciadri, Elena/AAC-5611-2021</t>
  </si>
  <si>
    <t>Hagelin, Susanna/0000-0003-3167-3016; Masciadri, Elena/0000-0002-0450-4092; Lascaux, Franck/0000-0002-0099-0740</t>
  </si>
  <si>
    <t>Marie Curie Excellence [(FOROT)-MEXT-CT-2005-023878]</t>
  </si>
  <si>
    <t>Marie Curie Excellence(European Union (EU))</t>
  </si>
  <si>
    <t>This study has been funded by the Marie Curie Excellence Grant (FOROT)-MEXT-CT-2005-023878. ECMWF analyses are extracted from the Catalog MARS, http://www.ecmwf.int. Radiosoundings come from the Progetto di Ricerca 'Osservatorio Meteo Climatologico' of the Programma Nazionale di Ricerche in Antartide (PNRA), http://www.climantartide.it.</t>
  </si>
  <si>
    <t>0035-8711</t>
  </si>
  <si>
    <t>MON NOT R ASTRON SOC</t>
  </si>
  <si>
    <t>Mon. Not. Roy. Astron. Soc.</t>
  </si>
  <si>
    <t>10.1111/j.1365-2966.2009.15151.x</t>
  </si>
  <si>
    <t>493JB</t>
  </si>
  <si>
    <t>WOS:000269731500004</t>
  </si>
  <si>
    <t>Krishnan, KP; Bharathi, PAL</t>
  </si>
  <si>
    <t>Krishnan, K. P.; Bharathi, P. A. Loka</t>
  </si>
  <si>
    <t>Organic carbon and iron modulate nitrification rates in mangrove swamps of Goa, south west coast of India</t>
  </si>
  <si>
    <t>ESTUARINE COASTAL AND SHELF SCIENCE</t>
  </si>
  <si>
    <t>5th Western-Indian-Ocean-Marine-Science-Association Symposium (WIOMSA)</t>
  </si>
  <si>
    <t>OCT 22-26, 2007</t>
  </si>
  <si>
    <t>Durban, SOUTH AFRICA</t>
  </si>
  <si>
    <t>nitrification; nitrifiers; mangroves; organic carbon; manganese; iron</t>
  </si>
  <si>
    <t>HETEROTROPHIC NITRIFICATION; SEASONAL-VARIATIONS; HYPORHEIC ZONE; SEDIMENTS; NITROGEN; STREAM; DECOMPOSITION; ECOSYSTEM; BACTERIA; NITRATE</t>
  </si>
  <si>
    <t>Nitrification, fuelled by ammonium is the pivotal oxidative pathway to nitrogen cycling. In spite of its ecological significance, the factors regulating nitrification rates in the benthic realm remain poorly understood. The present study therefore examines some of the factors like ammonium, nitrite, nitrate, organic carbon, iron and manganese on down-core variability in benthic nitrification rates in two different mangrove ecosystems, one under the influence of ferromanganese ore mining (experiment) and the other relatively undisturbed (control). We hypothesize that besides organic carbon, iron could also influence the rate of nitrification. The study also contrasts the distributive pattern of autotrophic and heterotrophic nitrifiers in the two regions. The concentration of iron at the control site ranged from 1.1% to 15.1% while at the experimental site it ranged from 2.9% to 46%. The levels of organic carbon at control and experimental sites ranged from 0.02% to 6.9% and 0.1% to 6.5%, respectively. The nitrification rates at the control and experimental sites are comparable and ranged from 3.2 +/- 1.2 to 18.4 +/- 1.9 ng at-Ng(sediment)(-1) h(-1) and 2.7 +/- 1.5 to 18.2 +/- 0.6 ng at-Ng(sediment)(-1) h(-1), respectively. While the abundance of heterotrophic nitrifiers at both the sites ranged from 10(2-3) cells g(-1) sediment, the autotrophic nitrifiers at the experimental site was higher by an order at similar to 10(3) cells g(-1) sediment reflecting the relatively higher refractile nature of organic carbon at the experimental site (Straus and Lamberti, 2000). Though organic carbon and nitrification rates are similar in both the sites, the underlying mechanisms governing the processes could be different. Our studies suggest that at the control site, heterotrophic nitrifiers govern nitrification rates (r = 0.28, p &lt; 0.05, n = 64) using organic carbon (r = 0.32, p &lt; 0.01, n = 64). At the experimental site, nitrification was governed more by autotrophic nitrifiers (r = 0.43, p &lt; 0.001, n = 64) at the expense of iron (r = 0.47, p &lt; 0.001, n = 64). Therefore at the experimental site with higher load of iron, autotrophic nitrification could be more important. It is therefore inferred that both the quality of organic carbon and quantity of iron govern nitrification rates in these mangrove swamps. (C) 2009 Elsevier Ltd. All rights reserved.</t>
  </si>
  <si>
    <t>[Krishnan, K. P.; Bharathi, P. A. Loka] Natl Inst Oceanog, Goa, India; [Krishnan, K. P.] Natl Ctr Antarctic &amp; Ocean Res, Goa, India</t>
  </si>
  <si>
    <t>Council of Scientific &amp; Industrial Research (CSIR) - India; CSIR - National Institute of Oceanography (NIO); Ministry of Earth Sciences (MoES) - India; National Centre for Polar and Ocean Research (NCPOR)</t>
  </si>
  <si>
    <t>Bharathi, PAL (corresponding author), Natl Inst Oceanog, Goa, India.</t>
  </si>
  <si>
    <t>loka@nio.org</t>
  </si>
  <si>
    <t>, K. P. Krishnan/0000-0003-1101-657X</t>
  </si>
  <si>
    <t>0272-7714</t>
  </si>
  <si>
    <t>1096-0015</t>
  </si>
  <si>
    <t>ESTUAR COAST SHELF S</t>
  </si>
  <si>
    <t>Estuar. Coast. Shelf Sci.</t>
  </si>
  <si>
    <t>SEP 20</t>
  </si>
  <si>
    <t>10.1016/j.ecss.2009.07.015</t>
  </si>
  <si>
    <t>498FK</t>
  </si>
  <si>
    <t>WOS:000270122400017</t>
  </si>
  <si>
    <t>Daae, KL; Fer, I; Abrahamsen, EP</t>
  </si>
  <si>
    <t>Daae, Kjersti L.; Fer, Ilker; Abrahamsen, E. Povl</t>
  </si>
  <si>
    <t>Mixing on the continental slope of the southern Weddell Sea</t>
  </si>
  <si>
    <t>ANTARCTIC BOTTOM WATER; MONTEREY SUBMARINE-CANYON; INTERNAL WAVES; CRITICAL LATITUDE; TURBULENT DISSIPATION; VELOCITY PROFILES; FINE-STRUCTURE; ENERGY; OCEAN; TIDES</t>
  </si>
  <si>
    <t>Shipboard hydrography and current profiles collected in 2003 and time series from moored current meters deployed in late 1990s are analyzed to study the variability of mixing in the southeastern Weddell Sea. Profiles of eddy diffusivity K-rho are inferred from fine-scale shear ( vertical derivative of horizontal velocity) and strain (vertical derivative of isopycnal displacement) variance using parameterizations which relate the internal wave energy to the dissipation rate at small scales. The highest mixing rates are seen near the bottom where the eddy diffusivities are elevated by 1 order of magnitude from those in the interior and exceed 10(-4) m(2) s(-1). The observations show latitudinal variability in K-rho, particularly near the bottom, where K-rho significantly increases near 74 degrees 28'S, the critical latitude for lunar semidiurnal (M-2) tides. In this region, the critical latitude coincides with near-critical topography on the upper continental slope, a situation which favors generation of M-2 internal waves. Consistent with the results from fine-scale shear and strain parameterizations, which indicate highest bottom diffusivities near the critical latitude, independent analysis of current time series from moored instruments shows a thickening of the frictional bottom boundary layer near the critical latitude. Semidiurnal tidal dynamics at the upper continental slope together with the critical latitude effects lead to mixing that might significantly affect the regional heat budget and the circulation in the study area.</t>
  </si>
  <si>
    <t>[Daae, Kjersti L.; Fer, Ilker] Univ Bergen, Inst Geophys, N-5007 Bergen, Norway; [Abrahamsen, E. Povl] British Antarctic Survey, Nat Environm Res Council, Cambridge CB3 0ET, England</t>
  </si>
  <si>
    <t>University of Bergen; UK Research &amp; Innovation (UKRI); Natural Environment Research Council (NERC); NERC British Antarctic Survey</t>
  </si>
  <si>
    <t>Daae, KL (corresponding author), Norwegian Inst Water Res, Nordnesboder 5,POB 2026, N-5817 Bergen, Norway.</t>
  </si>
  <si>
    <t>kjersti.daae@niva.no; ilker.fer@gfi.uib.no; epab@bas.ac.uk</t>
  </si>
  <si>
    <t>Fer, Ilker/C-7820-2012; Abrahamsen, Povl/B-2140-2008</t>
  </si>
  <si>
    <t>Fer, Ilker/0000-0002-2427-2532; Abrahamsen, Povl/0000-0001-5924-5350</t>
  </si>
  <si>
    <t>Research Council of Norway through the Bipolar Atlantic Thermohaline Circulation (BIAC); Natural Environment Research Council [bas0100028, bas010014] Funding Source: researchfish; NERC [bas010014, bas0100028] Funding Source: UKRI</t>
  </si>
  <si>
    <t>Research Council of Norway through the Bipolar Atlantic Thermohaline Circulation (BIAC)(Research Council of Norway); Natural Environment Research Council(UK Research &amp; Innovation (UKRI)Natural Environment Research Council (NERC)); NERC(UK Research &amp; Innovation (UKRI)Natural Environment Research Council (NERC))</t>
  </si>
  <si>
    <t>K. L. D. and I. F. received support from the Research Council of Norway through the Bipolar Atlantic Thermohaline Circulation (BIAC) project. The 2003 cruise on RRS Ernest Shackleton was a collaboration between the British Antarctic Survey and the Bjerknes Centre for Climate Research through the Global Interactions of the Antarctic Ice Sheet-Response of the Ice-Shelf Ocean System to Climate (GIANTS-RISOC) program. We are grateful to Bogi Hansen and Cathy Moore for their work on the cruise and the captain and crew of RRS Ernest Shackleton. Constructive and helpful comments received from two anonymous reviewers greatly improved an earlier version of this article.</t>
  </si>
  <si>
    <t>SEP 18</t>
  </si>
  <si>
    <t>C09018</t>
  </si>
  <si>
    <t>10.1029/2008JC005259</t>
  </si>
  <si>
    <t>497KE</t>
  </si>
  <si>
    <t>WOS:000270057300002</t>
  </si>
  <si>
    <t>Park, YH; Vivier, F; Roquet, F; Kestenare, E</t>
  </si>
  <si>
    <t>Park, Young-Hyang; Vivier, Frederic; Roquet, Fabien; Kestenare, Elodie</t>
  </si>
  <si>
    <t>Direct observations of the ACC transport across the Kerguelen Plateau</t>
  </si>
  <si>
    <t>ANTARCTIC CIRCUMPOLAR CURRENT; SOUTH INDIAN-OCEAN; LARGE-SCALE CIRCULATION; FRONTAL STRUCTURE; VARIABILITY; SECTION; BASIN</t>
  </si>
  <si>
    <t>Major pathways and transport of the Antarctic Circumpolar Current (ACC) crossing the Kerguelen Plateau were directly observed during the 2009 Track cruise. The net eastward transport to the south of the Heard/McDonald Islands is estimated as 56 Sv (1 Sv = 10(6) m(3) s(-1)), 43 Sv of which is tightly channelled into the Fawn Trough that appears as a predominant cross-plateau gateway of circumpolar flow associated with the Southern ACC Front (SACCF). There are also two secondary passages, with one (6 Sv) being attached to the nearshore slope just south of the Heard/McDonald Islands and the other (7 Sv) passing through the northern Princess Elizabeth Trough. With an additional 2 Sv inferred just south of the Kerguelen Islands, the transport across the entire plateau amounts to 58 Sv, accounting for similar to 40% of the total ACC transport transiting through the region, 147-52 Sv, quantities consistent with other independent estimates in the Indian sector of the Southern Ocean. Citation: Park, Y.-H., F. Vivier, F. Roquet, and E. Kestenare (2009), Direct observations of the ACC transport across the Kerguelen Plateau, Geophys. Res. Lett., 36, L18603, doi:10.1029/2009GL039617.</t>
  </si>
  <si>
    <t>[Park, Young-Hyang; Roquet, Fabien] Museum Natl Hist Nat, DMPA, LOCEAN, F-75005 Paris, France; [Vivier, Frederic] Univ Paris 06, IPSL, LOCEAN, F-75252 Paris 05, France; [Kestenare, Elodie] Univ Toulouse 2, CNRS, CNES, LEGOS,IRD, F-31401 Toulouse 09, France</t>
  </si>
  <si>
    <t>Museum National d'Histoire Naturelle (MNHN); Sorbonne Universite; Universite Paris Cite; Museum National d'Histoire Naturelle (MNHN); Sorbonne Universite; Universite de Toulouse; Universite Toulouse III - Paul Sabatier; Centre National de la Recherche Scientifique (CNRS); Institut de Recherche pour le Developpement (IRD); Laboratoire d'Etudes en Geophysique et oceanographie spatiales; Universite de Toulouse - Jean Jaures</t>
  </si>
  <si>
    <t>Park, YH (corresponding author), Museum Natl Hist Nat, DMPA, LOCEAN, 43 Rue Cuvier, F-75005 Paris, France.</t>
  </si>
  <si>
    <t>yhpark@mnhn.fr</t>
  </si>
  <si>
    <t>Roquet, Fabien/D-4848-2013; Roquet, Fabien/N-3221-2019</t>
  </si>
  <si>
    <t>Roquet, Fabien/0000-0003-1124-4564; KESTENARE, Elodie/0000-0002-6665-2146; Vivier, Frederic/0000-0003-2539-4133</t>
  </si>
  <si>
    <t>SEP 17</t>
  </si>
  <si>
    <t>L18603</t>
  </si>
  <si>
    <t>10.1029/2009GL039617</t>
  </si>
  <si>
    <t>497JH</t>
  </si>
  <si>
    <t>WOS:000270054800003</t>
  </si>
  <si>
    <t>Turner, J; Chenoli, SN; Abu Samah, A; Marshall, G; Phillips, T; Orr, A</t>
  </si>
  <si>
    <t>Turner, John; Chenoli, Sheeba Nettukandy; Abu Samah, Azizan; Marshall, Gareth; Phillips, Tony; Orr, Andrew</t>
  </si>
  <si>
    <t>Strong wind events in the Antarctic</t>
  </si>
  <si>
    <t>NINO-SOUTHERN-OSCILLATION; KATABATIC WINDS; ADELIE-LAND; SEMIANNUAL OSCILLATION; PREDICTION SYSTEM; EAST ANTARCTICA; CASEY-STATION; REANALYSIS; CLIMATE; REEXAMINATION</t>
  </si>
  <si>
    <t>We use quality controlled in situ meteorological observations collected at Antarctic research stations over the last 60 years to carry out the first continent-wide investigation into the occurrence, variability, and trend in strong wind events (SWEs). Reanalysis/analysis fields are used to examine the synoptic background in which such events take place. SWEs are a feature of the extended winter season and involve a complex interaction between the downslope buoyancy forcing and the pressure gradient force from synoptic-scale cyclones. Around the coast of East Antarctica the significant majority of SWEs are associated with enhancement of the downslope katabatic flow by the broadscale synoptic circulation, involving a deepening of pressure off the coast and an increase of pressure inland. Orientation of the valleys in relation to the cyclone track is critical in enabling enhancement of the katabatic winds. Casey, Mawson, and Dumont d'Urville stations report the greatest number of winds of storm force and stronger. Interannual variability of SWE numbers is large. Trends in the number of winter strong wind reports are small. The greatest statistically significant increase in wind speed since the 1950s has been at Faraday/Vernadsky and Syowa stations. The largest wind speed increases since 1979 have been at Davis and Mawson stations. Comparison with high-resolution numerical simulations showed that the reanalysis/analysis fields are able to capture the large-scale synoptic features and the associated enhancement of the katabatic flow but underestimated the observed wind speed if it was strongly influenced by local topographical conditions.</t>
  </si>
  <si>
    <t>[Turner, John] British Antarctic Survey, Div Phys Sci, Cambridge CB3 0ET, England; [Chenoli, Sheeba Nettukandy; Abu Samah, Azizan] Univ Malaya, Natl Antarctic Res Ctr, Inst Postgrad Studies, Kuala Lumpur 50603, Malaysia</t>
  </si>
  <si>
    <t>UK Research &amp; Innovation (UKRI); Natural Environment Research Council (NERC); NERC British Antarctic Survey; Universiti Malaya</t>
  </si>
  <si>
    <t>Turner, J (corresponding author), British Antarctic Survey, Div Phys Sci, High Cross,Madingley Rd, Cambridge CB3 0ET, England.</t>
  </si>
  <si>
    <t>ABU SAMAH, AZIZAN HJ/B-8295-2010; Chenoli, Sheeba Nettukandy/G-6726-2012</t>
  </si>
  <si>
    <t>Turner, John/0000-0002-6111-5122</t>
  </si>
  <si>
    <t>NERC [bas0100023] Funding Source: UKRI; Natural Environment Research Council [bas0100023] Funding Source: researchfish</t>
  </si>
  <si>
    <t>D18103</t>
  </si>
  <si>
    <t>10.1029/2008JD011642</t>
  </si>
  <si>
    <t>497JU</t>
  </si>
  <si>
    <t>WOS:000270056200001</t>
  </si>
  <si>
    <t>Vinther, BM; Buchardt, SL; Clausen, HB; Dahl-Jensen, D; Johnsen, SJ; Fisher, DA; Koerner, RM; Raynaud, D; Lipenkov, V; Andersen, KK; Blunier, T; Rasmussen, SO; Steffensen, JP; Svensson, AM</t>
  </si>
  <si>
    <t>Vinther, B. M.; Buchardt, S. L.; Clausen, H. B.; Dahl-Jensen, D.; Johnsen, S. J.; Fisher, D. A.; Koerner, R. M.; Raynaud, D.; Lipenkov, V.; Andersen, K. K.; Blunier, T.; Rasmussen, S. O.; Steffensen, J. P.; Svensson, A. M.</t>
  </si>
  <si>
    <t>Holocene thinning of the Greenland ice sheet</t>
  </si>
  <si>
    <t>SEA-LEVEL CHANGES; TEMPERATURE; ELEVATION; RECORD; CORE</t>
  </si>
  <si>
    <t>On entering an era of global warming, the stability of the Greenland ice sheet (GIS) is an important concern(1), especially in the light of new evidence of rapidly changing flow and melt conditions at the GIS margins(2). Studying the response of the GIS to past climatic change may help to advance our understanding of GIS dynamics. The previous interpretation of evidence from stable isotopes (delta O-18) in water from GIS ice cores was that Holocene climate variability on the GIS differed spatially(3) and that a consistent Holocene climate optimum-the unusually warm period from about 9,000 to 6,000 years ago found in many northern-latitude palaeoclimate records(4)-did not exist. Here we extract both the Greenland Holocene temperature history and the evolution of GIS surface elevation at four GIS locations. We achieve this by comparing delta O-18 from GIS ice cores(3,5) with delta O-18 from ice cores from small marginal icecaps. Contrary to the earlier interpretation of delta O-18 evidence from ice cores(3,6), our new temperature history reveals a pronounced Holocene climatic optimum in Greenland coinciding with maximum thinning near the GIS margins. Our delta O-18-based results are corroborated by the air content of ice cores, a proxy for surface elevation(7). State-of-the-art ice sheet models are generally found to be underestimating the extent and changes in GIS elevation and area; our findings may help to improve the ability of models to reproduce the GIS response to Holocene climate.</t>
  </si>
  <si>
    <t>[Vinther, B. M.; Buchardt, S. L.; Clausen, H. B.; Dahl-Jensen, D.; Johnsen, S. J.; Andersen, K. K.; Blunier, T.; Rasmussen, S. O.; Steffensen, J. P.; Svensson, A. M.] Univ Copenhagen, Niels Bohr Inst, Ctr Ice &amp; Climate, DK-2100 Copenhagen, Denmark; [Fisher, D. A.; Koerner, R. M.] Geol Survey Canada, Terrain Sci Div, Glaciol Sect, Ottawa, ON K1A 0E8, Canada; [Raynaud, D.] UJF, CNRS, Lab Glaciol &amp; Geophys Environm, F-38402 St Martin Dheres, France; [Lipenkov, V.] Arctic &amp; Antarctic Res Inst, St Petersburg 199397, Russia</t>
  </si>
  <si>
    <t>University of Copenhagen; Niels Bohr Institute; Natural Resources Canada; Lands &amp; Minerals Sector - Natural Resources Canada; Geological Survey of Canada; Centre National de la Recherche Scientifique (CNRS); Communaute Universite Grenoble Alpes; Universite Grenoble Alpes (UGA); Arctic &amp; Antarctic Research Institute</t>
  </si>
  <si>
    <t>Vinther, BM (corresponding author), Univ Copenhagen, Niels Bohr Inst, Ctr Ice &amp; Climate, Juliane Maries Vej 30, DK-2100 Copenhagen, Denmark.</t>
  </si>
  <si>
    <t>bo@gfy.ku.dk</t>
  </si>
  <si>
    <t>Raynaud, Dominique/H-9626-2016; Rasmussen, Sune/B-5560-2008; Steffensen, Jorgen Peder/JFS-7831-2023; raynaud, dominique/ABG-4718-2020; Rasmussen, Sune Olander/AAA-3190-2021; Dahl-Jensen, Dorthe/AAO-6951-2020; Svensson, Anders/A-2643-2010; Andersen, Katrine Krogh/B-4082-2016; Lipenkov, Vladimir/Q-8262-2016; Blunier, Thomas/M-4609-2014</t>
  </si>
  <si>
    <t>Steffensen, Jorgen Peder/0000-0002-5516-1093; Rasmussen, Sune Olander/0000-0002-4177-3611; Dahl-Jensen, Dorthe/0000-0002-1474-1948; Svensson, Anders/0000-0002-4364-6085; Andersen, Katrine Krogh/0000-0003-4178-2195; Lipenkov, Vladimir/0000-0003-4221-5440; Vinther, Bo/0000-0002-6078-771X; Blunier, Thomas/0000-0002-6065-7747</t>
  </si>
  <si>
    <t>Carlsberg Foundation; Groupement de Recherche Europeen (GDRE) Vostok (Institut national des sciences de l'Univers (INSU)/Centre national de la recherche scientifique (CNRS); Russian Foundation for Basic Research (RFBR)-CNRS [05-05-66801]</t>
  </si>
  <si>
    <t>Carlsberg Foundation(Carlsberg Foundation); Groupement de Recherche Europeen (GDRE) Vostok (Institut national des sciences de l'Univers (INSU)/Centre national de la recherche scientifique (CNRS)(Centre National de la Recherche Scientifique (CNRS)); Russian Foundation for Basic Research (RFBR)-CNRS(Russian Foundation for Basic Research (RFBR)Centre National de la Recherche Scientifique (CNRS))</t>
  </si>
  <si>
    <t>We thank laboratory technician A. Boas, who meticulously performed most of the stable-isotope measurements presented in this paper during her 38 years at the Copenhagen stable isotope laboratory; W. Blake Jr for providing his insight, suggestions and corrections during the drafting of this paper; R. Greve for providing elevation data from his GIS modelling effort. B. M. V. thanks the Carlsberg Foundation for funding, and the Climatic Research Unit at University of East Anglia for hosting his research during all of 2007. V. L. and D. R. thank the Groupement de Recherche Europeen (GDRE) Vostok (Institut national des sciences de l'Univers (INSU)/Centre national de la recherche scientifique (CNRS) for funding and Russian Foundation for Basic Research (RFBR)-CNRS grant 05-05-66801) for support.</t>
  </si>
  <si>
    <t>NATURE RESEARCH</t>
  </si>
  <si>
    <t>10.1038/nature08355</t>
  </si>
  <si>
    <t>494QB</t>
  </si>
  <si>
    <t>WOS:000269828100037</t>
  </si>
  <si>
    <t>Sime, LC; Marshall, GJ; Mulvaney, R; Thomas, ER</t>
  </si>
  <si>
    <t>Sime, Louise C.; Marshall, Gareth J.; Mulvaney, Robert; Thomas, Elizabeth R.</t>
  </si>
  <si>
    <t>Interpreting temperature information from ice cores along the Antarctic Peninsula: ERA40 analysis</t>
  </si>
  <si>
    <t>SOUTHERN-HEMISPHERE; ANNULAR MODE; TRENDS; VARIABILITY; REANALYSIS; ISOTOPES; CLIMATE; ERA-40</t>
  </si>
  <si>
    <t>Analysis of ERA40 temperature and accumulation data suggests that annual mean isotopic fluctuations due to temperature change will be geographically very variable across the Peninsula: isotopic variations of 0.4 parts per thousand at James Ross Island; 0.9 parts per thousand at Dyer; and 1.3 parts per thousand at Gomez are all likely to indicate an identical magnitude of temperature change. The reduction in the magnitude of the isotopic signal in the north and east is due to climatically dependent synoptic covariance between temperature and accumulation; whilst in the west and south seasonal covariance amplifies the isotopic temperature signal. Additionally we show that the relationship between accumulation and temperature is rather weak in the north-east regions but is stronger in the central and southerly regions. Therefore isotopes may record 11% to 30% of the variance in annual mean temperatures in the north east; 75% in central regions; and 70% in the south. This study enables physically based reconstructions of Peninsula climate based on multi-core analysis. Citation: Sime, L. C., G. J. Marshall, R. Mulvaney, and E. R. Thomas ( 2009), Interpreting temperature information from ice cores along the Antarctic Peninsula: ERA40 analysis, Geophys. Res. Lett., 36, L18801, doi:10.1029/2009GL038982.</t>
  </si>
  <si>
    <t>[Sime, Louise C.; Marshall, Gareth J.; Mulvaney, Robert; Thomas, Elizabeth R.] British Antarctic Survey, Cambridge CB3 0ET, England</t>
  </si>
  <si>
    <t>Sime, LC (corresponding author), British Antarctic Survey, High Cross,Madingley Rd, Cambridge CB3 0ET, England.</t>
  </si>
  <si>
    <t>Thomas, Elizabeth Ruth/ADF-3660-2022; Sime, Louise/F-8058-2012; Sime, Louise/AAX-7730-2021; Mulvaney, Robert/K-3929-2012</t>
  </si>
  <si>
    <t>Thomas, Elizabeth Ruth/0000-0002-3010-6493; Sime, Louise/0000-0002-9093-7926; Sime, Louise/0000-0002-9093-7926; Mulvaney, Robert/0000-0002-5372-8148</t>
  </si>
  <si>
    <t>NERC [bas0100024] Funding Source: UKRI; Natural Environment Research Council [NER/T/S/2002/00460, bas0100024] Funding Source: researchfish</t>
  </si>
  <si>
    <t>SEP 16</t>
  </si>
  <si>
    <t>L18801</t>
  </si>
  <si>
    <t>10.1029/2009GL038982</t>
  </si>
  <si>
    <t>497JG</t>
  </si>
  <si>
    <t>WOS:000270054700001</t>
  </si>
  <si>
    <t>Brook, EJ; Kurz, MD; Curtice, J</t>
  </si>
  <si>
    <t>Brook, Edward J.; Kurz, Mark D.; Curtice, Joshua</t>
  </si>
  <si>
    <t>Flux and size fractionation of 3He in interplanetary dust from Antarctic ice core samples</t>
  </si>
  <si>
    <t>helium isotopes; interplanetary dust; ice cores; Antarctica</t>
  </si>
  <si>
    <t>EXTRATERRESTRIAL HE-3; ACCRETION RATE; GLACIAL CYCLES; NOBLE-GASES; COSMIC DUST; EXCESS HE-3; GREENLAND; HELIUM; PARTICLES; MICROMETEORITES</t>
  </si>
  <si>
    <t>Accretion of extraterrestrial material to earth is of interest for a variety of reasons, including as a possible driver of long or short-term climate change, and as a record of solar system events preserved in the geological record. He-3 is highly enriched in extraterrestrial material, and provides a useful tracer of its input into sedimentary archives. Previous work showed that polar ice could be a suitable archive for studying variations in extraterrestrial input. Additional measurements reported here confirm that the late Quaternary He-3 flux derived from Antarctic ice samples is similar to He-3 fluxes determined from marine sediments. The mean flux from nine replicate similar to 1 kg ice samples from the Vostok ice core site (112-115 m depth, age of similar to 3800 years) is 1.25 +/- 0.37 x 10(-12) cm(3) STP cm(-20) ka(-1) (mean +/- 2se). The large range for the 9 replicates is probably due to the small number of interplanetary dust particles (IDPs) present, and illustrates that large ice samples are required for precise constraints on temporal variations in the He-3 flux. Size fraction experiments show that the majority of the He-3 flux is delivered by particles in the 5-10 mu m size range, consistent with the hypothesis that helium in IDPs is primarily solar helium implanted in particle surfaces. (C) 2009 Elsevier B.V. All rights reserved.</t>
  </si>
  <si>
    <t>[Brook, Edward J.] Oregon State Univ, Dept Geosci, Corvallis, OR 97331 USA; [Kurz, Mark D.; Curtice, Joshua] Woods Hole Oceanog Inst, Dept Marine Chem &amp; Geochem, Woods Hole, MA 02543 USA</t>
  </si>
  <si>
    <t>Oregon State University; Woods Hole Oceanographic Institution</t>
  </si>
  <si>
    <t>Brook, EJ (corresponding author), Oregon State Univ, Dept Geosci, 104 Wilkinson Hall, Corvallis, OR 97331 USA.</t>
  </si>
  <si>
    <t>brooke@geo.oregonstate.edu</t>
  </si>
  <si>
    <t>Brook, Edward/AAB-7807-2021</t>
  </si>
  <si>
    <t>Kurz, Mark/0000-0003-1745-2356</t>
  </si>
  <si>
    <t>National Science Foundation [OPP9909384, OPP99069663]; NASA [NAG5-9345]</t>
  </si>
  <si>
    <t>National Science Foundation(National Science Foundation (NSF)); NASA(National Aeronautics &amp; Space Administration (NASA))</t>
  </si>
  <si>
    <t>We thank the National Science Foundation (OPP9909384 and OPP 99069663) and NASA (NAG5-9345) for financial support, and Gisela Winckler and two anonymous reviewers for helpful comments.</t>
  </si>
  <si>
    <t>SEP 15</t>
  </si>
  <si>
    <t>10.1016/j.epsl.2009.07.024</t>
  </si>
  <si>
    <t>513XU</t>
  </si>
  <si>
    <t>WOS:000271358300022</t>
  </si>
  <si>
    <t>McKay, CP; Molaro, JL; Marinova, MM</t>
  </si>
  <si>
    <t>McKay, Christopher P.; Molaro, Jamie L.; Marinova, Margarita M.</t>
  </si>
  <si>
    <t>High-frequency rock temperature data from hyper-arid desert environments in the Atacama and the Antarctic Dry Valleys and implications for rock weathering</t>
  </si>
  <si>
    <t>Rock; Rock weather; Rock weathering; Surface weather; Grain-scale; Temperature; Thermal; Stress; Stress gradient; Thermal shock; Thermal stress fatigue; Cracking; Flaking; Spalling; Antarctica; Beacon; Fryxell; Dry Valleys; Atacama; Desert; Arid; Damping depth</t>
  </si>
  <si>
    <t>THERMAL-STRESS; COLD; REGION; ISLAND</t>
  </si>
  <si>
    <t>In desert environments with low water and salt contents. rapid thermal variations may be an important source of rock weathering. We have obtained temperature measurements of the surface of rocks in hyper-arid hot and cold desert environments at a rate of 1/s over several days. The values of temperature change over 1-second intervals were similar in hot and cold deserts despite a 30 degrees C difference in absolute rock surface temperature. The average percentage of the time dT/dt&gt;2 degrees C/min was similar to 8 +/- 3%, &gt;4 degrees C/min was 1 +/- 0.9%, and &gt;8 degrees C/min was 0.02 +/- 0.03%. The maximum change over a I-second interval was similar to 10 degrees C/min. When sampled to simulate data taken over intervals longer than 1 s, we found a reduction in time spent above the 2 degrees C/min temperature gradient threshold. For 1-minute samples, the time spent above any given threshold was about two orders of magnitude lower than the corresponding value for 1-second sampling. We suggest that a rough measure of efficacy of weathering as a function of frequency is the product of the percentage of time spent above a given threshold value multiplied by the damping depth for the corresponding frequency. This product has a broad maximum for periods between 3 and 10 s. Published by Elsevier B.V.</t>
  </si>
  <si>
    <t>[McKay, Christopher P.; Molaro, Jamie L.] NASA, Ames Res Ctr, Div Space Sci, Moffett Field, CA 94035 USA; [Marinova, Margarita M.] CALTECH, Div Geol &amp; Planetary Sci, Pasadena, CA 91125 USA</t>
  </si>
  <si>
    <t>National Aeronautics &amp; Space Administration (NASA); NASA Ames Research Center; California Institute of Technology</t>
  </si>
  <si>
    <t>McKay, CP (corresponding author), NASA, Ames Res Ctr, Div Space Sci, Moffett Field, CA 94035 USA.</t>
  </si>
  <si>
    <t>christopher.mckay@nasa.gov</t>
  </si>
  <si>
    <t>Molaro, Jamie/AAP-5013-2020; Molaro, Jamie/C-6769-2014</t>
  </si>
  <si>
    <t>Molaro, Jamie/0000-0002-5867-9410; Molaro, Jamie/0000-0002-5867-9410; McKay, Christopher/0000-0002-6243-1362</t>
  </si>
  <si>
    <t>NASA; ASTEP; IPY</t>
  </si>
  <si>
    <t>NASA(National Aeronautics &amp; Space Administration (NASA)); ASTEP(National Aeronautics &amp; Space Administration (NASA)); IPY</t>
  </si>
  <si>
    <t>This work was supported by funding from NASA ASTEP and IPY programs. We thank the members of the field teams for help in all aspects of the fieldwork. The air temperature data from the Antarctic sites as obtained form the McMurdo LTER database. We thank the reviewers for comments that improved the paper.</t>
  </si>
  <si>
    <t>10.1016/j.geomorph.2009.04.005</t>
  </si>
  <si>
    <t>491CA</t>
  </si>
  <si>
    <t>WOS:000269553300013</t>
  </si>
  <si>
    <t>Payros, A; Tosquella, J; Bernaola, G; Dinarès-Turell, J; Orue-Etxebarria, X; Pujalte, V</t>
  </si>
  <si>
    <t>Payros, Aitor; Tosquella, Josep; Bernaola, Gilen; Dinares-Turell, Jaume; Orue-Etxebarria, Xabier; Pujalte, Victoriano</t>
  </si>
  <si>
    <t>Filling the North European Early/Middle Eocene(Ypresian/Lutetian) boundary gap: Insights from the Pyrenean continental to deep-marine record</t>
  </si>
  <si>
    <t>Eocene; Lutetian; Chronostratigraphy; Sequence stratigraphy; Climate; Pyrenees</t>
  </si>
  <si>
    <t>SECTION BASQUE COUNTRY; SOUTH-CENTRAL PYRENEES; GLOBAL SEA-LEVEL; MIDDLE EOCENE; GORRONDATXE SECTION; WESTERN PYRENEES; FORAMINIFERAL RATIOS; HAMPSHIRE BASIN; SPAIN; STRATIGRAPHY</t>
  </si>
  <si>
    <t>The Early/Middle Eocene (Ypresian/Lutetian) transition is represented by a hiatus in many North European sections. including those in which the classic stratotypes were originally defined. However, the Global Stratotype Section and Point of the Lutetian Stage, which is still pending definition, should be placed at a globally correlatable event included within that unrepresented interval. The Pyrenean Eocene outcrops display sedimentary successions that offer the rare opportunity to analyse the Ypresian/Lutetian boundary interval in almost continuous sections and in very different settings. Seven reference stratigraphic sections were selected on the basis of their quality and correlated by means of biomagnetostratigraphic data. This correlation framework casts light on the sequence of chronostratigraphic events that characterize the Ypresian/Lutetian boundary interval, which may prove useful in defining the main correlation criterion of the base of the Lutetian. All of the Pyrenean sections show a similar sedimentary evolution, despite being up to 350 kin apart from each other, containing deposits of different origins (intrabasinal carbonate sediments, siliciclastic sediments sourced from the Iberian plate, and terrigenous sediments sourced from the uplifting Pyrenees) and despite having been accumulated in different sedimentary environments (from continental to deep marine) and in different geodynamic settings (piggy-back basin, foreland basin and cratonic margin). This common evolution can be readily interpreted in terms of a sea-level driven depositional sequence whose lowstand and transgressive systems tracts are included within the Ypresian/Lutetian boundary interval. The Pyrenean Ypresian/Lutetian depositional sequence can reasonably be correlated with depositional sequences from classic North European areas, shedding light on the palaeoenvironmental history which in those areas has not been recorded. Furthermore, these depositional sequences may possibly correlate with others from the Antarctic Ocean and from New Jersey, as well as with oceanic temperature variations, suggesting that they might be the result of climatically-driven glacioeustatic sea-level changes. Should this hypothesis prove correct, it would confirm previous suggestions that the onset of Antarctic glaciations needs to be backshifted to the late Ypresian at least. (c) 2009 Elsevier B.V. All rights reserved.</t>
  </si>
  <si>
    <t>[Payros, Aitor; Orue-Etxebarria, Xabier; Pujalte, Victoriano] Univ Basque Country, Fac Sci &amp; Technol, Dept Stratig &amp; Palaeontology, E-48080 Bilbao, Spain; [Tosquella, Josep] Univ Huelva, Fac Expt Sci, Dept Geodynam &amp; Palaeontol, E-21071 Huelva, Spain; [Bernaola, Gilen] Univ Basque Country, Escuela Univ Ingn Tecn Minas &amp; Obras Publ, Dept Ingn Minera &amp; Met &amp; Ciencias Mat, E-48901 Baracaldo, Spain; [Dinares-Turell, Jaume] Ist Nazl Geofis &amp; Vulcanol, Lab Paleomagnetismo, I-00143 Rome, Italy</t>
  </si>
  <si>
    <t>University of Basque Country; Universidad de Huelva; University of Basque Country; Istituto Nazionale Geofisica e Vulcanologia (INGV)</t>
  </si>
  <si>
    <t>Payros, A (corresponding author), Univ Basque Country, Fac Sci &amp; Technol, Dept Stratig &amp; Palaeontology, POB 644, E-48080 Bilbao, Spain.</t>
  </si>
  <si>
    <t>a.payros@ehu.es</t>
  </si>
  <si>
    <t>Angrill, Josep Tosquella/AAH-3086-2020; Tosquella-Angrill, Josep/I-2690-2018; Payros, Aitor/Z-2150-2019; Dinarès-Turell, Jaume/G-2852-2011; Bernaola, Gilen/AAA-6959-2019</t>
  </si>
  <si>
    <t>Tosquella-Angrill, Josep/0000-0001-7951-0561; Payros, Aitor/0000-0001-9549-4119; Dinarès-Turell, Jaume/0000-0002-5546-2291; BERNAOLA BILBAO, GILEN/0000-0003-1095-0854; Pujalte, Victoriano/0000-0003-1074-6132</t>
  </si>
  <si>
    <t>Ministry of Science and Innovation, Spanish Government [CGL2008-01780/BTE]; Basque Government [GIC07/122-IT-215-07]</t>
  </si>
  <si>
    <t>Ministry of Science and Innovation, Spanish Government(Spanish Government); Basque Government(Basque Government)</t>
  </si>
  <si>
    <t>Field and laboratory works were funded by the Research Projects CGL2008-01780/BTE (Ministry of Science and Innovation, Spanish Government) and GIC07/122-IT-215-07 (Research Groups of the Basque University System, Basque Government). We are grateful to Antonio Barnolas and Alejandro Robador (IGME, Madrid) for the very constructive discussions about the Pyrenean Eocene stratigraphy. Lluis Checa (Institut de Paleontologia M. Crusafont, Sabadell) provided valuable information about terrestrial vertebrate fossils in Eocene deposits of the Tremp area, and Etienne Steurbaut (University of Leuven) about the Ypresian and Lutetian of Belgium. Thorough reviews by Eustoquio Molina (University of Zaragoza) and Claus Heilmann-Clausen (Aarhus University) helped to improve the manuscript. Carl Sheaver kindly corrected the English language.</t>
  </si>
  <si>
    <t>10.1016/j.palaeo.2009.06.018</t>
  </si>
  <si>
    <t>496QQ</t>
  </si>
  <si>
    <t>WOS:000269990700004</t>
  </si>
  <si>
    <t>Marino, M; Maiorano, P; Lirer, F; Pelosi, N</t>
  </si>
  <si>
    <t>Marino, Maria; Maiorano, Patrizia; Lirer, Fabrizio; Pelosi, Nicola</t>
  </si>
  <si>
    <t>Response of calcareous nannofossil assemblages to paleoenvironmental changes through the mid-Pleistocene revolution at Site 1090 (Southern Ocean)</t>
  </si>
  <si>
    <t>ODP Site 1090; Southern Ocean; Calcareous nannofossils; Paleoecology; Paleoceanography; Mid-Pleistocene revolution</t>
  </si>
  <si>
    <t>MIDDLE PLEISTOCENE TRANSITION; NORWEGIAN-GREENLAND SEA; HEMISPHERE ICE SHEETS; TIME-SERIES ANALYSIS; ATLANTIC-OCEAN; NORTH-ATLANTIC; CLIMATE TRANSITION; SURFACE SEDIMENTS; CALCIDISCUS-LEPTOPORUS; COCCOLITHUS-PELAGICUS</t>
  </si>
  <si>
    <t>Quantitative study on calcareous nannofossil assemblages has been performed in high time resolution (23 kyr) at the Ocean Drilling Program Site 1090. The location of this site in the Southern Ocean is crucial for the comprehension of thermohaline circulation and frontal boundary dynamics. and for testing the employ of nannoflora as paleoceanographical tool. The chronologically well constrained investigated record spans between Marine Isotope Stage (MIS) 35 and 15, through an interval of global paleoclimate and paleoceanographical modification also known as mid-Pleistocene revolution (MPR). Measures of ecological (Shannon-Weaver diversity and paleoproductivity) and dissolution indices together with spectral and wavelet analyses carried out on the acquired time series provide valuable information for interpretation of data in terms of paleoecology and paleoceanography. Assemblages are mainly represented by dominant small Gephyrocapsa, common Calcidiscus leptoporus s.l., Coccolithus pelagicus s.l., Gephyrocapsa (4-5.5 mu m), the extinct Pseudoemiliania lacunosa and Reticulofenestra spp. (R. asanoi and Reticulofenestra sp.). Morphotypes discriminated within Calcidiscus leptoporus s.l. and Coccolithus pelagicus s.l., reveal that they may have had different ecological preferences during Pleistocene with respect to the present. The composition and fluctuation in nannofossil assemblage and their comparison with the available Sea Surface Temperature (SST) and C-org curves suggest a primary ecological response to paleoenvironmental changes; relationships to different surface water features and boundary dynamics, as well as to different efficiencies and motions of the intermediate and deep water masses have been inferred. A more northward position of Subantarctic Front (SAF) during most of the Early Pleistocene record has been highlighted based on assemblage composition characterised by common Calcidiscus leptoporus s.l., Coccolithus pelagicus s.l., medium Gephyrocapsa (4-5.5 mu m), and by the rarity or absence of Umbilicosphaera spp., Rhabdosphaera spp., Pontasphaera spp., Oolithotus fragilis. Exceptions are the more intense interglacials MIS 31, 17, and probably MIS 15, when a southward displacement of frontal system occurred, coincident with peaks in abundance of Helicosphaera spp. and Syracosphaera spp. Higher nutrient content and more dynamic conditions occurred between MIS 32 and MIS 25, in relation to shallower location of nutrient-rich Antarctic Intermediate Water (AAIW) core and to reduction of glacial-interglacial variability. A nannofossil barren interval is coincident with the known stagnation of South Atlantic deep water circulation during MIS 24, when North Atlantic Deep Water (NADW) was reduced or suppressed and an enhanced northward deep penetration of the more corrosive Circumpolar Deep Water (CPDW) took place. An event of strong instability in nutricline dynamics characterised the transition MIS 23-22 as suggested by sharp fluctuations in paleoproductivity proxies, linked to major changes in oceanographic circulation and to the first distinct increase of larger ice volumes at this time. From MIS 21 upward the nannofossil variations seem to be primarily controlled by glacial-interglacial cyclicity and temperature fluctuations. The cyclic fluctuation recognised in nannofossil abundance seems to be linked to orbitally-forced climatic variation. primarily to the obliquity periodicity recorded in the patterns of C. leptoporus intermediate (5-8 mu m) and C. pelagicus pelagicus (6-10 mu m); however no obvious and linear relations ay be always observed between nannoflora fluctuation and Milankovitch parameters, suggesting more complex and unclear relationships between nannofossils and environmental change. (c) 2009 Elsevier B.V. All rights reserved.</t>
  </si>
  <si>
    <t>[Marino, Maria; Maiorano, Patrizia] Univ Bari, Dept Geol &amp; Geophys, Bari, Italy; [Lirer, Fabrizio; Pelosi, Nicola] CNR, IAMC, I-80133 Naples, Italy</t>
  </si>
  <si>
    <t>Universita degli Studi di Bari Aldo Moro; Consiglio Nazionale delle Ricerche (CNR); L'Istituto per l'Ambiente Marino Costiero (IAMC-CNR)</t>
  </si>
  <si>
    <t>Marino, M (corresponding author), Univ Bari, Dept Geol &amp; Geophys, Via E Orabona 4, Bari, Italy.</t>
  </si>
  <si>
    <t>marino@geo.uniba.it</t>
  </si>
  <si>
    <t>Lirer, Fabrizio/N-5306-2015; Marino, Maria/J-6868-2014; Pelosi, Nicola/AAL-3817-2021; Pelosi, Nicola/A-8410-2013</t>
  </si>
  <si>
    <t>Lirer, Fabrizio/0000-0003-4938-3252; Marino, Maria/0000-0001-6239-0786; Pelosi, Nicola/0000-0002-1751-3844; Maiorano, Patrizia/0000-0003-4917-1786</t>
  </si>
  <si>
    <t>10.1016/j.palaeo.2009.06.019</t>
  </si>
  <si>
    <t>WOS:000269990700005</t>
  </si>
  <si>
    <t>Warnaar, J; Bijl, PK; Huber, M; Sloan, L; Brinkhuis, H; Röhl, U; Sriver, R; Visscher, H</t>
  </si>
  <si>
    <t>Warnaar, Jeroen; Bijl, Peter K.; Huber, Matthew; Sloan, Lisa; Brinkhuis, Henk; Roehl, Ursula; Sriver, Ryan; Visscher, Henk</t>
  </si>
  <si>
    <t>Orbitally forced climate changes in the Tasman sector during the Middle Eocene</t>
  </si>
  <si>
    <t>Southern Ocean; Middle Eocene; Orbital forcing; Model-data comparison; Organic-walled dinoflagellate cysts; General circulation model</t>
  </si>
  <si>
    <t>CARBON-DIOXIDE CONCENTRATIONS; ICE-SHEET; GREENHOUSE; INDICATORS; SEDIMENTS; RESPONSES; PACIFIC; MIOCENE; FLORAS; CYSTS</t>
  </si>
  <si>
    <t>The influence of orbital precession on early Paleogene climate and ocean circulation patterns in the southeast Pacific region is investigated by combining environmental analyses of cyclic Middle Eocene sediments and palynomorph records recovered from ODP Hole 1172A on the East Tasman Plateau with climate model simulations. Integration of results indicates that in the marine realm, direct effects of precessional forcing are not pronounced, although increased precipitation/runoff could have enhanced dinoflagellate cyst production. On the southeast Australian continent, the most pronounced effects of precessional forcing were fluctuations in summer precipitation and temperature on the Antarctic Margin. These fluctuations resulted in vegetational changes, most notably in the distribution of Nothofagus (subgenus Brassospora). The climate model results suggest significant fluctuations in sea ice in the Ross Sea, notably during Austral summers. This is consistent with the influx of Antarctic heterotrophic dinoflagellates in the early part of the studied record. The data demonstrate a strong precessionally driven climate variability and thus support the concept that precessional forcing could have played a role in early Antarctic glaciation via changes in runoff and/or precipitation. (c) 2009 Elsevier B.V. All rights reserved.</t>
  </si>
  <si>
    <t>[Warnaar, Jeroen; Bijl, Peter K.; Brinkhuis, Henk; Visscher, Henk] Univ Utrecht, Palaeobot &amp; Palynol Lab, NL-3584 CD Utrecht, Netherlands; [Huber, Matthew; Sriver, Ryan] Purdue Univ, W Lafayette, IN 47907 USA; [Sloan, Lisa] Univ Calif Santa Cruz, Dept Earth &amp; Planetary Sci, Santa Cruz, CA 95064 USA; [Roehl, Ursula] Univ Bremen, MARUM Ctr Marine Environm Sci, D-28359 Bremen, Germany</t>
  </si>
  <si>
    <t>Utrecht University; Purdue University System; Purdue University; University of California System; University of California Santa Cruz; University of Bremen</t>
  </si>
  <si>
    <t>Bijl, PK (corresponding author), Univ Utrecht, Palaeobot &amp; Palynol Lab, Budapestlaan 4, NL-3584 CD Utrecht, Netherlands.</t>
  </si>
  <si>
    <t>p.k.bijl@uu.nl; huberm@purdue.edu; lsloan@es.ucsc.edu; uroehl@marum.de</t>
  </si>
  <si>
    <t>Röhl, Ursula/G-5986-2011; Huber, Matthew/A-7677-2008; Brinkhuis, Henk/IUO-8165-2023; Brinkhuis, Henk/B-4223-2009</t>
  </si>
  <si>
    <t>Röhl, Ursula/0000-0001-9469-7053; Huber, Matthew/0000-0002-2771-9977; Brinkhuis, Henk/0000-0003-0253-6610; Bijl, Peter/0000-0002-1710-4012; Visscher, Henk/0000-0002-9276-0220</t>
  </si>
  <si>
    <t>U.S. National Science Foundation (NSF); Oceanographic Institutions (JOI) Inc; Netherlands Council for Earth and Life Sciences; Deutsche Forschungsgemeinschaft (DFG)</t>
  </si>
  <si>
    <t>U.S. National Science Foundation (NSF)(National Science Foundation (NSF)); Oceanographic Institutions (JOI) Inc; Netherlands Council for Earth and Life Sciences; Deutsche Forschungsgemeinschaft (DFG)(German Research Foundation (DFG))</t>
  </si>
  <si>
    <t>This research used samples provided by the Ocean Drilling Program (ODP). ODP was sponsored by the U.S. National Science Foundation (NSF) and participating countries under management of joint Oceanographic Institutions (JOI) Inc. Funding for this research was provided by the Netherlands Council for Earth and Life Sciences (ALW-NWO) to JW and the Deutsche Forschungsgemeinschaft (DFG) to U. Rohll. We are particularly grateful to the lab technicians Natasja Welters and Jan van Tongeren at the Laboratory of palaeobotany and palynology of Utrecht University for their help with processing the palynological samples. We kindly acknowledge John Cann and an anonymous reviewer for the constructive criticism and suggestions.</t>
  </si>
  <si>
    <t>10.1016/j.palaeo.2009.06.023</t>
  </si>
  <si>
    <t>WOS:000269990700007</t>
  </si>
  <si>
    <t>Verducci, M; Foresi, LM; Scott, GH; Sprovieri, M; Lirer, F; Pelosi, N</t>
  </si>
  <si>
    <t>Verducci, M.; Foresi, L. M.; Scott, G. H.; Sprovieri, M.; Lirer, F.; Pelosi, N.</t>
  </si>
  <si>
    <t>The Middle Miocene climatic transition in the Southern Ocean: Evidence of paleoclimatic and hydrographic changes at Kerguelen plateau from planktonic foraminifers and stable isotopes</t>
  </si>
  <si>
    <t>Middle Miocene; Planktonic foraminifers; Stable isotopes; Kerguelen Plateau; Climate change; Paleoceanography</t>
  </si>
  <si>
    <t>TIME-SERIES ANALYSIS; CALCAREOUS NANNOFOSSILS; ANTARCTIC GLACIATION; LATE OLIGOCENE; OXYGEN; PACIFIC; EVOLUTION; PALEOCEANOGRAPHY; STRATIGRAPHY; CIRCULATION</t>
  </si>
  <si>
    <t>Middle Miocene (14.8-11.9 Ma) deep-sea sediments from ODP Hole 747A (Kerguelen Plateau, southern Indian Ocean) contain abundant, well-preserved and diverse planktonic foraminiferal assemblages. A detailed study of the climatic and hydrographic changes that occurred in this region during the Middle Miocene Climatic Transition led to the identification of an intense cooling phase (the Middle Miocene Shift). Abundance fluctuations of planktonic foraminiferal species with different paleoclimatic affinities, and oxygen and carbon stable isotopes have been integrated in a multi-proxy approach. Reconstruction of changes in foraminiferal faunal composition and diversity through time were the basis for identification of three foraminiferal biofacies. The most prominent faunal change took place at 13.8 Ma, when a fauna with warm-water affinity (marked by high abundance of Globorotalia miozea group and Globoturborotalita woodi plexus) was replaced by an oligotypic, opportunistic fauna with typical polar characters and dominated by neogloboquadrinids. This faunal change is interpreted as the result of foraminiferal migration from adjacent bioprovinces, caused by modifications in climate and hydrography. A positive 2.0 parts per thousand shift in delta O-18 (interpreted as the Mi3 event) and a related positive 1.0 parts per thousand shift in delta C-13 (corresponding to the CM6 event) accompanied this faunal turnover. These are interpreted to reflect substantial reorganization of Southern Ocean waters, the northward migration of the Polar Front and a strong increase in primary productivity. The second faunal change took place at 12.9 Ma and was characterized by the gradual decrease in abundance of the neogloboquadrinids and the recovery of Globorotalia praescitula/scitula group and Globigerinita glutinata. A positive 1.5 parts per thousand shift in delta O-18 (interpreted as the Mi4 event) and a concurrent gradual negative shift in delta C-13 accompanied this faunal change, witnessing further modifications of the climate/ocean system. Variations in sea surface temperature, considered as the main factor causing changes of surface hydrography at the Kerguelen Plateau, seem to have been driven by obliquity and long-term eccentricity, thus suggesting a key role played by the astronomical forcing on the evolution of Southern Ocean dynamics during the Middle Miocene. Also an evident 1.2 Myr modulation of the delta C-13 record suggests a main control of the long-term obliquity cycles on the carbon cycle dynamics. Particularly, the Mi3/CM6 events exactly fit with a node of the 1.2 Myr modulation cycles. This confirms the key role played by orbital parameters on high-latitude temperatures and Antarctic ice volume, and indirectly on global carbon burial and/or productivity. This climatic transition was marked also by changes in surface hydrography. From 14.8 to 13.8 Ma an intermediate-strength thermocline controlled by seasonality developed just below the photic zone. Weaker seasonality characterized the interval from 13.8 to 12.9 Ma, when the thermocline became shallower and sharper and favored intermediate-water foraminifers. From 12.9 Ma, seasonality increased again and an intermediate-strength thermocline re-developed. (c) 2009 Elsevier B.V. All rights reserved.</t>
  </si>
  <si>
    <t>[Verducci, M.; Foresi, L. M.] Univ Siena, Dept Earth Sci, I-53100 Siena, Italy; [Scott, G. H.] GNS Sci, Lower Hutt, New Zealand; [Sprovieri, M.; Lirer, F.; Pelosi, N.] CNR, Ist Ambiente Marino Costiero, I-80133 Naples, Italy</t>
  </si>
  <si>
    <t>University of Siena; GNS Science - New Zealand; Consiglio Nazionale delle Ricerche (CNR); L'Istituto per l'Ambiente Marino Costiero (IAMC-CNR)</t>
  </si>
  <si>
    <t>Verducci, M (corresponding author), Univ Siena, Dept Earth Sci, Via Laterina 8, I-53100 Siena, Italy.</t>
  </si>
  <si>
    <t>verducci@unisi.it</t>
  </si>
  <si>
    <t>Sprovieri, Mario/AAY-1021-2020; Pelosi, Nicola/AAL-3817-2021; Lirer, Fabrizio/N-5306-2015; Pelosi, Nicola/A-8410-2013</t>
  </si>
  <si>
    <t>Pelosi, Nicola/0000-0002-1751-3844; Lirer, Fabrizio/0000-0003-4938-3252; SPROVIERI, MARIO/0000-0002-7192-5014; /0000-0002-2111-6817</t>
  </si>
  <si>
    <t>Italian Program for Antarctic Research (PNRA)</t>
  </si>
  <si>
    <t>These results embody part of an ongoing research project funded by the Italian Program for Antarctic Research (PNRA). We would like to thank Carlo Alberto Ricci for discussing data and for his helpful comments, and Agata Di Stefano, Jose Ignacio Martinez and an anonymous reviewer for useful suggestions which greatly improved the manuscript. This research used samples provided by the Ocean Drilling Program (ODP).</t>
  </si>
  <si>
    <t>10.1016/j.palaeo.2009.06.024</t>
  </si>
  <si>
    <t>WOS:000269990700008</t>
  </si>
  <si>
    <t>Nielsen, SN; Glodny, J</t>
  </si>
  <si>
    <t>Nielsen, Sven N.; Glodny, Johannes</t>
  </si>
  <si>
    <t>Early Miocene subtropical water temperatures in the southeast Pacific</t>
  </si>
  <si>
    <t>Strontium isotope stratigraphy; Climate; Mollusks; Neogene; Chile</t>
  </si>
  <si>
    <t>STRONTIUM ISOTOPE STRATIGRAPHY; ANTARCTIC CIRCUMPOLAR CURRENT; FORE-ARC BASINS; LOOK-UP TABLE; CENTRAL CHILE; NEOGENE EVENTS; DRAKE PASSAGE; GASTROPODA; CLIMATE; AGE</t>
  </si>
  <si>
    <t>Cenozoic climate of western South America is strongly controlled by features like Andean uplift and the Humboldt Current. The first strontium isotope age data from central and southern Chile provide a latest Oligocene to late early Miocene age for classic warm-water mollusk faunas reaching as far south as 45 degrees S. Comparison with the biogeography of congeneric living species indicates that sea surface temperatures off central and southern Chile during that time were at least 5 degrees C higher than today; i.e., minimum annual mean sea surface temperatures for Darwin's Navidad fauna at 34 degrees S are estimated as 20 degrees C. As expected, the number of tropical taxa decreases towards the south but several are still present as far south as 45 degrees S. The ages scatter relatively broadly between similar to 24 and similar to 16 Ma, partly even within individual localities. Shallow-water and deeper-water faunas are revealed to have similar ages. When considered in light of convincing micropaleontological evidence for late Miocene to early Pliocene depositional ages, the Sr isotope data support a hypothesis that the mollusk fauna is reworked. (c) 2009 Elsevier B.V. All rights reserved.</t>
  </si>
  <si>
    <t>[Nielsen, Sven N.; Glodny, Johannes] Deutsch GeoForschungsZentrum GFZ, D-14473 Potsdam, Germany</t>
  </si>
  <si>
    <t>Helmholtz Association; Helmholtz-Center Potsdam GFZ German Research Center for Geosciences</t>
  </si>
  <si>
    <t>Nielsen, SN (corresponding author), Univ Kiel, Inst Geowissensch, Ludewig Meyn Str 10, D-24118 Kiel, Germany.</t>
  </si>
  <si>
    <t>nielsen@gpi.uni-kiel.de</t>
  </si>
  <si>
    <t>Nielsen, Sven N/A-2187-2009; Glodny, Johannes/P-7959-2017</t>
  </si>
  <si>
    <t>Nielsen, Sven N/0000-0003-2064-8050; Glodny, Johannes/0000-0002-7812-5933</t>
  </si>
  <si>
    <t>Deutsche Forschungsgemeinschaft (DFG) [Ni699/4-1, Ni699/4-2]</t>
  </si>
  <si>
    <t>Jens Hartmann (Universitat Hamburg, Germany), Helga Kemnitz and Juliane Herwig (GFZ Potsdam, Germany) assisted with SEM. Thomas J. DeVries (Burton, USA) corrected the language. This manuscript benefited from thorough reviews by GeeratJ. Vermeij (UC Davis, USA), Alan Beu (GNS Science, New Zealand), Ken Finger (UCMP Berkeley, USA), Steffen Kiel (CAU Kiel, Germany), and Tom DeVries. SNN was financially supported by grants Ni699/4-1 and Ni699/4-2 of the Deutsche Forschungsgemeinschaft (DFG).</t>
  </si>
  <si>
    <t>10.1016/j.palaeo.2009.06.035</t>
  </si>
  <si>
    <t>WOS:000269990700017</t>
  </si>
  <si>
    <t>Heil, P; Massom, RA; Allison, I; Worby, AP; Lytle, VI</t>
  </si>
  <si>
    <t>Heil, Petra; Massom, Robert A.; Allison, Ian; Worby, Anthony P.; Lytle, Victoria I.</t>
  </si>
  <si>
    <t>Role of off-shelf to on-shelf transitions for East Antarctic sea ice dynamics during spring 2003</t>
  </si>
  <si>
    <t>WESTERN WEDDELL SEA; PACK ICE; DEFORMATION; MOTION; DRIFT; VARIABILITY; REGION; OCEAN; WIND; BUOY</t>
  </si>
  <si>
    <t>During austral spring 2003, mesoscale sea ice drift and deformation off East Antarctica were investigated using in situ data from a nine-buoy array. Upon deployment, the array comprised an area of about 4000 km(2) with a mean ice concentration of 96%. Half-hourly sea ice velocities were coherent across all buoys at zonal (meridional) separations of less than 160 km (70 km). Regional cross-spectral correlation was high at synoptic scales and also at semidiurnal periods off the continental shelf. Atmospheric synoptic-scale forcing explained in excess of 85% of the ice drift variability. This is significantly more than found in the Weddell Sea, where significant ice drift variability is derived from oceanic forcing. Peak frequencies of semidiurnal contributions covaried with latitude and are largely associated with the inertial response. Over the continental shelf, coincident diurnal and semidiurnal variances in ice motion arose from tidal forcing. Net divergence over 37 days resulted in an expansion to 270% of the initial area, although regional ice concentration reduced only slightly. High-frequency processes, namely inertial response and to a lesser degree tidal forcing, dominated the variability of all deformation parameters. In contrast to ice motion, low-frequency processes played a secondary role in sea ice deformation. This high-frequency dominance is similar to what has been found in the Weddell Sea, although many observations there were limited to the continental shelf, where tidal processes dominate. Sea ice motion and deformation were not affected by a seasonal transition, nor did the regional ice characteristics show any signal of seasonal change. Instead, local ice dynamics were strongly influenced by bathymetrically dependent processes.</t>
  </si>
  <si>
    <t>[Heil, Petra; Massom, Robert A.; Allison, Ian; Worby, Anthony P.; Lytle, Victoria I.] Univ Tasmania, Australian Antarctic Div, Hobart, Tas 7001, Australia; [Heil, Petra; Massom, Robert A.; Allison, Ian; Worby, Anthony P.; Lytle, Victoria I.] Univ Tasmania, Antarct Climate &amp; Ecosyst Cooperat Res Ctr, Hobart, Tas, Australia</t>
  </si>
  <si>
    <t>Australian Antarctic Division; University of Tasmania; University of Tasmania</t>
  </si>
  <si>
    <t>Heil, P (corresponding author), Univ Tasmania, Australian Antarctic Div, Private Bag 80, Hobart, Tas 7001, Australia.</t>
  </si>
  <si>
    <t>petra.heil@utas.edu.au; r.massom@utas.edu.au; ian.allison@aad.gov.au; A.Worby@utas.edu.au; vlytle@cresis.ku.edu</t>
  </si>
  <si>
    <t>Allison, Ian F/I-4477-2015; Worby, Anthony P/A-2373-2012</t>
  </si>
  <si>
    <t>Allison, Ian F/0000-0001-9599-0251; Massom, Robert/0000-0003-1533-5084; Heil, Petra/0000-0003-2078-0342</t>
  </si>
  <si>
    <t>Australian Antarctic Science [742, 2298, 2678]; Australian Government's Cooperative Research Centres Programme through the Antarctic Climate and Ecosystems Cooperative Research Centre</t>
  </si>
  <si>
    <t>Australian Antarctic Science; Australian Government's Cooperative Research Centres Programme through the Antarctic Climate and Ecosystems Cooperative Research Centre(Australian GovernmentDepartment of Industry, Innovation and ScienceCooperative Research Centres (CRC) Programme)</t>
  </si>
  <si>
    <t>AMSR-E data were obtained from the NASA Earth Observing Systems Distributed Active Archive Center at the U. S. National Snow and Ice Data Center (http://nsidc.org), and MODIS imagery from the NASA MODIS LAAD archive. NCEP/DOE data have been obtained from the NOAA-CIRES Climate Diagnostics Center, Boulder, Colorado (http://www.cdc.noaa.gov/). N. Adams (Bureau of Meteorology and ACE CRC) is thanked for his assistance in processing AMSR-E data. J.L. Innis (Tasmanian Environmental Division) and W. F. Budd and A. Fraser (both ACE CRC) are thanked for their comments on the manuscript. We gratefully acknowledge the professional support of Captain Pearson, the officers and crew of the RSV Aurora Australis, and the helicopter pilots and crew during ARISE. GMT public domain software [Wessel and Smith, 1995] was used to compile some figures within this manuscript. This project is supported by the Australian Antarctic Science grants 742, 2298, and 2678 and is supported by the Australian Government's Cooperative Research Centres Programme through the Antarctic Climate and Ecosystems Cooperative Research Centre.</t>
  </si>
  <si>
    <t>SEP 12</t>
  </si>
  <si>
    <t>C09010</t>
  </si>
  <si>
    <t>10.1029/2008JC004873</t>
  </si>
  <si>
    <t>493SI</t>
  </si>
  <si>
    <t>Green Accepted, hybrid, Green Published</t>
  </si>
  <si>
    <t>WOS:000269757900001</t>
  </si>
  <si>
    <t>Stevenson, JA; Smellie, JL; McGarvie, DW; Gilbert, JS; Cameron, BI</t>
  </si>
  <si>
    <t>Stevenson, John A.; Smellie, John L.; McGarvie, David W.; Gilbert, Jennie S.; Cameron, Barry I.</t>
  </si>
  <si>
    <t>Subglacial intermediate volcanism at Kerlingarfjoll, Iceland: Magma-water interactions beneath thick ice</t>
  </si>
  <si>
    <t>JOURNAL OF VOLCANOLOGY AND GEOTHERMAL RESEARCH</t>
  </si>
  <si>
    <t>subglacial; intermediate; andesite; dacite; hyaloclastite; glaciovolcanism; Iceland; Kerlingarfjoll</t>
  </si>
  <si>
    <t>RHYOLITE ERUPTION; INTRAGLACIAL VOLCANOS; ANTARCTIC PENINSULA; SURTSEYAN VOLCANO; LAVA DOME; EVOLUTION; PRODUCTS; MIOCENE; REGION; ISLAND</t>
  </si>
  <si>
    <t>The products of andesite and dacite glaciovolcanism at Kerlingarfjoll are unlike others previously described in the literature. Three sequences of lithofacies are described and interpreted here. The andesitic deposits at Campsite Gully are divided into: massive vitriclastic lapilli tuff with intrusions; fluidal-clast-bearing vitriclastic lapilli tuff; and stratified, pumice-rich vitriclastic lapilli tuff. At Tindur, andesitic eruptions produced contorted pillow fragment breccia and the clast-supported lithic breccia. Finally, pillow lava with intrusions and crudely-bedded vitriclastic lapilli tuff of dacitic composition are described at Haraldur. Abundant vitriclasts, the presence of pillow lavas, hackly fracturing of lava bodies and lack of oxidation of clasts demonstrate that each of these lithofacies formed in the presence of abundant water. This contrasts with all other descriptions of subglacially-erupted intermediate magmas, which are characterised by jointed and glassy lava flows and domes with a marked scarcity of fragmental material. The Kerlingarfjoll sequences therefore demonstrate that it is possible for intermediate magmas to generate and interact with significant volumes of water at the base of a glacier. Preliminary estimates of volatile contents in glassy clasts correspond to quenching pressures equivalent to &gt;500 m water or &gt;550 m ice. This is consistent with eruption beneath an ice sheet that was thick enough to overwhelm the underlying topography and where meltwater drainage was controlled by the morphology of the glacier surface. It is argued that the drainage of water due to steep topography and/or thin and fractured ice, as opposed to thermodynamic considerations, is the most likely explanation for the absence of evidence for significant magma-water interaction in previously described instances of intermediate glaciovolcanism. The apparent low viscosity of the Kerlingarfjoll magmas may relate to relatively high eruption temperatures and/or the inhibition of degassing of the magma due to high ambient pressures and the consequent limitation of groundmass crystallisation. (C) 2009 Elsevier B.V. All rights reserved.</t>
  </si>
  <si>
    <t>[Stevenson, John A.; McGarvie, David W.] Open Univ, Dept Earth Sci, Milton Keynes MK7 6AA, Bucks, England; [Smellie, John L.] British Antarctic Survey, Cambridge CB3 0ET, England; [Gilbert, Jennie S.] Univ Lancaster, Lancaster Environm Ctr, Lancaster LA1 4YQ, England; [Cameron, Barry I.] Univ Wisconsin, Dept Geosci, Milwaukee, WI 53201 USA</t>
  </si>
  <si>
    <t>Open University - UK; UK Research &amp; Innovation (UKRI); Natural Environment Research Council (NERC); NERC British Antarctic Survey; Lancaster University; University of Wisconsin System; University of Wisconsin Milwaukee</t>
  </si>
  <si>
    <t>Stevenson, JA (corresponding author), Open Univ, Dept Earth Sci, Walton Hall, Milton Keynes MK7 6AA, Bucks, England.</t>
  </si>
  <si>
    <t>johnalexanderstevenson@yahoo.co.uk</t>
  </si>
  <si>
    <t>McGarvie, Dave/HQZ-8907-2023; Gilbert, Jennie/A-3243-2009</t>
  </si>
  <si>
    <t>Gilbert, Jennie/0000-0002-6277-738X; Stevenson, John/0000-0002-2245-1334</t>
  </si>
  <si>
    <t>Open University Regional Studentship; OU Staff Tutor Research Fund; Natural Environment Research Council [bas010019] Funding Source: researchfish; NERC [bas010019] Funding Source: UKRI</t>
  </si>
  <si>
    <t>Open University Regional Studentship; OU Staff Tutor Research Fund; Natural Environment Research Council(UK Research &amp; Innovation (UKRI)Natural Environment Research Council (NERC)); NERC(UK Research &amp; Innovation (UKRI)Natural Environment Research Council (NERC))</t>
  </si>
  <si>
    <t>JAS was funded by an Open University Regional Studentship. James White and an anonymous reviewer are thanked for their constructive comments. Cath Davies performed the TGA at Manchester. Micheal Nasse supported the synchotron measurements. DMcG acknowledges fieldwork funding from the OU Staff Tutor Research Fund.</t>
  </si>
  <si>
    <t>0377-0273</t>
  </si>
  <si>
    <t>1872-6097</t>
  </si>
  <si>
    <t>J VOLCANOL GEOTH RES</t>
  </si>
  <si>
    <t>J. Volcanol. Geotherm. Res.</t>
  </si>
  <si>
    <t>SEP 10</t>
  </si>
  <si>
    <t>10.1016/j.jvolgeores.2008.12.016</t>
  </si>
  <si>
    <t>497GY</t>
  </si>
  <si>
    <t>WOS:000270047700008</t>
  </si>
  <si>
    <t>Lu, CH; Guan, ZY</t>
  </si>
  <si>
    <t>Lu, Chuhan; Guan, Zhaoyong</t>
  </si>
  <si>
    <t>On the interannual variation in spring atmospheric inter-hemispheric oscillation linked to synchronous climate in China</t>
  </si>
  <si>
    <t>Air mass; Inter-hemispheric oscillation (IHO); Spring climate; China</t>
  </si>
  <si>
    <t>SURFACE PRESSURE; INTERHEMISPHERIC OSCILLATIONS; SIGNIFICANT EVENTS; WATER-VAPOR; MASS; EXCHANGE; CYCLE; FIELD</t>
  </si>
  <si>
    <t>Based on NCEP/NCAR monthly mean reanalysis data and surface observations of Chinese stations, inter-hemispheric oscillations (IHO) of spring atmospheric mass on an interannual basis in conjunction with the linkage to the synchronous climate over China are studied. Results suggest that the spring IHO exhibits a significant seesaw pattern for air mass at bi-hemispheric mid-high latitudes, with a consistent vertical circulation structure. The EOF decomposition of zonally mean surface pressures without signals of Arctic Oscillation (AO) and Antarctic Oscillation (AAO) indicates that the EOF1 IHO feature is remarkable, with the corresponding time coefficients correlated with the spring IHO index (I-IHO) at 0.93; the spring IHO bears a close relation to the synchronous climate in China, showing the surface pressure, temperature and relative humidity over the country to be in good correlation with I-IHO; the spring duststorms in Qinghai, Gansu, Shaanxi and Inner Mongolia have bearing on IHO. Positive-phase I-IHO promotes the strengthening of the Siberian high, during which zonal winds between 60 degrees E and 150 degrees W show a longitudinal teleconnection structure extending from the Arctic to Antarctica, leading to positive westerly wind anomalies over Asia, affecting the spring climate of China. (C) 2009 National Natural Science Foundation of China and Chinese Academy of Sciences. Published by Elsevier Limited and Science in China Press. All rights reserved.</t>
  </si>
  <si>
    <t>[Guan, Zhaoyong] Nanjing Univ Informat Sci &amp; Technol, Minist Educ, Key Lab Meteorol Disaster, Nanjing 210044, Peoples R China; Nanjing Univ Informat Sci &amp; Technol, Coll Atmospher Sci, Nanjing 210044, Peoples R China</t>
  </si>
  <si>
    <t>Nanjing University of Information Science &amp; Technology; Nanjing University of Information Science &amp; Technology</t>
  </si>
  <si>
    <t>Guan, ZY (corresponding author), Nanjing Univ Informat Sci &amp; Technol, Minist Educ, Key Lab Meteorol Disaster, Nanjing 210044, Peoples R China.</t>
  </si>
  <si>
    <t>guanzy@nuist.edu.cn</t>
  </si>
  <si>
    <t>National Key Technology RD Program [2007BAC29B02]; National Natural Science Foundation of China [40675025]; Jiangsu Creative Engineering of Postgraduate Fostering [CX08B_017Z]</t>
  </si>
  <si>
    <t>National Key Technology RD Program(National Key Technology R&amp;D Program); National Natural Science Foundation of China(National Natural Science Foundation of China (NSFC)); Jiangsu Creative Engineering of Postgraduate Fostering</t>
  </si>
  <si>
    <t>This study was supported jointly by the Project of the National Key Technology R&amp;D Program (Grant No. 2007BAC29B02), National Natural Science Foundation of China (Grant No. 40675025) and Jiangsu Creative Engineering of Postgraduate Fostering (Grant No. CX08B_017Z).</t>
  </si>
  <si>
    <t>10.1016/j.pnsc.2009.01.006</t>
  </si>
  <si>
    <t>481HR</t>
  </si>
  <si>
    <t>WOS:000268798900013</t>
  </si>
  <si>
    <t>Licciano, M; Giangrande, A; Gambi, MC</t>
  </si>
  <si>
    <t>Licciano, Margherita; Giangrande, Adriana; Gambi, Maria Cristina</t>
  </si>
  <si>
    <t>A new genus of Sabellidae (Annelida, Polychaeta) from Antarctica, with discussion of relationships among plesiomorphic genera within Sabellinae</t>
  </si>
  <si>
    <t>Polychaeta; Sabellidae; Phylogeny; Euchoneira knoxi gen. sp nov.; Euchone; Antarctica</t>
  </si>
  <si>
    <t>MEDITERRANEAN-SEA; CHONE-KROYER; REPRODUCTIVE FEATURES; REDESCRIPTION</t>
  </si>
  <si>
    <t>A new genus of Sabellidae (Annelida, Polychaeta), collected in the soft bottoms off the Antarctic Peninsula (Antarctica) in January 2006 is described. The new genus Euchoneira is included in the most plesiomorphic area in the sub-family Sabellinae. Similar to the genus Euchone, this new taxon presents a well developed anal depression with lateral wings, but the shape of abdominal uncini resembles that of Jasmineira. The new species Euchoneira knoxi gen. sp. nov., very abundant in the investigated area, is a gonochoric form (sex-ratio close 1:1). Females contained eggs ranging from 100 to 250 mu m in diameter (modal class 175 mu m) either in the abdomen or thorax. Males with mature sperm had spermatozoa with a characteristic cylindrical shape of the nucleus with a pointed, nip-like acrosome, a morphology similar to that already observed in Euchone pallida Ehlers, 1908, a second species collected together with the new taxon and already known for the Antarctic area. Additions to the description of E. pallida concerning internal structure of the crown, is also given. To define the relationships between the newly described genus and the genera present in the plesiomorphic area of the Sabellinae subfamily, a cladistic analysis was performed utilizing a previous data set after adding the new taxon. The consensus tree confirmed Amphicorina armandi (Claparede, 1868) as the most plesiomorphic taxon separated from all the others. The new genus is located in an intermediate position between Jasmineira - Claviramus and the clade containing Chone and Euchone species, close to Fabrisabella vasculosa.</t>
  </si>
  <si>
    <t>[Licciano, Margherita; Giangrande, Adriana] Univ Salento, Staz Biol Marina, DiSTeBA, Lecce, Italy; [Gambi, Maria Cristina] Lab Ecol Funz Evolut, Staz Zool Anton Dohrn, Naples, Italy</t>
  </si>
  <si>
    <t>University of Salento; Stazione Zoologica Anton Dohrn di Napoli</t>
  </si>
  <si>
    <t>Licciano, M (corresponding author), Univ Salento, Staz Biol Marina, DiSTeBA, Via Prov Lecce Monteroni, Lecce, Italy.</t>
  </si>
  <si>
    <t>margherita.licciano@unisalento.it; adriana.giangrande@unisalento.it; gambimc@szn.it</t>
  </si>
  <si>
    <t>Licciano, Margherita/L-2242-2019; Gambi, Maria Cristina/AFO-0958-2022; Gambi, Maria Cristina/L-8246-2014</t>
  </si>
  <si>
    <t>Licciano, Margherita/0000-0001-8762-3179; Gambi, Maria Cristina/0000-0002-0168-776X; Giangrande, Adriana/0000-0003-4531-2377</t>
  </si>
  <si>
    <t>MURST (Ministero dell'Universita e della Ricerca Scientifica e Tecnologica); MARBEF Network of Excellence Marine Biodiversity and Ecosystem Functioning; European Community's Sixth Framework Programme [GOCE-CT-2003-505446]</t>
  </si>
  <si>
    <t>MURST (Ministero dell'Universita e della Ricerca Scientifica e Tecnologica)(Ministry of Education, Universities and Research (MIUR)); MARBEF Network of Excellence Marine Biodiversity and Ecosystem Functioning; European Community's Sixth Framework Programme(European Union (EU))</t>
  </si>
  <si>
    <t>This study was financially supported by the MURST (Ministero dell'Universita e della Ricerca Scientifica e Tecnologica) and the MARBEF Network of Excellence Marine Biodiversity and Ecosystem Functioning which is funded in the European Community's Sixth Framework Programme (contract no. GOCE-CT-2003-505446).</t>
  </si>
  <si>
    <t>10.11646/zootaxa.2226.1.3</t>
  </si>
  <si>
    <t>492XV</t>
  </si>
  <si>
    <t>WOS:000269696900003</t>
  </si>
  <si>
    <t>Wingham, DJ; Wallis, DW; Shepherd, A</t>
  </si>
  <si>
    <t>Wingham, D. J.; Wallis, D. W.; Shepherd, A.</t>
  </si>
  <si>
    <t>Spatial and temporal evolution of Pine Island Glacier thinning, 1995-2006</t>
  </si>
  <si>
    <t>ANTARCTIC ICE-SHEET; SEA-LEVEL RISE; WEST ANTARCTICA</t>
  </si>
  <si>
    <t>We use ERS-2 and ENVISAT satellite radar altimetry to examine spatial and temporal changes in the rate of thinning of the Pine Island Glacier, West Antarctica, during the period 1995 to 2006. We show that the pattern of thinning has both accelerated and spread inland to encompass tributaries flowing into the central trunk of the glacier. Within the 5,400 km(2) central trunk, the average rate of volume loss quadrupled from 2.6 +/- 0.3 km(3) yr(-1) in 1995 to 10.1 +/- 0.3 km(3) yr(-1) in 2006. The region of lightly grounded ice at the glacier terminus is extending upstream, and the changes inland are consistent with the effects of a prolonged disturbance to the ice flow, such as the effects of ocean- driven melting. If the acceleration continues at its present rate, the main trunk of PIG will be afloat within some 100 years, six times sooner than anticipated. Citation: Wingham, D.J., D.W. Wallis, and A. Shepherd (2009), Spatial and temporal evolution of Pine Island Glacier thinning, 1995-2006, Geophys. Res. Lett., 36, L17501, doi: 10.1029/2009GL039126.</t>
  </si>
  <si>
    <t>[Wingham, D. J.; Wallis, D. W.] UCL, Dept Earth Sci, Ctr Polar Observat &amp; Modelling, London WC1E 6BT, England; [Shepherd, A.] Univ Edinburgh, Sch Geosci, Ctr Polar Observat &amp; Modelling, Edinburgh, Midlothian, Scotland</t>
  </si>
  <si>
    <t>University of London; University College London; University of Edinburgh</t>
  </si>
  <si>
    <t>Wingham, DJ (corresponding author), UCL, Dept Earth Sci, Ctr Polar Observat &amp; Modelling, Gower St, London WC1E 6BT, England.</t>
  </si>
  <si>
    <t>djw@cpom.ucl.ac.uk</t>
  </si>
  <si>
    <t>Wallis, David/0000-0002-0812-883X; Shepherd, Andrew/0000-0002-4914-1299</t>
  </si>
  <si>
    <t>UK Natural Environment Research Council [F14/G6/95]; NERC [cpom20001] Funding Source: UKRI; Natural Environment Research Council [earth010006, cpom20001] Funding Source: researchfish</t>
  </si>
  <si>
    <t>Supported by the UK Natural Environment Research Council (F14/G6/95). NCEP Daily Global Analyses provided by NOAA/OAR/ESRL (http://www.cdc.noaa.gov/).</t>
  </si>
  <si>
    <t>SEP 9</t>
  </si>
  <si>
    <t>L17501</t>
  </si>
  <si>
    <t>10.1029/2009GL039126</t>
  </si>
  <si>
    <t>493RQ</t>
  </si>
  <si>
    <t>WOS:000269756000003</t>
  </si>
  <si>
    <t>Naylor, RL; Hardy, RW; Bureau, DP; Chiu, A; Elliott, M; Farrell, AP; Forster, I; Gatlin, DM; Goldburg, RJ; Hua, K; Nichols, PD</t>
  </si>
  <si>
    <t>Naylor, Rosamond L.; Hardy, Ronald W.; Bureau, Dominique P.; Chiu, Alice; Elliott, Matthew; Farrell, Anthony P.; Forster, Ian; Gatlin, Delbert M.; Goldburg, Rebecca J.; Hua, Katheline; Nichols, Peter D.</t>
  </si>
  <si>
    <t>Feeding aquaculture in an era of finite resources</t>
  </si>
  <si>
    <t>aquafeed; fish oil; fishmeal; forage fish</t>
  </si>
  <si>
    <t>SALMO-SALAR L.; DIETARY FISH-OIL; FATTY-ACID-COMPOSITION; PACIFIC WHITE SHRIMP; ANTARCTIC KRILL; LITOPENAEUS-VANNAMEI; RAINBOW-TROUT; GROWTH-PERFORMANCE; INCREASING LEVELS; LIPID-COMPOSITION</t>
  </si>
  <si>
    <t>Aquaculture's pressure on forage fisheries remains hotly contested. This article reviews trends in fishmeal and fish oil use in industrial aquafeeds, showing reduced inclusion rates but greater total use associated with increased aquaculture production and demand for fish high in long-chain omega-3 oils. The ratio of wild fisheries inputs to farmed fish output has fallen to 0.63 for the aquaculture sector as a whole but remains as high as 5.0 for Atlantic salmon. Various plant-and animal-based alternatives are now used or available for industrial aquafeeds, depending on relative prices and consumer acceptance, and the outlook for single-cell organisms to replace fish oil is promising. With appropriate economic and regulatory incentives, the transition toward alternative feedstuffs could accelerate, paving the way for a consensus that aquaculture is aiding the ocean, not depleting it.</t>
  </si>
  <si>
    <t>[Naylor, Rosamond L.; Chiu, Alice] Stanford Univ, Program Food Secur &amp; Environm, Stanford, CA 94035 USA; [Hardy, Ronald W.] Univ Idaho, Hagerman Fish Expt Stn, Hagerman, ID 83332 USA; [Bureau, Dominique P.; Hua, Katheline] Univ Guelph, Dept Anim &amp; Poultry Sci, Guelph, ON N1G 2W1, Canada; [Elliott, Matthew] Sea Change Management, San Francisco, CA 94111 USA; [Farrell, Anthony P.; Forster, Ian] Ctr Aquaculture &amp; Environm Res, W Vancouver, BC V7V 1N6, Canada; [Gatlin, Delbert M.] Texas A&amp;M Univ, Dept Wildlife &amp; Fisheries Sci, College Stn, TX 77843 USA; [Gatlin, Delbert M.] Texas A&amp;M Univ, Intercollegiate Fac Nutr, College Stn, TX 77843 USA; [Gatlin, Delbert M.] Norwegian Ctr Excellence, Aquaculture Prot Ctr, N-1432 As, Norway; [Goldburg, Rebecca J.] Pew Charitable Trusts, Pew Environm Grp, Washington, DC 20004 USA; [Nichols, Peter D.] Commonwealth Sci &amp; Ind Res Org, Hobart, Tas 7000, Australia</t>
  </si>
  <si>
    <t>Stanford University; Idaho; University of Idaho; University of Guelph; Texas A&amp;M University System; Texas A&amp;M University College Station; Texas A&amp;M University System; Texas A&amp;M University College Station; Commonwealth Scientific &amp; Industrial Research Organisation (CSIRO)</t>
  </si>
  <si>
    <t>Naylor, RL (corresponding author), Stanford Univ, Program Food Secur &amp; Environm, Encina E 404, Stanford, CA 94035 USA.</t>
  </si>
  <si>
    <t>roz@stanford.edu</t>
  </si>
  <si>
    <t>Hua, Katheline/G-6086-2018; Gatlin, Delbert/AAB-3615-2021; Forster, Ian/E-8098-2010; Hardy, Ronald/AAK-4878-2021; Nichols, Peter D/C-5128-2011</t>
  </si>
  <si>
    <t>Forster, Ian/0000-0002-4256-4432; Hardy, Ronald/0000-0002-4521-864X; Bureau, Dominique/0000-0001-8184-9732</t>
  </si>
  <si>
    <t>David and Lucile Packard Foundation</t>
  </si>
  <si>
    <t>David and Lucile Packard Foundation(The David &amp; Lucile Packard Foundation)</t>
  </si>
  <si>
    <t>We thank W. Falcon and K. Niemer-Johnson for reviewing the manuscript. This work was supported by the David and Lucile Packard Foundation.</t>
  </si>
  <si>
    <t>SEP 8</t>
  </si>
  <si>
    <t>10.1073/pnas.0905235106</t>
  </si>
  <si>
    <t>492CR</t>
  </si>
  <si>
    <t>WOS:000269632400005</t>
  </si>
  <si>
    <t>Alexander, SP; Klekociuk, AR; Tsuda, T</t>
  </si>
  <si>
    <t>Alexander, S. P.; Klekociuk, A. R.; Tsuda, T.</t>
  </si>
  <si>
    <t>Gravity wave and orographic wave activity observed around the Antarctic and Arctic stratospheric vortices by the COSMIC GPS-RO satellite constellation</t>
  </si>
  <si>
    <t>MACQUARIE ISLAND; TROPOSPHERIC JET; DOWNWARD CONTROL; OCCULTATION DATA; RADIOSONDE DATA; MOUNTAIN WAVES; POLAR VORTEX; GENERATION; DYNAMICS; ATMOSPHERE</t>
  </si>
  <si>
    <t>Polar stratospheric gravity wave activity is studied using data from the Constellation Observing System for Meteorology, Ionosphere and Climate (COSMIC) Global Positioning System Radio Occultation (GPS-RO). Waves with vertical wavelengths of similar to 2 to 15 km are considered. The temperature variance sigma(2) is used as a measure of wave activity and is studied on isentropic surfaces. Large intermittent orographic wave activity is identified during austral spring 2007 above the Patagonian Andes and the Antarctic Peninsula, where sigma(2) in the stratosphere increases by up to a factor of 5 for periods of 5 days to a few weeks. The sigma(2) are also investigated in equivalent latitudes to allow a direct comparison with the changing vortex structure. The October 2007 sigma(2) inside the Antarctic vortex boundary region at 400-600 K is one and a half times that outside the vortex. This region of enhanced sigma(2) descends in time and is not observed during the decay of the Arctic vortex. During the boreal winter of 2006/2007, orographic wave activity is observed above Scandinavia and Greenland. An analysis of the 400 K and the 450 K levels in both hemispheres shows a strong relationship between enhanced sigma(2) and the location of the vortex edge, suggesting that the waves observed are propagating poleward and are guided to higher altitudes by the vortex. The line of sight of the occultations shows a preference for north-south alignment, indicating that COSMIC favors the detection of orographic waves above the north-south oriented mountain ranges considered here.</t>
  </si>
  <si>
    <t>[Alexander, S. P.; Klekociuk, A. R.] Australian Antarctic Div, Kingston, Tas 7050, Australia; [Tsuda, T.] Kyoto Univ, Res Inst Sustainable Humanosphere, Uji, Kyoto 6110011, Japan</t>
  </si>
  <si>
    <t>Australian Antarctic Division; Kyoto University</t>
  </si>
  <si>
    <t>Alexander, SP (corresponding author), Australian Antarctic Div, 203 Channel Highway, Kingston, Tas 7050, Australia.</t>
  </si>
  <si>
    <t>simon.alexander@aad.gov.au</t>
  </si>
  <si>
    <t>tsuda, toshitaka/A-3035-2015; Tsuda, Toshitaka/GYJ-4925-2022; Klekociuk, Andrew/A-4498-2015</t>
  </si>
  <si>
    <t>Klekociuk, Andrew/0000-0003-3335-0034; Alexander, Simon/0000-0001-6823-8857</t>
  </si>
  <si>
    <t>Japanese Ministry of Education, Culture, Sports, Science and Technology (MEXT) [21340138]; Grants-in-Aid for Scientific Research [21340138] Funding Source: KAKEN</t>
  </si>
  <si>
    <t>Japanese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</si>
  <si>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COSMIC data were obtained from the COSMIC Data Analysis and Archive Center (CDAAC). We thank Y. Kawatani for helpful discussions and advice during the course of this research. The constructive comments of three anonymous reviewers are much appreciated. This research was conducted for projects 737 and 3140 of the Australian Antarctic programme and supported in part by the Japanese Ministry of Education, Culture, Sports, Science and Technology (MEXT) through a Grant-in-Aid for Scientific Research (21340138).</t>
  </si>
  <si>
    <t>SEP 5</t>
  </si>
  <si>
    <t>D17103</t>
  </si>
  <si>
    <t>10.1029/2009JD011851</t>
  </si>
  <si>
    <t>492EC</t>
  </si>
  <si>
    <t>WOS:000269636400005</t>
  </si>
  <si>
    <t>Jarvis, JC; Hastings, MG; Steig, EJ; Kunasek, SA</t>
  </si>
  <si>
    <t>Jarvis, Julia C.; Hastings, Meredith G.; Steig, Eric J.; Kunasek, Shelley A.</t>
  </si>
  <si>
    <t>Isotopic ratios in gas-phase HNO3 and snow nitrate at Summit, Greenland</t>
  </si>
  <si>
    <t>ATMOSPHERIC NITRATE; TROPOSPHERIC OZONE; DENITRIFIER METHOD; PHOTOCHEMICAL NO; OXYGEN ISOTOPES; ANTARCTIC SNOW; FRESH-WATER; NITROGEN; SURFACE; ICE</t>
  </si>
  <si>
    <t>Measurements of the isotope ratios of snow nitrate and atmospheric gas-phase HNO3 (N-15/N-14 and O-18/O-16) from Summit, Greenland provide new observational constraints on postdepositional processing of snowpack nitrate. The delta N-15 of NO3- is similar in surface snow and in air sampled 1.5 m above the snow surface during Spring and Summer 2006, ranging between -15 and +6 parts per thousand versus N-2. The delta O-18 of NO3-, however, is similar to 40 parts per thousand higher in surface snow than air samples. Photochemical box modeling of HNO3 chemistry at Summit suggests that the delta O-18 of the air samples is derived predominantly from gas-phase HNO3 originating from photolyzed snow nitrate. Measurements of isotopically labeled nitrate in surface snow confirm that photolytic recycling of snowpack nitrate, in which photolyzed nitrate products recombine to form HNO3 that is subsequently redeposited to the snow surface, does occur at Summit. Calculations incorporating these measurements suggest that photolytic recycling of snow nitrate at Summit will have a maximum -7.5 parts per thousand change on the delta O-18 of nitrate buried in snow, while photolytic loss of snow nitrate will decrease the delta O-18 of buried nitrate by 0.9 parts per thousand. Photolytic recycling and loss will increase the delta N-15 of buried snow nitrate, the degree to which depends on the nitrogen isotope fractionation of nitrate photolysis. Finally, a comparison of surface snow and snowpit samples demonstrates the preservation of the seasonal cycle in isotope ratios of snow nitrate.</t>
  </si>
  <si>
    <t>[Jarvis, Julia C.; Steig, Eric J.; Kunasek, Shelley A.] Univ Washington, Dept Earth &amp; Space Sci, Seattle, WA 98195 USA; [Hastings, Meredith G.] Brown Univ, Dept Geol Sci &amp; Environm Change Initiat, Providence, RI 02912 USA</t>
  </si>
  <si>
    <t>University of Washington; University of Washington Seattle; Brown University</t>
  </si>
  <si>
    <t>Jarvis, JC (corresponding author), Univ Washington, Dept Earth &amp; Space Sci, Johnson Hall 070,Box 351310, Seattle, WA 98195 USA.</t>
  </si>
  <si>
    <t>jjarvis@u.washington.edu</t>
  </si>
  <si>
    <t>/G-9088-2015; Hastings, Meredith/C-6199-2008</t>
  </si>
  <si>
    <t>/0000-0002-8191-5549; Hastings, Meredith/0000-0001-6716-6783</t>
  </si>
  <si>
    <t>National Science Foundation [NSF-OPP 0454803]; Joint Institute for the Study of the Atmosphere and Ocean [NA17RJ1232]</t>
  </si>
  <si>
    <t>National Science Foundation(National Science Foundation (NSF)); Joint Institute for the Study of the Atmosphere and Ocean</t>
  </si>
  <si>
    <t>We thank K. Huybers, P. Neff, D. Gleason, J. Flaherty, M. Town, A. Donohoe, L. Koenig, J. Wettstein, and the Summit science techs for valuable assistance with field and laboratory work. We are grateful to VECO Polar Resources (now Polar Field Services) and the 109th NY ANG for logistical support. We acknowledge financial support from the National Science Foundation (NSF-OPP 0454803); M. G. H. acknowledges funding from the Joint Institute for the Study of the Atmosphere and Ocean under NOAA Cooperative Agreement No. NA17RJ1232, Contribution 1737.</t>
  </si>
  <si>
    <t>D17301</t>
  </si>
  <si>
    <t>10.1029/2009JD012134</t>
  </si>
  <si>
    <t>WOS:000269636400006</t>
  </si>
  <si>
    <t>Uotila, P; Pezza, AB; Cassano, JJ; Keay, K; Lynch, AH</t>
  </si>
  <si>
    <t>Uotila, P.; Pezza, A. B.; Cassano, J. J.; Keay, K.; Lynch, A. H.</t>
  </si>
  <si>
    <t>A comparison of low pressure system statistics derived from a high-resolution NWP output and three reanalysis products over the Southern Ocean</t>
  </si>
  <si>
    <t>EXTRATROPICAL CYCLONE BEHAVIOR; POLAR MM5 SIMULATIONS; NUMERICAL SCHEME; STORM TRACKS; DIGITAL DATA; HEMISPHERE; CLIMATE; VARIABILITY; ERA-40; ANTARCTICA</t>
  </si>
  <si>
    <t>Low pressure system statistics derived from the Antarctic Mesoscale Prediction System (AMPS) and NCEP, NCEP2, and JRA25 reanalysis products are compared by using an automatic cyclone tracking scheme. Since AMPS model spatial and temporal resolutions are much higher than the ones of the reanalyses, this study provides a valuable insight of the ability of numerical models to simulate low pressure systems with an increasing resolution. Results based on AMPS data agree relatively well with reanalyses-based results when looking at the seasonal variability and spatial patterns of low pressure system properties over large scales. Results differ systematically close to the Antarctic ice sheet, where the horizontal resolution is important in resolving the continental topography. This appears as lower AMPS system densities and smaller system sizes close to the Antarctic coast. Results differ most during winter when the correct parameterization of surface energy balance is crucial over the sea-ice covered ocean. AMPS data show more systems at around and south of 60 degrees S in the Antarctic Circumpolar Trough, where reanalyses display systems of larger size. Earlier studies of cyclonic systems over the Southern Ocean show that there is a spectrum of atmospheric systems, where small synoptic systems merge into mesoscale lows. Accordingly, a high-resolution model setup with appropriate physics parameterization, like AMPS, is required to generate small systems. This study highlights that when new data become available it is important to update low pressure system statistics to gain a better understanding of high-latitude processes over intermediate scales.</t>
  </si>
  <si>
    <t>[Uotila, P.; Lynch, A. H.] Monash Univ, Sch Geog &amp; Environm Sci, Clayton, Vic 3800, Australia; [Pezza, A. B.; Keay, K.] Univ Melbourne, Sch Earth Sci, Melbourne, Vic 3010, Australia; [Cassano, J. J.] Univ Colorado, Cooperat Inst Res Environm Sci, Boulder, CO 80309 USA; [Cassano, J. J.] Univ Colorado, Dept Atmospher &amp; Ocean Sci, Boulder, CO 80309 USA</t>
  </si>
  <si>
    <t>Monash University; University of Melbourne; Melbourne Bioinformatics; University of Colorado System; University of Colorado Boulder; University of Colorado System; University of Colorado Boulder</t>
  </si>
  <si>
    <t>Uotila, P (corresponding author), Monash Univ, Sch Geog &amp; Environm Sci, Wellington Rd, Clayton, Vic 3800, Australia.</t>
  </si>
  <si>
    <t>petteri.uotila@arts.monash.edu.au</t>
  </si>
  <si>
    <t>Cassano, John/HKW-8817-2023; Uotila, Petteri/A-1703-2012; Lynch, Amanda/B-4278-2011</t>
  </si>
  <si>
    <t>Uotila, Petteri/0000-0002-2939-7561; Lynch, Amanda/0000-0003-2990-1016</t>
  </si>
  <si>
    <t>NSF [ATM-0404790, ANT 0636811]; Australian Research Council; Australian Antarctic Science Advisory Committee; Office of Polar Programs (OPP); Directorate For Geosciences [0739464] Funding Source: National Science Foundation; Office of Polar Programs (OPP); Directorate For Geosciences [0739519] Funding Source: National Science Foundation</t>
  </si>
  <si>
    <t>NSF(National Science Foundation (NSF)); Australian Research Council(Australian Research Council); Australian Antarctic Science Advisory Committee; Office of Polar Programs (OPP); Directorate For Geosciences(National Science Foundation (NSF)NSF - Directorate for Geosciences (GEO)); Office of Polar Programs (OPP); Directorate For Geosciences(National Science Foundation (NSF)NSF - Directorate for Geosciences (GEO))</t>
  </si>
  <si>
    <t>We thank Prof. Ian Simmonds, Prof. David Bromwich, and Mr. Daniel Steinhoff for discussions and comments on the manuscript. This research was supported in part by NSF grants ATM-0404790 and ANT 0636811, Australian Research Council grants to Amanda Lynch, and an Australian Antarctic Science Advisory Committee grant to Ian Simmonds. We acknowledge the creators of NCEP reanalysis 1 and reanalysis 2 data provided by the NOAA/OAR/ESRL PSD, Boulder, Colorado, USA, from their Web site at http://www.cdc.noaa.gov/ and of JRA-25 reanalysis data provided by the JMA, Tokyo, Japan, from their Web site at http://jra.kishou.go.jp/. The authors would like to thank the AMPS modelers for making their data available. The authors would also like to thank the reviewers for their constructive comments.</t>
  </si>
  <si>
    <t>D17105</t>
  </si>
  <si>
    <t>10.1029/2008JD011583</t>
  </si>
  <si>
    <t>WOS:000269636400001</t>
  </si>
  <si>
    <t>Rochat, S; Egger, J; Chaintreau, A</t>
  </si>
  <si>
    <t>Rochat, S.; Egger, J.; Chaintreau, A.</t>
  </si>
  <si>
    <t>Strategy for the identification of key odorants: Application to shrimp aroma</t>
  </si>
  <si>
    <t>JOURNAL OF CHROMATOGRAPHY A</t>
  </si>
  <si>
    <t>Shrimp; Aroma; GC-olfactometry; GC/MS; Multidimensional GC; Comprehensive two-dimensional GC; Retention indices</t>
  </si>
  <si>
    <t>GAS-CHROMATOGRAPHY-OLFACTOMETRY; VOLATILE COMPONENTS; ANTARCTIC KRILLS; IMPACT COMPOUNDS; FLAVOR COMPOUNDS; COOKED ODOR; ORIGIN</t>
  </si>
  <si>
    <t>The GC-SNIF technique was used to obtain the olfactograms of shrimps, and their impact odorants were identified by MS hyphenated to the GC/olfactometric system and by comprehensive two-dimensional GC hyphenated to a time-of-flight MS. Confirming these identifications by their linear retention indices required application of a new strategy to compare retention indices between both instruments and with the in-house database. The aldehydes were confirmed by using their pentafluorophenylhydrazone derivatives, and 2-ethyl-3,5-dimethyl pyrazine had to be resolved from co-eluting compounds and then identified by multidimensional GC hyphenated to an MS and a sniff port. In both shrimp products, the most important odorants were trimethylamine. 2-acetyl-1-pyrroline, and 2-ethyl-3,5-dimethyl pyrazine, together with common carbonyl compounds. (C) 2009 Elsevier B.V. All rights reserved.</t>
  </si>
  <si>
    <t>[Rochat, S.; Egger, J.; Chaintreau, A.] Firmenich Co, Corp R&amp;D Div, CH-1211 Geneva 8, Switzerland</t>
  </si>
  <si>
    <t>Firmenich</t>
  </si>
  <si>
    <t>Chaintreau, A (corresponding author), Firmenich Co, Corp R&amp;D Div, POB 239, CH-1211 Geneva 8, Switzerland.</t>
  </si>
  <si>
    <t>alain.chaintreau@firmenich.com</t>
  </si>
  <si>
    <t>Alain, Chaintreau/0000-0002-1665-0521</t>
  </si>
  <si>
    <t>0021-9673</t>
  </si>
  <si>
    <t>1873-3778</t>
  </si>
  <si>
    <t>J CHROMATOGR A</t>
  </si>
  <si>
    <t>J. Chromatogr. A</t>
  </si>
  <si>
    <t>SEP 4</t>
  </si>
  <si>
    <t>10.1016/j.chroma.2009.07.014</t>
  </si>
  <si>
    <t>Biochemical Research Methods; Chemistry, Analytical</t>
  </si>
  <si>
    <t>489BE</t>
  </si>
  <si>
    <t>WOS:000269393700011</t>
  </si>
  <si>
    <t>von Schuckmann, K; Gaillard, F; Le Traon, PY</t>
  </si>
  <si>
    <t>von Schuckmann, K.; Gaillard, F.; Le Traon, P. -Y.</t>
  </si>
  <si>
    <t>Global hydrographic variability patterns during 2003-2008</t>
  </si>
  <si>
    <t>ANTARCTIC CIRCUMPOLAR CURRENT; NORTH-ATLANTIC CIRCULATION; SEA-SURFACE SALINITY; INDIAN-OCEAN; SOUTHERN-OCEAN; ANNUAL CYCLE; LEVEL RISE; PACIFIC; TEMPERATURE; EQUATORIAL</t>
  </si>
  <si>
    <t>Monthly gridded global temperature and salinity fields from the near-surface layer down to 2000 m depth based on Argo measurements are used to analyze large-scale variability patterns on annual to interannual time scales during the years 2003-2008. Previous estimates of global hydrographic fluctuations have been derived using different data sets, partly on the basis of scarce sampling. The substantial advantage of this study includes a detailed summary of global variability patterns based on a single and more uniform database. In the upper 400 m, regions of strong seasonal salinity changes differ from regions of strong seasonal temperature changes, and large amplitudes of seasonal salinity are observed in the upper tropical and subpolar global ocean. Strong interannual and decadal changes superimpose long-term changes at northern midlatitudes. In the subtropical and tropical basin, interannual fluctuations dominate the upper 500 m depth. At southern midlatitudes, hydrographic changes occur on interannual and decadal time scales, while long-term changes are predominantly observed in the salinity field. Global mean heat content and steric height changes are clearly associated with a positive trend during the 6 years of measurements. The global 6-year trend of steric height deduced from in situ measurements explains 40% of the satellite-derived quantities. The global freshwater content does not show a significant trend and is dominated by interannual variability.</t>
  </si>
  <si>
    <t>[von Schuckmann, K.; Gaillard, F.] IFREMER, CNRS, UBO, IRD,LPO,UMR 6523, F-29280 Plouzane, France; [Le Traon, P. -Y.] IFREMER, LOS, F-29280 Plouzane, France</t>
  </si>
  <si>
    <t>Centre National de la Recherche Scientifique (CNRS); CNRS - National Institute for Earth Sciences &amp; Astronomy (INSU); Ifremer; Institut de Recherche pour le Developpement (IRD); Universite de Bretagne Occidentale; Institut Universitaire Europeen de la Mer (IUEM); Ifremer</t>
  </si>
  <si>
    <t>von Schuckmann, K (corresponding author), IFREMER, CNRS, UBO, IRD,LPO,UMR 6523, BP 70, F-29280 Plouzane, France.</t>
  </si>
  <si>
    <t>karina.von.schuckmann@ifremer.fr; fabienne.gaillard@ifremer.fr; pierre.yves.le.traon@ifremer.fr</t>
  </si>
  <si>
    <t>Le Traon, Pierre Yves/G-9342-2016; von Schuckmann, Karina/AAZ-8897-2021; Gaillard, Fabienne/K-4236-2012</t>
  </si>
  <si>
    <t>Le Traon, Pierre Yves/0000-0002-5484-3439; von Schuckmann, Karina/0000-0002-9922-8528; Gaillard, Fabienne/0000-0002-9466-8268</t>
  </si>
  <si>
    <t>Ifremer; European project BOSS4-GMES</t>
  </si>
  <si>
    <t>This work was supported by an Ifremer grant and the European project BOSS4-GMES. Data were made available by the Coriolis data center (Argo-GDAC).</t>
  </si>
  <si>
    <t>C09007</t>
  </si>
  <si>
    <t>10.1029/2008JC005237</t>
  </si>
  <si>
    <t>492EN</t>
  </si>
  <si>
    <t>WOS:000269637600001</t>
  </si>
  <si>
    <t>Doble, MJ</t>
  </si>
  <si>
    <t>Doble, Martin J.</t>
  </si>
  <si>
    <t>Simulating pancake and frazil ice growth in the Weddell Sea: A process model from freezing to consolidation</t>
  </si>
  <si>
    <t>THICKNESS DISTRIBUTION; WINTER; BELLINGSHAUSEN; AMUNDSEN</t>
  </si>
  <si>
    <t>Processes controlling the formation and transformation of frazil to pancake ice are examined using data from an array of drifting buoys deployed at the advancing ice edge in the Weddell Sea. A simple thermodynamic model is coupled to the buoy dynamics and to an ice redistribution model to determine the influence of deformation, thermodynamics, and mechanical scavenging, incorporating frazil crystals from the surrounding slick into the pancakes, on the partitioning of ice volume between frazil and pancakes. Ice production was examined from the time the buoys were deployed until the frazil/pancake cover consolidated into the more familiar pack ice. The model reproduced the expected ice cover thickness at consolidation (60 cm). Rafting was the dominant contribution to thickening in the region owing to large-scale compression of the initial area by northerly winds from passing low-pressure weather systems, which are rather typical in the region. High-resolution positional forcing from the buoys (20-min intervals) doubled the contribution of mechanical scavenging to final pancake thickness compared to the coarser (2-h) result, owing to the larger path length that the pancakes traverse through the frazil slick, and produced a significantly larger volume of ice in the pancake phase. The ice cover generated at consolidation was approximately twice as thick as would have formed by the more familiar congelation ice growth under the same forcing, reinforcing the importance of correctly parameterizing the early stages of ice formation in the Antarctic. The study highlighted uncertainties in the effect of the frazil/pancake cover on ocean-atmosphere heat exchange, both in terms of the area contributing to ice production and the effect on turbulent exchange coefficients. Further work placing the empirical parameters into a more constrained physical framework and introducing wave properties is suggested.</t>
  </si>
  <si>
    <t>[Doble, Martin J.] Univ Cambridge, Dept Appl Math &amp; Theoret Phys, Cambridge CB3 0WA, England</t>
  </si>
  <si>
    <t>University of Cambridge</t>
  </si>
  <si>
    <t>Doble, MJ (corresponding author), UPMC, CNRS, UMR 7093, Lab Oceanog Villefranche, Villefranche Sur Mer, France.</t>
  </si>
  <si>
    <t>m.j.doble@damtp.cam.ac.uk</t>
  </si>
  <si>
    <t>Doble, Martin J/A-9915-2012</t>
  </si>
  <si>
    <t>Doble, Martin/0000-0001-8185-6510</t>
  </si>
  <si>
    <t>UK Natural Environment Research Council [GR3/12952]</t>
  </si>
  <si>
    <t>UK Natural Environment Research Council(UK Research &amp; Innovation (UKRI)Natural Environment Research Council (NERC))</t>
  </si>
  <si>
    <t>Work was supported by the UK Natural Environment Research Council under grant GR3/12952. I am grateful to the Alfred Wegener Institut fur Polar-und Meeresforschung, Bremerhaven, for the opportunity to work from F/S Polarstern during the field experiment, and I thank the captain and crew for their kind cooperation.</t>
  </si>
  <si>
    <t>SEP 3</t>
  </si>
  <si>
    <t>C09003</t>
  </si>
  <si>
    <t>10.1029/2008JC004935</t>
  </si>
  <si>
    <t>492EK</t>
  </si>
  <si>
    <t>WOS:000269637300001</t>
  </si>
  <si>
    <t>Chisham, G; Freeman, MP; Abel, GA; Bristow, WA; Marchaudon, A; Ruohoniemi, JM; Sofko, GJ</t>
  </si>
  <si>
    <t>Chisham, G.; Freeman, M. P.; Abel, G. A.; Bristow, W. A.; Marchaudon, A.; Ruohoniemi, J. M.; Sofko, G. J.</t>
  </si>
  <si>
    <t>Spatial distribution of average vorticity in the high-latitude ionosphere and its variation with interplanetary magnetic field direction and season</t>
  </si>
  <si>
    <t>SCALE BIRKELAND CURRENTS; CURRENT-VOLTAGE RELATIONSHIP; AURORAL RADAR NETWORK; SUPERDARN HF-RADARS; ALIGNED CURRENTS; ELECTRIC-FIELDS; MAGNETOMETER DATA; SOLAR-WIND; LOCAL TIME; CONVECTION</t>
  </si>
  <si>
    <t>We present a technique to measure the magnetic field-aligned vorticity of mesoscale plasma flows in the F region ionosphere using line-of-sight velocity measurements made by the Super Dual Auroral Radar Network (SuperDARN). Vorticity is often used as a proxy for magnetic field-aligned current (FAC) intensity in the ionosphere but also provides information about turbulent processes in the ionosphere and magnetosphere. Using 6 years (2000-2005 inclusive) of vorticity measurements made by six SuperDARN radars in the Northern Hemisphere, we have compiled, for the first time, maps of average vorticity across the northern polar ionosphere. These maps have been subdivided according to different seasonal and interplanetary magnetic field (IMF) conditions. The variations in the morphology of the vorticity maps with IMF direction match very closely those seen in maps of average FAC intensity (determined using different methods and instrumentation), suggesting that vorticity is a good proxy for FAC in an averaged sense. The variations in the morphology of the vorticity maps with season show differences from those seen in the FAC maps, illustrating that ionospheric conductance plays a major role in determining the differences between measurements of vorticity and FAC.</t>
  </si>
  <si>
    <t>[Chisham, G.; Freeman, M. P.; Abel, G. A.] British Antarctic Survey, Nat Environm Res Council, Cambridge CB3 0ET, England; [Bristow, W. A.] Univ Alaska, Inst Geophys, Fairbanks, AK 99775 USA; [Marchaudon, A.] CNRS, Lab Phys &amp; Chim Environm &amp; Espace, F-45071 Orleans 2, France; [Ruohoniemi, J. M.] Virginia Polytech Inst &amp; State Univ, Dept Elect &amp; Comp Engn, Blacksburg, VA 24061 USA; [Sofko, G. J.] Univ Saskatchewan, Dept Phys, Saskatoon, SK S7N 5E2, Canada</t>
  </si>
  <si>
    <t>UK Research &amp; Innovation (UKRI); Natural Environment Research Council (NERC); NERC British Antarctic Survey; University of Alaska System; University of Alaska Fairbanks; Centre National de la Recherche Scientifique (CNRS); Virginia Polytechnic Institute &amp; State University; University of Saskatchewan</t>
  </si>
  <si>
    <t>Chisham, G (corresponding author), British Antarctic Survey, Nat Environm Res Council, Madingley Rd, Cambridge CB3 0ET, England.</t>
  </si>
  <si>
    <t>g.chi@bas.ac.uk</t>
  </si>
  <si>
    <t>Abel, Gary/0000-0003-2231-5161; Marchaudon, Aurelie/0000-0002-1625-3462; Freeman, Mervyn/0000-0002-8653-8279</t>
  </si>
  <si>
    <t>NERC [bas010021] Funding Source: UKRI; Natural Environment Research Council [bas010021] Funding Source: researchfish</t>
  </si>
  <si>
    <t>SEP 2</t>
  </si>
  <si>
    <t>A09301</t>
  </si>
  <si>
    <t>10.1029/2009JA014263</t>
  </si>
  <si>
    <t>492FZ</t>
  </si>
  <si>
    <t>WOS:000269641700001</t>
  </si>
  <si>
    <t>Petersen, SL; Honig, MB; Ryan, PG; Underhill, LG</t>
  </si>
  <si>
    <t>Petersen, S. L.; Honig, M. B.; Ryan, P. G.; Underhill, L. G.</t>
  </si>
  <si>
    <t>Seabird bycatch in the pelagic longline fishery off southern Africa</t>
  </si>
  <si>
    <t>bycatch; pelagic longline; seabirds</t>
  </si>
  <si>
    <t>PETRELS PROCELLARIA-AEQUINOCTIALIS; BENGUELA UPWELLING SYSTEM; WHITE-CAPPED ALBATROSSES; AUSTRALIAN FISHING ZONE; GANNETS MORUS-CAPENSIS; PRINCE EDWARD ISLANDS; MITIGATION MEASURES; BY-CATCH; ECOSYSTEM APPROACH; MORTALITY</t>
  </si>
  <si>
    <t>The waters around South Africa provide rich foraging opportunities for pelagic seabirds. They also support a pelagic longline fleet targeting tunas Thunnus spp. and swordfish Xiphias gladius, which set a total of 41.5 million (average 5.2 million per year) and 10.2 million hooks (average 1.3 million per year) respectively during the period 1998-2005. Fisheries observers collected seabird bycatch data from 2 256 sets (4.4 million hooks) and recorded a total of 1 954 birds killed during that period. In all, 11 species of seabird are confirmed incidentally caught by the fishery, eight of which are considered threatened. Birds were caught at an average rate of 0.44 per 1 000 hooks, resulting in an average of 2 900 seabirds killed per year, decreasing from approximately 5 900 in 1998 to 1 800 in 2005. Three techniques for extrapolating total seabird mortality were investigated and little difference between the estimates found. Generalised linear models were used to explain bycatch patterns and revealed that individual vessel is the most important explanatory variable, followed by vessel flag, moon phase, season, sea state, the use of a tori line, time of set, area and bathymetry. Estimates of the numbers of seabirds killed per year were lower than other studies, an improvement most likely linked to the termination of foreign bilateral agreements, as well as to improved awareness among fishers as a result of ongoing education campaigns. Some of the apparent decreases in catch rate could reflect reduced numbers of seabirds at sea, the result of ongoing population decreases in several key species.</t>
  </si>
  <si>
    <t>[Petersen, S. L.; Honig, M. B.] WWF S Africa, WWF Responsible Fisheries Programme, ZA-8001 Waterfront, South Africa; [Petersen, S. L.; Ryan, P. G.] Univ Cape Town, Percy Fitzpatrick Inst African Ornithol, DST NRF Ctr Excellence, ZA-7701 Rondebosch, South Africa; [Underhill, L. G.] Univ Cape Town, Dept Zool, Anim Demog Unit, ZA-7701 Rondebosch, South Africa</t>
  </si>
  <si>
    <t>World Wildlife Fund; National Research Foundation - South Africa; University of Cape Town; University of Cape Town</t>
  </si>
  <si>
    <t>Petersen, SL (corresponding author), WWF S Africa, WWF Responsible Fisheries Programme, POB 50035, ZA-8001 Waterfront, South Africa.</t>
  </si>
  <si>
    <t>spetersen@wwf.org.za</t>
  </si>
  <si>
    <t>Fennell, Hannah/AAI-1408-2019</t>
  </si>
  <si>
    <t>Ryan, Peter/0000-0002-3356-2056; Underhill, Les/0000-0002-8758-1527</t>
  </si>
  <si>
    <t>Benguela Current Large Marine Ecosystem programme; WWF; BirdLife International; International Association of Antarctic Tour Operators; Albatross Task Force; National Research Foundation; Percy FitzPatrick Institute for African Ornithology</t>
  </si>
  <si>
    <t>The data used in this paper were made available by Marine and Coastal Management, Department of Environmental Affairs, South Africa, and the Albatross Task Force, BirdLife International. Special thanks are due to the fisheries observers who collected the information. Financial support was received from the Benguela Current Large Marine Ecosystem programme, WWF, BirdLife International and the International Association of Antarctic Tour Operators, the Albatross Task Force, Seachange Programme of the National Research Foundation, the Percy FitzPatrick Institute for African Ornithology, and the National Research Foundation.</t>
  </si>
  <si>
    <t>SEP</t>
  </si>
  <si>
    <t>10.2989/AJMS.2009.31.2.7.879</t>
  </si>
  <si>
    <t>506CQ</t>
  </si>
  <si>
    <t>WOS:000270751400007</t>
  </si>
  <si>
    <t>Petersen, SL; Honig, MB; Ryan, PG; Underhill, LG; Goren, M</t>
  </si>
  <si>
    <t>Petersen, S. L.; Honig, M. B.; Ryan, P. G.; Underhill, L. G.; Goren, M.</t>
  </si>
  <si>
    <t>Seabird bycatch in the demersal longline fishery off southern Africa</t>
  </si>
  <si>
    <t>bycatch; demersal longline; Namibia; seabirds; South Africa</t>
  </si>
  <si>
    <t>PETRELS PROCELLARIA-AEQUINOCTIALIS; BENGUELA REGION; MORUS-CAPENSIS; NORTH-SEA; BY-CATCH; MORTALITY; MANAGEMENT; ALBATROSS; POPULATION; DISCARDS</t>
  </si>
  <si>
    <t>This study assesses seabird bycatch in the demersal longline hake (Merluccius capensis and M. paradoxus) fishery in the southern Benguela region. Observers collected seabird bycatch data from 2 412 sets (14 million hooks) in the South African fishery, accounting for 6.8% of total effort for the period 2000-2006. Of the 107 seabirds caught, at a rate of 0.008 per 1 000 hooks, 41 were killed (0.003 per 1 000 hooks). There was a significant decrease in catch rate, from 0.033 per 1 000 hooks in 2000 to 0.001 per 1 000 hooks in 2006. An estimated total of 225 (range 220-245) birds were killed per year by the South African fishery. Vessel, area and light conditions were all significant predictors of seabird bycatch. The white-chinned petrel Procellaria aequinoctialis was the species most commonly caught by the South African fleet, at a rate of 0.0027 per 1 000 hooks. From interviews with 13 observers and six members of the Namibian demersal longline fishery, seabird bycatch was estimated at 0.05 per 1 000 hooks and 0.13 per 1 000 hooks respectively. Observations were taken during four trips in Namibian waters in November 2006, in which 21 sets (456 000 hooks) were monitored. White-chinned petrels were killed at a rate of 0.14 per 1 000 hooks during these trips. Differences in catch rates between trips were investigated and moon phase, area and gear type were all found to be significant. All birds were caught using light gear, which sank significantly slower than heavier gear. The South African hake longline fishery has a relatively small impact on pelagic seabird populations compared with the Namibian fishery.</t>
  </si>
  <si>
    <t>[Petersen, S. L.; Honig, M. B.] WWF S Africa, WWF Responsible Fisheries Programme, ZA-8001 Cape Town, South Africa; [Petersen, S. L.; Ryan, P. G.] Univ Cape Town, Percy Fitzpatrick Inst African Ornithol, DST NRF Ctr Excellence, ZA-7701 Rondebosch, South Africa; [Underhill, L. G.] Univ Cape Town, Dept Zool, Anim Demog Unit, ZA-7701 Rondebosch, South Africa; [Goren, M.] BirdLife S Africa, ZA-8001 Cape Town, South Africa</t>
  </si>
  <si>
    <t>World Wildlife Fund; University of Cape Town; National Research Foundation - South Africa; University of Cape Town</t>
  </si>
  <si>
    <t>Petersen, SL (corresponding author), WWF S Africa, WWF Responsible Fisheries Programme, POB 50035, ZA-8001 Cape Town, South Africa.</t>
  </si>
  <si>
    <t>Underhill, Les/0000-0002-8758-1527; Ryan, Peter/0000-0002-3356-2056</t>
  </si>
  <si>
    <t>Benguela Current Large Marine Ecosystem Programme; WWF; BirdLife International; International Association of Antarctic Tour Operators; National Research Foundation; Albatross Task Force; Percy FitzPatrick Institute of African Ornithology</t>
  </si>
  <si>
    <t>The data used in this paper were made available by Marine and Coastal Management, Department of Environmental Affairs, South Africa, and by the Albatross Task Force, BirdLife International. Thanks are due to the fisheries observers who collected the data. Fishing effort and observer data for Namibian longline fishing operations were made available by Dr Moses Maurihungirire and facilitated by Janine Basson, Namibian Ministry of Fisheries and Marine Resources. Financial support was received from the Benguela Current Large Marine Ecosystem Programme, WWF, BirdLife International and International Association of Antarctic Tour Operators, Seachange Programme of the National Research Foundation, the Albatross Task Force, the Percy FitzPatrick Institute of African Ornithology, and the National Research Foundation.</t>
  </si>
  <si>
    <t>10.2989/AJMS.2009.31.2.8.880</t>
  </si>
  <si>
    <t>WOS:000270751400008</t>
  </si>
  <si>
    <t>Petersen, SL; Honig, MB; Ryan, PG; Underhill, LG; Compagno, LJV</t>
  </si>
  <si>
    <t>Petersen, S. L.; Honig, M. B.; Ryan, P. G.; Underhill, L. G.; Compagno, L. J. V.</t>
  </si>
  <si>
    <t>Pelagic shark bycatch in the tuna- and swordfish-directed longline fishery off southern Africa</t>
  </si>
  <si>
    <t>bycatch; conservation; pelagic longline; pelagic sharks</t>
  </si>
  <si>
    <t>NORTH-ATLANTIC OCEAN; ISURUS-OXYRINCHUS; SHORTFIN MAKO; MARINE ECOSYSTEMS; CALIFORNIA BIGHT; PRIONACE-GLAUCA; CONSERVATION; MANAGEMENT; PACIFIC; BIOLOGY</t>
  </si>
  <si>
    <t>The capture of pelagic sharks as bycatch of the South African pelagic longline fleet targeting tuna Thunnus spp. and swordfish Xiphias gladius was investigated during the period 1998-2005. In all, 26 species were caught, of which six are listed by the International Union for Conservation of Nature (IUCN) as Vulnerable and one (scalloped hammerhead Sphyrna lewini) as Endangered. Blue shark Prionace glauca and short-finned mako Isurus oxyrinchus were the most commonly caught species (69.2% and 17.2% respectively). Generalised linear models explained 70.4% of blue shark and 22.2% of short-finned mako bycatch patterns and showed that vessel name was the most important explanatory variable. Other significant explanatory variables included month, year, area, bathymetry, bait type, moon phase and time of set. South African-flagged, swordfish-directed vessels caught more sharks (11.7 blue sharks and 1.4 short-finned mako sharks per 1 000 hooks) than Asian-flagged, tuna-directed vessels (1.8 blue sharks and 0.9 short-finned mako per 1 000 hooks). The catch per unit effort of blue sharks and short-finned mako sharks started to decrease from 2001 and 2000 respectively. This was accompanied by a decrease in average length for both species over the period 2002-2007. Three techniques for extrapolating total shark mortality were investigated. Simple extrapolation yielded an estimate of 73 500 sharks per year; if vessel flag was taken into account, the estimate decreased to 39 200 sharks per year and to 43 100 sharks if vessel flag and area (5 grid cells) were taken into account.</t>
  </si>
  <si>
    <t>[Petersen, S. L.; Honig, M. B.] WWF Responsible Fisheries Programme, ZA-8001 Cape Town, South Africa; [Petersen, S. L.; Ryan, P. G.] Univ Cape Town, Percy Fitzpatrick Inst African Ornithol, DST NRF Ctr Excellence, ZA-7701 Rondebosch, South Africa; [Underhill, L. G.] Univ Cape Town, Dept Zool, Anim Demog Unit, ZA-7701 Rondebosch, South Africa; [Compagno, L. J. V.] Iziko S African Museum, ZA-8000 Cape Town, South Africa</t>
  </si>
  <si>
    <t>University of Cape Town; National Research Foundation - South Africa; University of Cape Town</t>
  </si>
  <si>
    <t>Petersen, SL (corresponding author), WWF Responsible Fisheries Programme, POB 50035, ZA-8001 Cape Town, South Africa.</t>
  </si>
  <si>
    <t>Benguela Current Large Marine Ecosystem programme; WWF; BirdLife International; International Association of Antarctic Tour Operators; National Research Foundation; Albatross Task Force; Percy FitzPatrick Institute of African Ornithology</t>
  </si>
  <si>
    <t>The data used in this paper were made available by Marine and Coastal Management, Department of Environmental Affairs, South Africa, and the Albatross Task Force, BirdLife International. We thank the fisheries observers who collected this information. Financial support was received from the Benguela Current Large Marine Ecosystem programme, WWF, BirdLife International, the International Association of Antarctic Tour Operators, Seachange Programme of the National Research Foundation, the Albatross Task Force, the Percy FitzPatrick Institute of African Ornithology, and the National Research Foundation.</t>
  </si>
  <si>
    <t>10.2989/AJMS.2009.31.2.9.881</t>
  </si>
  <si>
    <t>WOS:000270751400009</t>
  </si>
  <si>
    <t>Nardi, JB; Miller, LA; Bee, CM; Lee, RE; Denlinger, DL</t>
  </si>
  <si>
    <t>Nardi, James B.; Miller, Lou Ann; Bee, Charles Mark; Lee, Richard E., Jr.; Denlinger, David L.</t>
  </si>
  <si>
    <t>The larval alimentary canal of the Antarctic insect, Belgica antarctica</t>
  </si>
  <si>
    <t>ARTHROPOD STRUCTURE &amp; DEVELOPMENT</t>
  </si>
  <si>
    <t>Alimentary canal; Midge; Antarctica; Stomodeal valve; Microvilli; Regenerative cells</t>
  </si>
  <si>
    <t>ABRACRIS-FLAVOLINEATA ORTHOPTERA; PERITROPHIC MEMBRANE; MIDGUT EPITHELIUM; HEAT-SHOCK; ULTRASTRUCTURAL-CHANGES; GENE-EXPRESSION; LIFE-HISTORY; L. INSECTA; HINDGUT; DEHYDRATION</t>
  </si>
  <si>
    <t>On the Antarctica continent the wingless midge, Belgica antarctica (Diptera, Chironomidae) occurs further south than any other insect. The digestive tract of the larval stage of Belgica that inhabits this extreme environment and feeds in detritus of penguin rookeries has been described for the first time. Ingested food passes through a foregut lumen and into a stomodeal valve representing an intussusception of the foregut into the midgut. A sharp discontinuity in microvillar length occurs at an interface separating relatively long microvilli of the stomodeal midgut region, the site where peritrophic membrane originates, from the midgut epithelium lying posterior to this stomodeal region. Although shapes of cells along the length of this non-stomodeal midgut epithelium are similar, the lengths of their microvilli increase over two orders of magnitude from anterior midgut to posterior midgut. Infoldings of the basal membranes also account for a greatly expanded interface between midgut cells and the hemocoel. The epithelial cells of the hindgut seem to be specialized for exchange of water with their environment, with the anterior two-thirds of the hindgut showing highly convoluted luminal membranes and the posterior third having a highly convoluted basal surface. The lumen of the middle third of the hindgut has a dense population of resident bacteria. Regenerative cells are scattered throughout the larval midgut epithelium. These presumably represent stem cells for the adult midgut, while a ring of cells, marked by a discontinuity in nuclear size at the midgut-hindgut interface, presumably represents stem cells for the adult hindgut. (C) 2009 Elsevier Ltd. All rights reserved.</t>
  </si>
  <si>
    <t>[Nardi, James B.] Univ Illinois, Dept Entomol, Urbana, IL 61801 USA; [Miller, Lou Ann] Univ Illinois, Coll Vet Med, Ctr Microscopy &amp; Imaging, Urbana, IL 61801 USA; [Bee, Charles Mark] Univ Illinois, Beckman Inst Adv Sci &amp; Technol, Imaging Technol Grp, Urbana, IL 61801 USA; [Lee, Richard E., Jr.] Miami Univ, Dept Zool, Oxford, OH 45056 USA; [Denlinger, David L.] Ohio State Univ, Dept Entomol, Aronoff Lab 400, Columbus, OH 43210 USA</t>
  </si>
  <si>
    <t>University of Illinois System; University of Illinois Urbana-Champaign; University of Illinois System; University of Illinois Urbana-Champaign; University of Illinois System; University of Illinois Urbana-Champaign; University System of Ohio; Miami University; University System of Ohio; Ohio State University</t>
  </si>
  <si>
    <t>Nardi, JB (corresponding author), Univ Illinois, Dept Entomol, 320 Morrill Hall,505 S Goodwin Ave, Urbana, IL 61801 USA.</t>
  </si>
  <si>
    <t>j-nardi@uiuc.edu</t>
  </si>
  <si>
    <t>NSF [OPP-0337656, OPP-0413786]</t>
  </si>
  <si>
    <t>We are grateful to the staff at Palmer Station for logistical assistance in Antarctica. The thoughtful suggestions of two anonymous reviewers helped improve the quality of this manuscript. This research was supported in part by NSF grants OPP-0337656 and OPP-0413786.</t>
  </si>
  <si>
    <t>1467-8039</t>
  </si>
  <si>
    <t>1873-5495</t>
  </si>
  <si>
    <t>ARTHROPOD STRUCT DEV</t>
  </si>
  <si>
    <t>Arthropod Struct. Dev.</t>
  </si>
  <si>
    <t>10.1016/j.asd.2009.04.003</t>
  </si>
  <si>
    <t>493HK</t>
  </si>
  <si>
    <t>WOS:000269727200002</t>
  </si>
  <si>
    <t>Storrie-Lombardi, MC; Sattler, B</t>
  </si>
  <si>
    <t>Storrie-Lombardi, Michael C.; Sattler, Birgit</t>
  </si>
  <si>
    <t>Laser-Induced Fluorescence Emission (LIFE): In Situ Nondestructive Detection of Microbial Life in the Ice Covers of Antarctic Lakes</t>
  </si>
  <si>
    <t>Cryosphere; Ice; Mars; Photosynthesis; Psychrophiles</t>
  </si>
  <si>
    <t>BIOLOGICAL-MATERIALS; RAMAN-SPECTROSCOPY; CRYOCONITE HOLES; FRESH-WATER; GLACIER; SYNECHOCOCCUS; CYANOBACTERIA; COMMUNITIES; PIGMENTS; UNTERSEE</t>
  </si>
  <si>
    <t>Laser-induced fluorescence emission (L.I.F.E.) images were obtained in situ following 532 nm excitation of cryoconite assemblages in the ice covers of annual and perennially frozen Antarctic lakes during the 2008 Tawani International Expedition to Schirmacher Oasis and Lake Untersee in Dronning Maud Land, Antarctica. Laser targeting of a single millimeter-scale cryoconite results in multiple neighboring excitation events secondary to ice/air interface reflection and refraction in the bubbles surrounding the primary target. Laser excitation at 532 nm of cyanobacteria-dominated assemblages produced red and infrared autofluorescence activity attributed to the presence of phycoerythrin photosynthetic pigments. The method avoids destruction of individual target organisms and does not require the disruption of either the structure of the microbial community or the surrounding ice matrix. L. I. F. E. survey strategies described may be of interest for orbital monitoring of photosynthetic primary productivity in polar and alpine glaciers, ice sheets, snow, and lake ice of Earth's cryosphere. The findings open up the possibility of searching from either a rover or from orbit for signs of life in the polar regions of Mars and the frozen regions of exoplanets in neighboring star systems.</t>
  </si>
  <si>
    <t>[Storrie-Lombardi, Michael C.] Kinohi Inst, Pasadena, CA 91101 USA; [Sattler, Birgit] Univ Innsbruck, Inst Ecol, A-6020 Innsbruck, Austria</t>
  </si>
  <si>
    <t>University of Innsbruck</t>
  </si>
  <si>
    <t>Storrie-Lombardi, MC (corresponding author), Kinohi Inst, 1700 Alta Wood Dr, Pasadena, CA 91101 USA.</t>
  </si>
  <si>
    <t>Sattler, Birgit/C-4070-2018</t>
  </si>
  <si>
    <t>Tawani Foundation; Austrian Ministry of Science and Research; Kinohi Institute; Austrian Academy of Sciences; Planetary Studies Foundation; Tyrolean Science Fund</t>
  </si>
  <si>
    <t>The authors gratefully thank the Tawani Foundation, the Austrian Ministry of Science and Research, and the Kinohi Institute for financial and logistical support required for this study. We thank each of the members of the Tawani 2008 Antarctic Expedition for their comments, encouragement, and physical help on site. We particularly thank R. Psenner for useful discussions and A. Mortvedt, the expedition leader, for repeated assistance in acquiring difficult samples. B. S. was funded by the Austrian Academy of Sciences, Planetary Studies Foundation, and the Tyrolean Science Fund.</t>
  </si>
  <si>
    <t>10.1089/ast.2009.0351</t>
  </si>
  <si>
    <t>498JE</t>
  </si>
  <si>
    <t>WOS:000270134600006</t>
  </si>
  <si>
    <t>Simon, JI; DePaolo, DJ; Moynier, F</t>
  </si>
  <si>
    <t>Simon, Justin I.; DePaolo, Donald J.; Moynier, Frederic</t>
  </si>
  <si>
    <t>CALCIUM ISOTOPE COMPOSITION OF METEORITES, EARTH, AND MARS</t>
  </si>
  <si>
    <t>ASTROPHYSICAL JOURNAL</t>
  </si>
  <si>
    <t>minor planets, asteroids; planetary systems: protoplanetary disks; solar system: formation; stars: AGB and post-AGB; supernovae: general</t>
  </si>
  <si>
    <t>EARLY SOLAR-SYSTEM; ALUMINUM-RICH INCLUSIONS; CARBONACEOUS CHONDRITES; REFRACTORY INCLUSIONS; PLANET FORMATION; OXYGEN ISOTOPES; SHORT TIMESCALE; SILICATE EARTH; CORE FORMATION; STELLAR SOURCE</t>
  </si>
  <si>
    <t>The relative abundances of calcium isotopes in the mass range 40-44 were measured in primitive and differentiated meteorites and igneous rocks from Earth and Mars in search of non-mass-dependent variations that could provide clues about early solar system processes. Most bulk samples of planetary materials have calcium isotopic compositions identical with Earth's within the current resolution of about 0.01% in Ca-40/Ca-44. Possible exceptions include carbonaceous chondrites, some ordinary chondrites, and two samples of calcium-aluminum-rich inclusions, which have small excesses of Ca-40. The samples with Ca-40 excesses are also known to have Ti-50 and Ba-135 excesses and Nd-142 and Sm-144 deficits. Collectively these data from refractory elements suggest that the planetary embryos represented by chondrites preserve isotopic heterogeneity that reflects different nucleosynthetic sources. No late admixture from a single nucleosynthetic source can explain all observations. The results are most compatible with variable proportions of material derived from Type II supernovae. The initial calcium isotope compositions of Earth and Mars are indistinguishable and similar to the Ca-40 abundance found in some chondrites and all differentiated meteorites studied. It appears that isotopic heterogeneity in calcium was still present at the completion of disk formation but was homogenized during planetary accretion.</t>
  </si>
  <si>
    <t>[Simon, Justin I.; DePaolo, Donald J.] Univ Calif Berkeley, Ctr Isotope Geochem Earth &amp; Planetary Sci, Berkeley, CA 94720 USA; [Moynier, Frederic] Washington Univ, McDonnell Ctr Space Sci, St Louis, MO 63130 USA</t>
  </si>
  <si>
    <t>University of California System; University of California Berkeley; Washington University (WUSTL)</t>
  </si>
  <si>
    <t>Simon, JI (corresponding author), Univ Calif Berkeley, Ctr Isotope Geochem Earth &amp; Planetary Sci, Berkeley, CA 94720 USA.</t>
  </si>
  <si>
    <t>DePaolo, Donald James/ISU-7105-2023; Simon, Justin/D-7015-2011; Moynier, Frederic/I-2785-2012; Moynier, Frederic/AFL-9257-2022; Moynier, Frederic/AAH-1235-2022</t>
  </si>
  <si>
    <t>Moynier, Frederic/0000-0003-4321-5581; Moynier, Frederic/0000-0003-4321-5581</t>
  </si>
  <si>
    <t>NASA Astrobiology Institute [BioMARS NAI02-0024-0006]; NSF [EAR0408521]; LASER [NNH08ZCA001N]; NASA</t>
  </si>
  <si>
    <t>NASA Astrobiology Institute; NSF(National Science Foundation (NSF)); LASER; NASA(National Aeronautics &amp; Space Administration (NASA))</t>
  </si>
  <si>
    <t>The Antarctic Meteorite Working Group is thanked for giving us part of the Martian meteorite ALH84001. Other meteorite samples were generously provided by L. Borg, M. Kennedy, K. Nishiizumi, and E. Young, as was a sample of the Fish Canyon Tuff by R. Wendlandt. We thank T. Owens for his analytical expertise and A. Davis and R. Gallino for sharing their unpublished calculations of nucleosynthetic yields of AGB stars. This contribution has been improved by three anonymous reviews. This research was supported by a NASA Astrobiology Institute grant (BioMARS; NAI02-0024-0006) and the Petrology and Geochemistry program of NSF (EAR0408521). F. M. acknowledges the support of LASER (NNH08ZCA001N) NASA grant.</t>
  </si>
  <si>
    <t>0004-637X</t>
  </si>
  <si>
    <t>1538-4357</t>
  </si>
  <si>
    <t>ASTROPHYS J</t>
  </si>
  <si>
    <t>Astrophys. J.</t>
  </si>
  <si>
    <t>SEP 1</t>
  </si>
  <si>
    <t>10.1088/0004-637X/702/1/707</t>
  </si>
  <si>
    <t>487BD</t>
  </si>
  <si>
    <t>WOS:000269244500057</t>
  </si>
  <si>
    <t>Ishida, K; Ohshima, KI</t>
  </si>
  <si>
    <t>Ishida, Kunimitsu; Ohshima, Kay I.</t>
  </si>
  <si>
    <t>Ice-Band Characteristics of the Antarctic Seasonal Ice Zone Observed using MOS MESSR Images</t>
  </si>
  <si>
    <t>ATMOSPHERE-OCEAN</t>
  </si>
  <si>
    <t>SEA-ICE; EDGE BANDS; BERING SEA; FIELD OBSERVATIONS; OCEAN; FEATURES; MOTION; WINDS; DECAY</t>
  </si>
  <si>
    <t>Ice-band characteristics for the region off East Queen Maud Land in Antarctica were examined and their relationship with the wind conditions was assessed using a large number of Marine Observation Satellite (MOS) Multispectral Electronic Self Scanning Radiometer (MESSR) images received at Syowa Station during the period 1989-93. Analyses from 43 examples of bands captured from August to December suggest that ice-band formation and band scale are affected by both wind speed and direction over approximately the preceding four days (defined as the effective wind). Ice-band width and spacing are significantly correlated with the effective wind speed and the maximum wind speed during that period. The long axis of ice bands tends to be oriented at 70-90 (mean of 75) to the right of the effective wind direction. The band scales decrease from winter ( August) to summer (December) with typical band spacing of 4-6 km in winter and 1-2 km in summer. This seems to be primarily due to a decrease in ice floe size and partly due to a decrease in the effective wind speed from winter to summer. Band scale decreases from the ice interior to the ice edge under conditions of off-ice winds.</t>
  </si>
  <si>
    <t>[Ishida, Kunimitsu] Toba Natl Coll Maritime Technol, Toba, Mie 5178501, Japan; [Ohshima, Kay I.] Hokkaido Univ, Inst Low Temp Sci, Kita Ku, Sapporo, Hokkaido 0600819, Japan</t>
  </si>
  <si>
    <t>Ishida, K (corresponding author), Toba Natl Coll Maritime Technol, 1-1 Ikegami Cho, Toba, Mie 5178501, Japan.</t>
  </si>
  <si>
    <t>ishida@toba-cmt.ac.jp</t>
  </si>
  <si>
    <t>Ohshima, Kay I/D-6909-2012; Ishida, Kunimitsu/AAC-8559-2020</t>
  </si>
  <si>
    <t>Joint Research Program of the Institute of Low Temperature Science, Hokkaido University; National Institute of Polar Research; Ministry of Education, Science, Sports and Culture, Japan [14540410, 20221001]; Grants-in-Aid for Scientific Research [14540410, 20221001] Funding Source: KAKEN</t>
  </si>
  <si>
    <t>Joint Research Program of the Institute of Low Temperature Science, Hokkaido University; National Institute of Polar Research(National Institute of Polar Research (NIPR) - Japan); Ministry of Education, Science, Sports and Culture, Japan(Ministry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</si>
  <si>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the members of the 30th to 33rd Japanese Antarctic Research Expeditions for their assistance in receiving the MESSR data. We also thank Sohey Nihashi for his help in processing the ECMWF data. Suggestions and comments from the editor (Dr. Denis Gilbert) and two anonymous reviewers were very helpful. Thanks are extended to Masaaki Wakatsuchi and Yasushi Fukamachi of Hokkaido University for their encouragement and support. This study was carried out under the Joint Research Program of the Institute of Low Temperature Science, Hokkaido University and the National Institute of Polar Research. The work was partly supported by a Grant-in-Aid (No. 14540410 and 20221001) for Scientific Research from the Ministry of Education, Science, Sports and Culture, Japan.</t>
  </si>
  <si>
    <t>CMOS-SCMO</t>
  </si>
  <si>
    <t>OTTAWA</t>
  </si>
  <si>
    <t>BOX 3211, STATION D, OTTAWA, ON K1P 6H7, CANADA</t>
  </si>
  <si>
    <t>0705-5900</t>
  </si>
  <si>
    <t>ATMOS OCEAN</t>
  </si>
  <si>
    <t>Atmos.-Ocean</t>
  </si>
  <si>
    <t>10.3137/OC300.2009</t>
  </si>
  <si>
    <t>516PX</t>
  </si>
  <si>
    <t>WOS:000271555800001</t>
  </si>
  <si>
    <t>Ding, X; Wang, XM; Wang, QY; Xie, ZQ; Xiang, CH; Mai, BX; Sun, LG</t>
  </si>
  <si>
    <t>Ding, Xiang; Wang, Xin-Ming; Wang, Qiao-Yun; Xie, Zhou-Qing; Xiang, Cai-Hong; Mai, Bi-Xian; Sun, Li-Guang</t>
  </si>
  <si>
    <t>Atmospheric DDTs over the North Pacific Ocean and the adjacent Arctic region: Spatial distribution, congener patterns and source implication</t>
  </si>
  <si>
    <t>DDTs; Far East Asia; North Pacific ocean; Arctic</t>
  </si>
  <si>
    <t>PERSISTENT ORGANIC POLLUTANTS; POLYCYCLIC AROMATIC-HYDROCARBONS; ORGANOCHLORINE PESTICIDES; POLYCHLORINATED-BIPHENYLS; DIPHENYL ETHERS; TEMPORAL TRENDS; BREAST-CANCER; AIR; CHINA; SEDIMENTS</t>
  </si>
  <si>
    <t>During the 2003 Chinese Arctic Research Expedition (CHINARE 2003) from Bohai Sea to the high Arctic (37 degrees N-80 degrees N), air samples were collected and analyzed for DDTs. Sigma DDTs (sum of six congeners) ranged from 0.52 to 265 pg m(-3) with an average of 13.1 pg m(-3). Higher DDT concentrations were observed in Bohai Sea and near eastern Russia. The congener patterns were obviously different between the Far East Asia and the higher latitudinal regions that p,p'-DDT and o,p'-DDT were dominated in the former; while o,p'-DDT and o,p-DDE were dominated in the latter. The source contributions of technical DDT and dicofol type DDT were estimated. Results showed that technical DDT was the dominant source (&gt;94%) which was fresher in the Far East Asia compared to the North Pacific Ocean and the Arctic. For dicofol type DDT, the estimated contribution was minor. The new o,p'-DDT observed should have relatively more contribution from dicofol type DDT in the North Pacific Ocean and the Arctic. (C) 2009 Elsevier Ltd. All rights reserved.</t>
  </si>
  <si>
    <t>[Ding, Xiang; Wang, Xin-Ming; Wang, Qiao-Yun; Xiang, Cai-Hong; Mai, Bi-Xian] Chinese Acad Sci, Guangzhou Inst Geochem, State Key Lab Organ Geochem, Guangzhou 510640, Guangdong, Peoples R China; [Xie, Zhou-Qing; Sun, Li-Guang] Univ Sci &amp; Technol China, Sch Earth &amp; Space Sci, Hefei 230026, Peoples R China; [Ding, Xiang] Chinese Acad Sci, Pearl River Delta Res Ctr Environm Pollut &amp; Contr, Guangzhou 510640, Guangdong, Peoples R China; [Wang, Qiao-Yun] Chinese Acad Sci, Grad Univ, Beijing 100049, Peoples R China</t>
  </si>
  <si>
    <t>Chinese Academy of Sciences; Guangzhou Institute of Geochemistry, CAS; Chinese Academy of Sciences; University of Science &amp; Technology of China, CAS; Chinese Academy of Sciences; Chinese Academy of Sciences; University of Chinese Academy of Sciences, CAS</t>
  </si>
  <si>
    <t>Wang, XM (corresponding author), Chinese Acad Sci, Guangzhou Inst Geochem, State Key Lab Organ Geochem, Guangzhou 510640, Guangdong, Peoples R China.</t>
  </si>
  <si>
    <t>wangxm@gig.ac.cn</t>
  </si>
  <si>
    <t>Wang, Xinming/A-7388-2014; xie, zhouqing/P-9661-2019; Ding, Xiang/C-7018-2012</t>
  </si>
  <si>
    <t>Wang, Xinming/0000-0002-1982-0928; Ding, Xiang/0000-0002-1218-1879</t>
  </si>
  <si>
    <t>National Science Foundation of China [40673074]; Chinese Academy of Sciences [KZCX3-SW-121]; Guangzhou Institute of Geochemistry [GIGCX-08-07]; GIGCAS [IS1089]</t>
  </si>
  <si>
    <t>National Science Foundation of China(National Natural Science Foundation of China (NSFC)); Chinese Academy of Sciences(Chinese Academy of Sciences); Guangzhou Institute of Geochemistry(Chinese Academy of Sciences); GIGCAS</t>
  </si>
  <si>
    <t>The authors thank the financial support from the National Science Foundation of China (40673074), Chinese Academy of Sciences (KZCX3-SW-121) and Guangzhou Institute of Geochemistry (GIGCX-08-07). Without the technical assistance and convenience offered by the Chinese Antarctic and Arctic Administration and the crew of Xuelong, it would have been impossible for us to conduct the present Study. The National Oceanic and Atmospheric Administration's Air Resources Laboratory is also gratefully acknowledged for the provision of the HYSPLIT transport and dispersion model and the READY website (http://www.arl.noaa. gov/ready.html) used in this study. This is contribution No. IS1089 from GIGCAS.</t>
  </si>
  <si>
    <t>1873-2844</t>
  </si>
  <si>
    <t>10.1016/j.atmosenv.2009.06.003</t>
  </si>
  <si>
    <t>485BM</t>
  </si>
  <si>
    <t>WOS:000269095400009</t>
  </si>
  <si>
    <t>Bergin, A</t>
  </si>
  <si>
    <t>Bergin, Anthony</t>
  </si>
  <si>
    <t>Looking south: Australia's Antarctic agenda</t>
  </si>
  <si>
    <t>AUSTRALASIAN JOURNAL OF ENVIRONMENTAL MANAGEMENT</t>
  </si>
  <si>
    <t>EIANZ-ENVIRONMENT INST AUSTRALIA &amp; NEW ZEALAND</t>
  </si>
  <si>
    <t>GPO BOX 211, MELBOURNE, VIC 3001, AUSTRALIA</t>
  </si>
  <si>
    <t>1448-6563</t>
  </si>
  <si>
    <t>AUSTRALAS J ENVIRON</t>
  </si>
  <si>
    <t>Australas. J. Environ. Manag.</t>
  </si>
  <si>
    <t>Environmental Studies</t>
  </si>
  <si>
    <t>506AF</t>
  </si>
  <si>
    <t>WOS:000270743600008</t>
  </si>
  <si>
    <t>Shevock, JR</t>
  </si>
  <si>
    <t>Shevock, James</t>
  </si>
  <si>
    <t>A lavish new treatment of Antarctic mosses</t>
  </si>
  <si>
    <t>[Shevock, James] Calif Acad Sci, Dept Bot, 55 Mus Concourse Dr,Golden Gate Pk, San Francisco, CA 94118 USA</t>
  </si>
  <si>
    <t>California Academy of Sciences</t>
  </si>
  <si>
    <t>Shevock, JR (corresponding author), Calif Acad Sci, Dept Bot, 55 Mus Concourse Dr,Golden Gate Pk, San Francisco, CA 94118 USA.</t>
  </si>
  <si>
    <t>jshevock@calacademy.org</t>
  </si>
  <si>
    <t>FAL</t>
  </si>
  <si>
    <t>10.1639/0007-2745-112.3.619</t>
  </si>
  <si>
    <t>V82WO</t>
  </si>
  <si>
    <t>WOS:000212348100001</t>
  </si>
  <si>
    <t>Zoccolillo, L; Amendola, L; Insogna, S</t>
  </si>
  <si>
    <t>Zoccolillo, Lelio; Amendola, Luca; Insogna, Susanna</t>
  </si>
  <si>
    <t>Comparison of atmosphere/aquatic environment concentration ratio of volatile chlorinated hydrocarbons between temperate regions and Antarctica</t>
  </si>
  <si>
    <t>Antarctica; Volatile chlorinated hydrocarbons; Air, snow and water analysis; Atmosphere/aquatic environment concentration ratio; PTI-GC-MS; CTI-GC-MS</t>
  </si>
  <si>
    <t>ORGANIC-CHEMICALS; GLOBAL DISTRIBUTION; SURFACE WATERS; HALOCARBONS; SNOW; ICE; AIR</t>
  </si>
  <si>
    <t>For the purpose of understanding the transport and deposition mechanisms and the air-water distribution of some volatile chlorinated hydrocarbons (VCHCs), their atmosphere/aquatic environment concentration ratio was evaluated. In addition, for the purpose of differentiating VCHC behaviour in a temperate climate from its behaviour in a polar climate, the atmosphere/aquatic environment concentration ratio evaluated in matrices from temperate zones was compared with the concentration ratio evaluated in Antarctic matrices. In order to perform air samplings also at rigid Antarctic temperatures, the sampling apparatus, consisting of a diaphragm pump and canisters, was suitably modified. Chloroform, 1,1,1-trichloroethane, tetrachloromethane, 1,1,2-trichloroethylene and tetrachloroethylene were measured in air, water and snow using specific techniques composed of a purpose-made cryofocusing-trap-injector (for air samples) and a modified purge-and-trap injector (for aqueous samples) coupled to a gas chromatograph with mass spectrometric detection operating in selected ion monitoring mode. The VCHCs were retrieved in all the investigated matrices, both Italian and Antarctic, with concentrations varying from tens to thousands of ng m(-3) in air and from digits to hundreds of ng kg(-1) in water and snow. The atmosphere/aquatic environment concentration ratios were always found to be lower than 1. In particular, the Italian air/water concentration ratios were smaller than the Antarctic ones, by reason of the higher atmospheric photochemical activity in temperate zones. On the other hand, the Antarctic air/snow concentration ratios proved to be largely in favour of snow with respect to the Italian ratios, thus corroborating the hypothesis of a more efficient VCHC deposition mechanism and accumulation on Antarctic snow. (C) 2009 Elsevier Ltd. All rights reserved.</t>
  </si>
  <si>
    <t>[Zoccolillo, Lelio; Amendola, Luca; Insogna, Susanna] Univ Roma La Sapienza, Dept Chem, I-00185 Rome, Italy</t>
  </si>
  <si>
    <t>Sapienza University Rome</t>
  </si>
  <si>
    <t>Zoccolillo, L (corresponding author), Univ Roma La Sapienza, Dept Chem, Ple Aldo Moro 5, I-00185 Rome, Italy.</t>
  </si>
  <si>
    <t>lelio.zoccolillo@uniroma1.it</t>
  </si>
  <si>
    <t>Insogna, Susanna/M-7301-2015</t>
  </si>
  <si>
    <t>Insogna, Susanna/0000-0001-9463-1273</t>
  </si>
  <si>
    <t>Italian National Research Programme in Antarctica (PNRA)</t>
  </si>
  <si>
    <t>The authors wish to acknowledge financial support from the Italian National Research Programme in Antarctica (PNRA).</t>
  </si>
  <si>
    <t>10.1016/j.chemosphere.2009.05.044</t>
  </si>
  <si>
    <t>498GI</t>
  </si>
  <si>
    <t>WOS:000270124800012</t>
  </si>
  <si>
    <t>E, DC; Yang, YD; Chao, DB</t>
  </si>
  <si>
    <t>E Dong-Chen; Yang Yuan-De; Chao Ding-Bo</t>
  </si>
  <si>
    <t>The sea level change from the Antarctic ice sheet based on GRACE</t>
  </si>
  <si>
    <t>GRACE; Antarctic; IJ05; GLDAS; Equivalent water height; Equivalent volume</t>
  </si>
  <si>
    <t>CLIMATE EXPERIMENT GRACE; TIME-VARIABLE GRAVITY; MASS-BALANCE; RECOVERY; SURFACE; FIELD</t>
  </si>
  <si>
    <t>The Antarctic equivalent water height time series and the inter-annual trend on a 1 degrees X 1 degrees grid are inferred. Amundsen Sea Embayment in West Antarctic shows apparent negative rates, exceeding -80 mm/a, while Antarctic Peninsula with smaller negative rate and Enderby Land in East Antarctic with positive one. The 5-year equivalent water volume variation trends, in Antarctica, East Antarctica and West Antarctica, are -78 +/- 37 km(3)/a, -3 +/- 46 km(3)/a and -75 +/- 50 km(3)/a, and the corresponding contribution to sea level change are 0.21 +/- 0.1 mm/a, 0.008 +/- 0.127 mm/a and 0.2 +/- 0.14 mm/a, respectively, from July 2002 to September 2007. The results are in accord with recent results from Ramillien (2006) and Velicogna (2006). The PGR (Post Glacial Rebound) model is still the key factor to the study of the Antarctic ice sheet with GRACE.</t>
  </si>
  <si>
    <t>[E Dong-Chen; Yang Yuan-De] Wuhan Univ, Sch Geodesy &amp; Geomat, Chinese Antarctic Ctr Surveying &amp; Mapping, Wuhan 430079, Peoples R China</t>
  </si>
  <si>
    <t>E, DC (corresponding author), Wuhan Univ, Sch Geodesy &amp; Geomat, Chinese Antarctic Ctr Surveying &amp; Mapping, Wuhan 430079, Peoples R China.</t>
  </si>
  <si>
    <t>edc@whu.edu.cn</t>
  </si>
  <si>
    <t>10.3969/j.issn.0001-5733.2009.09.005</t>
  </si>
  <si>
    <t>501JF</t>
  </si>
  <si>
    <t>WOS:000270377100005</t>
  </si>
  <si>
    <t>Garofalo, F; Pellegrino, D; Amelio, D; Tota, B</t>
  </si>
  <si>
    <t>Garofalo, F.; Pellegrino, D.; Amelio, D.; Tota, B.</t>
  </si>
  <si>
    <t>The Antarctic hemoglobinless icefish, fifty five years later: A unique cardiocirculatory interplay of disaptation and phenotypic plasticity</t>
  </si>
  <si>
    <t>Icefish; Notothenioids; Antarctica; Heart; Vasculature; Hemoglobin; Myoglobin; Nitric oxide; Hypoxia; Nitrite</t>
  </si>
  <si>
    <t>NITRIC-OXIDE SYNTHASE; CHAENOCEPHALUS-ACERATUS LONNBERG; MYOCARDIAL OXYGEN-CONSUMPTION; CHIONODRACO-HAMATUS; FREE FISH; CARDIAC-PERFORMANCE; COLD ADAPTATION; SKELETAL-MUSCLE; MITOCHONDRIAL BIOGENESIS; VENTRICULAR MYOCARDIUM</t>
  </si>
  <si>
    <t>The teleostean Channichthyidae (icefish), endemic stenotherms of the Antarctic waters, perennially at or near freezing, represent a unique example of disaptation among adult vertebrates for their loss of functional traits, particularly hemoglobin (Hb) and, in some species, cardiac myoglobin (Mb), once considered to be essential-life oxygen-binding chromoproteins. Conceivably, this stably frigid, oxygen-rich habitat has permitted high tolerance of disaptation, followed by subsequent adaptive recovery based on gene expression reprogramming and compensatory responses, including an alternative cardio-circulatory design, Hb-free blood and Mb-free cardiac muscle. This review revisits the functional significance of the multilevel cardiocirculatory compensations (hypervolemia, near-zero hematocrit and low blood viscosity, large bore capillaries, increased vascularity with great capacitance, cardiomegaly with very large cardiac output, high blood flow with low systemic pressure and systemic resistance) that counteract the challenge of hypoxemic hypoxia by increasing peripheral oxygen transcellular movement for aerobic tissues, including the myocardium. Reconsidered in the context of recent knowledge on both polar cold adaptation and the new questions related to the advent of nitric oxide (NO) biology, these compensations can be interpreted either according to the loss-without-penalty alternative, or in the context of an excessive environmental oxygen supply at low cellular cost and oxygen requirement in the cold. Therefore, rather than reflecting oxygen limitation, several traits may indicate structural overcompensation of oxygen supply reductions at cell/tissue levels. At the multilevel cardio-circulatory adjustments, NO is revealing itself as a major integrator, compensating disaptation with functional phenotypic plasticity, as illustrated by the heart paradigm. Beside NOS-dependent NO generation, recent knowledge concerning Hb/Mb interplay with NO and nitrite has revealed unexpected functions in addition to the classical respiratory role of these proteins. In fact, nitrite, a major biologic reservoir of NO, generates it through deohyHb- and deoxyMb-dependent nitrite reduction, thereby regulating hypoxic vasodilation, cellular respiration and signalling. We suggest that both Hb and Mb are involved as nitrite reductases under hypoxic conditions in a number of cardiocirculatory processes. On the whole, this opens new horizons in environmental and evolutionary physiology. (C) 2009 Elsevier Inc. All rights reserved.</t>
  </si>
  <si>
    <t>[Garofalo, F.; Tota, B.] Univ Calabria, Dept Cellular Biol, I-87030 Arcavacata Di Rende, CS, Italy; [Pellegrino, D.; Amelio, D.] Univ Calabria, Dept Pharmacobiol, I-87030 Arcavacata Di Rende, CS, Italy</t>
  </si>
  <si>
    <t>University of Calabria; University of Calabria</t>
  </si>
  <si>
    <t>Tota, B (corresponding author), Univ Calabria, Dept Cellular Biol, Ponte Pietro Bucci Cubo 6C, I-87030 Arcavacata Di Rende, CS, Italy.</t>
  </si>
  <si>
    <t>filigaro@libero.it; tota@unical.it</t>
  </si>
  <si>
    <t>Amelio, Daniela/0000-0002-5543-8531; Garofalo, Filippo/0000-0002-4211-3850; Pellegrino, Daniela/0000-0002-9815-5195</t>
  </si>
  <si>
    <t>PNRA (Programma Nazionale di Ricerche in Antartide); MIUR; Research Contract 2008, University of Calabria</t>
  </si>
  <si>
    <t>PNRA (Programma Nazionale di Ricerche in Antartide); MIUR(Ministry of Education, Universities and Research (MIUR)); Research Contract 2008, University of Calabria</t>
  </si>
  <si>
    <t>This work was supported by PNRA (Programma Nazionale di Ricerche in Antartide). BT, DP and DA were supported by MIUR 2008; FG was supported by Research Contract 2008, University of Calabria.</t>
  </si>
  <si>
    <t>1531-4332</t>
  </si>
  <si>
    <t>10.1016/j.cbpa.2009.04.621</t>
  </si>
  <si>
    <t>478YV</t>
  </si>
  <si>
    <t>WOS:000268625600002</t>
  </si>
  <si>
    <t>Mark, FC; Lieb, B</t>
  </si>
  <si>
    <t>Mark, F. C.; Lieb, B.</t>
  </si>
  <si>
    <t>Antarctic octopod haemocyanin - Does form follow function?</t>
  </si>
  <si>
    <t>26th Congress of the European-Society-of-Comparative-Biochemistry-and-Physiology</t>
  </si>
  <si>
    <t>SEP 06-09, 2009</t>
  </si>
  <si>
    <t>Innsbruck, AUSTRIA</t>
  </si>
  <si>
    <t>[Mark, F. C.] Alfred Wegener Inst Polar &amp; Marine Res, D-2850 Bremerhaven, Germany; [Lieb, B.] Johannes Gutenberg Univ Mainz, Mainz, Germany</t>
  </si>
  <si>
    <t>Helmholtz Association; Alfred Wegener Institute, Helmholtz Centre for Polar &amp; Marine Research; Johannes Gutenberg University of Mainz</t>
  </si>
  <si>
    <t>Lieb, Bernhard/AFT-2157-2022; Mark, Felix Christopher/P-4759-2016</t>
  </si>
  <si>
    <t>Mark, Felix Christopher/0000-0002-5586-6704</t>
  </si>
  <si>
    <t>S33</t>
  </si>
  <si>
    <t>S34</t>
  </si>
  <si>
    <t>10.1016/j.cbpa.2009.05.112</t>
  </si>
  <si>
    <t>489NT</t>
  </si>
  <si>
    <t>WOS:000269427800093</t>
  </si>
  <si>
    <t>Pinto, PIS; Power, DM; Canário, AVM; Thorne, MAS; Reinhardt, R; Matsumura, H; Terauchi, R</t>
  </si>
  <si>
    <t>Pinto, P. I. S.; Power, D. M.; Canario, A. V. M.; Thorne, M. A. S.; Reinhardt, R.; Matsumura, H.; Terauchi, R.</t>
  </si>
  <si>
    <t>Transcriptome profiling of the gills of a euryhaline teleost fish, Tetraodon nigroviridis, in response to altered calcium concentrations in water</t>
  </si>
  <si>
    <t>[Pinto, P. I. S.; Power, D. M.; Canario, A. V. M.] Ctr Marine Sci, Faro, Portugal; [Thorne, M. A. S.] British Antarctic Survey, Cambridge CB3 0ET, England; [Reinhardt, R.] Max Planck Inst Mol Genet, Berlin, Germany; [Matsumura, H.; Terauchi, R.] Iwate Biotechnol Res Ctr, Kitakami, Iwate, Japan</t>
  </si>
  <si>
    <t>UK Research &amp; Innovation (UKRI); Natural Environment Research Council (NERC); NERC British Antarctic Survey; Max Planck Society; Iwate Biotechnology Research Center</t>
  </si>
  <si>
    <t>Pinto, Patricia I/M-3817-2013; Canario, Adelino/C-7942-2009; Matsumura, Hideo/E-3021-2010</t>
  </si>
  <si>
    <t>Canario, Adelino/0000-0002-6244-6468;</t>
  </si>
  <si>
    <t>S2</t>
  </si>
  <si>
    <t>S3</t>
  </si>
  <si>
    <t>10.1016/j.cbpa.2009.05.019</t>
  </si>
  <si>
    <t>WOS:000269427800006</t>
  </si>
  <si>
    <t>Lin, XZ; Yang, BJ; Shen, JH; Du, N</t>
  </si>
  <si>
    <t>Lin, Xuezheng; Yang, Baijuan; Shen, Jihong; Du, Ning</t>
  </si>
  <si>
    <t>Biodegradation of Crude Oil by an Arctic Psychrotrophic Bacterium Pseudoalteromomas sp P29</t>
  </si>
  <si>
    <t>HYDROCARBON-DEGRADING BACTERIA; PETROLEUM-HYDROCARBONS; LOW-TEMPERATURES; ANTARCTIC SOILS; DIESEL OIL; DEGRADATION; BIOREMEDIATION; PSEUDOMONAS</t>
  </si>
  <si>
    <t>A psychrotrophic petroleum-degrading bacterium Pseudoalteromonas sp. P29 was isolated from marine sediment, which was collected during 2nd Chinese Arctic Scientific Expedition. The phenotypic character and biodegradation efficiency on mixed oil or vacuum oil were tested at low temperature. The strain Pseudoalteromonas sp. P29 grew in a range of temperature from 5 to 35A degrees C and the optimum temperature was 25A degrees C. Gas chromatography analysis indicated that the strain might preferentially metabolize shorter-chain alkanes. The biodegradation efficiency were nearly 90 and 80%, respectively, after incubation at 5A degrees C for 28 days in the mineral medium supplement with mixed oil or vacuum oil as the sole carbon and energy source. The results showed a possible exploitation of the strain in future biotechnological processes especially in cold contaminated environments.</t>
  </si>
  <si>
    <t>[Lin, Xuezheng; Yang, Baijuan; Shen, Jihong; Du, Ning] SOA, Key Lab Marine Bioact Subst, Inst Oceanog 1, Qingdao, Peoples R China</t>
  </si>
  <si>
    <t>First Institute of Oceanography, Ministry of Natural Resources</t>
  </si>
  <si>
    <t>Lin, XZ (corresponding author), SOA, Key Lab Marine Bioact Subst, Inst Oceanog 1, Qingdao, Peoples R China.</t>
  </si>
  <si>
    <t>linxz@fio.org.cn</t>
  </si>
  <si>
    <t>Polar Science Research Foundation of China; National Natural Science Foundation of China [40576060]</t>
  </si>
  <si>
    <t>Polar Science Research Foundation of China; National Natural Science Foundation of China(National Natural Science Foundation of China (NSFC))</t>
  </si>
  <si>
    <t>This research was supported by grants of Polar Science Research Foundation of China and National Natural Science Foundation of China (No. 40576060).</t>
  </si>
  <si>
    <t>10.1007/s00284-009-9440-9</t>
  </si>
  <si>
    <t>480ZK</t>
  </si>
  <si>
    <t>WOS:000268775800020</t>
  </si>
  <si>
    <t>Brandt, A; Ebbe, B</t>
  </si>
  <si>
    <t>Brandt, Angelika; Ebbe, Brigitte</t>
  </si>
  <si>
    <t>Southern Ocean deep-sea biodiversity-From patterns to processes</t>
  </si>
  <si>
    <t>Symposium on Marine Benthic Ecology and Biodiversity - A Compilation of Recent Advances held in Honor of J Frederick Grassle</t>
  </si>
  <si>
    <t>NOV 20-21, 2008</t>
  </si>
  <si>
    <t>Rutgers Univ, Inst Marine Coastal Sci, New Brunswick, NJ</t>
  </si>
  <si>
    <t>Rutgers Univ, Inst Marine Coastal Sci</t>
  </si>
  <si>
    <t>Southern Ocean; Biodiversity; Benthos; ANDEEP; SYSTCO</t>
  </si>
  <si>
    <t>ABYSSAL WEDDELL SEA; SPECIES-DIVERSITY; BENTHIC FORAMINIFERA; ANTARCTICA; ANDEEP; WATER; CRUSTACEA; ABUNDANCE; ASELLOTA; PORIFERA</t>
  </si>
  <si>
    <t>The Southern Ocean is characterized by a narrow and deep shelf, an almost isothermal water column and a large area of deep sea surrounding Antarctica. However, knowledge of the deep-sea faunal composition, particularly in the Southern Ocean, is still scarce in comparison with shelf and upper slope environment. For that reason a deep-sea project was devoted to investigate this little-known area of the Southern Ocean. ANDEEP (ANtarctic benthic DEEP-sea biodiversity: colonisation history and recent community patterns) took place in 2002-2005 and provided first insights into the biodiversity and biogeography of Southern Ocean benthic animals from meio- to megafauna. The results with the very general patterns are outlined here. Based on the knowledge on biodiversity patterns gained through ANDEEP, a follow-up project, ANDEEP-SYSTCO (SYSTem COupling), was established in the international polar year in order to investigate the processes driving the biodiversity pattern observed. This expedition took place in 2007/2008 and only preliminary data can be presented at this stage given that the material was available for only a couple of months since the return of R.V. Polarstem. Some key results identified after the SYSTCO expedition are presented. (C) 2009 Elsevier Ltd. All rights reserved.</t>
  </si>
  <si>
    <t>[Brandt, Angelika] Inst Zool, D-20146 Hamburg, Germany; [Brandt, Angelika] Zool Museum, D-20146 Hamburg, Germany; [Ebbe, Brigitte] Zool Forsch Museum Alexander Konig, Abt DZMB, Forsch Inst Senckenberg, D-53113 Bonn, Germany</t>
  </si>
  <si>
    <t>Senckenberg Gesellschaft fur Naturforschung (SGN)</t>
  </si>
  <si>
    <t>abrandt@zoologie.uni-hamburg.de; bebbe@senckenberg.de</t>
  </si>
  <si>
    <t>19-20</t>
  </si>
  <si>
    <t>10.1016/j.dsr2.2009.05.017</t>
  </si>
  <si>
    <t>504RT</t>
  </si>
  <si>
    <t>WOS:000270635700018</t>
  </si>
  <si>
    <t>de Grosbois, AM</t>
  </si>
  <si>
    <t>de Grosbois, Anne Marie</t>
  </si>
  <si>
    <t>New strategic science framework of the British Antarctic Survey</t>
  </si>
  <si>
    <t>ENVIRONMENTAL GEOLOGY</t>
  </si>
  <si>
    <t>de Grosbois, AM (corresponding author), Friedmar Brendel Weg 9A, D-09599 Freiberg, Germany.</t>
  </si>
  <si>
    <t>degrosbois@blue-cable.de</t>
  </si>
  <si>
    <t>0943-0105</t>
  </si>
  <si>
    <t>ENVIRON GEOL</t>
  </si>
  <si>
    <t>Environ. Geol.</t>
  </si>
  <si>
    <t>Environmental Sciences; Geosciences, Multidisciplinary; Water Resources</t>
  </si>
  <si>
    <t>Environmental Sciences &amp; Ecology; Geology; Water Resources</t>
  </si>
  <si>
    <t>484VO</t>
  </si>
  <si>
    <t>WOS:000269076800023</t>
  </si>
  <si>
    <t>Kalanetra, KM; Bano, N; Hollibaugh, JT</t>
  </si>
  <si>
    <t>Kalanetra, Karen M.; Bano, Nasreen; Hollibaugh, James T.</t>
  </si>
  <si>
    <t>Ammonia-oxidizing Archaea in the Arctic Ocean and Antarctic coastal waters</t>
  </si>
  <si>
    <t>MARINE PLANKTONIC ARCHAEA; RNA GENE SEQUENCE; CLASS PROTEOBACTERIA; BETA SUBDIVISION; PALMER-STATION; BACTERIA; DIVERSITY; NITRIFICATION; ASSEMBLAGES; OXIDATION</t>
  </si>
  <si>
    <t>P&gt;We compared abundance, distributions and phylogenetic composition of Crenarchaeota and ammonia-oxidizing Archaea (AOA) in samples collected from coastal waters west of the Antarctic Peninsula during the summers of 2005 and 2006, with samples from the central Arctic Ocean collected during the summer of 1997. Ammonia-oxidizing Archaea and Crenarchaeota abundances were estimated from quantitative PCR measurements of amoA and 16S rRNA gene abundances. Crenarchaeota and AOA were approximately fivefold more abundant at comparable depths in the Antarctic versus the Arctic Ocean. Crenarchaeota and AOA were essentially absent from the Antarctic Summer Surface Water (SSW) water mass (0-45 m depth). The ratio of Crenarchaeota 16S rRNA to archaeal amoA gene abundance in the Winter Water (WW) water mass (45-105 m depth) of the Southern Ocean was much lower (0.15) than expected and in sharp contrast to the ratio (2.0) in the Circumpolar Deep Water (CDW) water mass (105-3500 m depth) immediately below it. We did not observe comparable segregation of this ratio by depth or water mass in Arctic Ocean samples. A ubiquitous, abundant and polar-specific crenarchaeote was the dominant ribotype in the WW and important in the upper halocline of the Arctic Ocean. Our data suggest that this organism does not contain an ammonia monooxygenase gene. In contrast to other studies where Crenarchaeota populations apparently lacking amoA genes are found in bathypelagic waters, this organism appears to dominate in well-defined, ammonium-rich, near-surface water masses in polar oceans.</t>
  </si>
  <si>
    <t>[Kalanetra, Karen M.; Bano, Nasreen; Hollibaugh, James T.] Univ Georgia, Dept Marine Sci, Athens, GA 30602 USA</t>
  </si>
  <si>
    <t>University System of Georgia; University of Georgia</t>
  </si>
  <si>
    <t>Hollibaugh, JT (corresponding author), Univ Georgia, Dept Marine Sci, Athens, GA 30602 USA.</t>
  </si>
  <si>
    <t>aquadoc@uga.edu</t>
  </si>
  <si>
    <t>Kalanetra, Karen/AAP-3669-2021</t>
  </si>
  <si>
    <t>National Science Foundation [02-34249, 98-09971, OPP 02-17282]; Directorate For Geosciences; Office of Polar Programs (OPP) [0823101] Funding Source: National Science Foundation</t>
  </si>
  <si>
    <t>National Science Foundation(National Science Foundation (NSF)); Directorate For Geosciences; Office of Polar Programs (OPP)(National Science Foundation (NSF)NSF - Directorate for Geosciences (GEO))</t>
  </si>
  <si>
    <t>This research was supported by National Science Foundation Grants OPP 02-34249 and 98-09971 (to J.T.H.). We thank M. Erikson and G. LeCleir for assistance with sample collection and C. Teare Ketter for assistance with statistical analyses. We would like to express our appreciation to the US Navy, particularly to the officers and crews of the USSN Archerfish; to Arctic Submarine Laboratory personnel and to the scientists who collected samples for us on the SCICEX 97 cruise and made their data available to us, especially T. DeLaca, D. Stockwell, T. Whitledge, R. Sambrotto, G. Steward, J. Gossett, M. Mosher and B. Campbell. Antarctic sampling was supported by NSF OPP 02-17282 (Palmer LTER) to the Virginia Institute of Marine Sciences. We would like to thank Palmer LTER personnel for providing space on their sampling cruises and for access to their database. We thank F. Azam, J. Fuhrman, M. Beman and M.A. Moran and anonymous reviewers for comments on earlier drafts of this article.</t>
  </si>
  <si>
    <t>10.1111/j.1462-2920.2009.01974.x</t>
  </si>
  <si>
    <t>490WV</t>
  </si>
  <si>
    <t>WOS:000269539700023</t>
  </si>
  <si>
    <t>Dreyer, A; Weinberg, I; Temme, C; Ebinghaus, R</t>
  </si>
  <si>
    <t>Dreyer, Annekatrin; Weinberg, Ingo; Temme, Christian; Ebinghaus, Ralf</t>
  </si>
  <si>
    <t>Polyfluorinated Compounds in the Atmosphere of the Atlantic and Southern Oceans: Evidence for a Global Distribution</t>
  </si>
  <si>
    <t>ENVIRONMENTAL SCIENCE &amp; TECHNOLOGY</t>
  </si>
  <si>
    <t>PERFLUORINATED CARBOXYLIC-ACIDS; FLUORINATED ORGANIC-COMPOUNDS; NORTH-AMERICAN TROPOSPHERE; FLUOROTELOMER ALCOHOLS; PERFLUOROCARBOXYLIC ACIDS; ALKYL SUBSTANCES; PERFLUOROALKYL CONTAMINANTS; ORGANOCHLORINE PESTICIDES; INITIATED OXIDATION; AIR CONCENTRATIONS</t>
  </si>
  <si>
    <t>High Volume air samples taken onboard several research vessels in the Atlantic Ocean, the Southern Ocean, and the Baltic Sea as well as at one land-based site close to Hamburg, Germany, in 2007 and 2008 were analyzed for per- and polyfluorinated organic compounds (PFCs). A set of neutral, volatile PFCs such as fluorotelomer alcohols (FTOH) or perfluoroalkyl sulfonamides and ionic nonvolatile PFCs like perfluorinated carboxylates (PFCA) and sulfonates (PFSA) were collected on PUF/XAD-2/PUF cartridges and glass fiber filters and determined using GC-MS and HPLC-MS/MS. PFCs were detected in all air samples, even in Antarctic regions, and occurred predominantly in the gas phase. Total gas-phase concentrations of ship-based samples ranged from 4.5 pg m(-3) in the Southern Ocean to 335 pg m(-3) in European source regions. Concentrations of 8:2 FTOH, the analyte that was usually observed in highest concentrations, were between 1.8 and 130 pg m(-3). PFC concentrations decreased from continental regions toward marine regions and from Central Europe toward the Arctic and Antarctica. Southern hemispheric concentrations of individual PFCs were significantly lower than those of the northern hemisphere. On the basis of this data set marine background PFC concentrations and atmospheric residence times were calculated. This study gives further evidence that volatile PFCs undergo atmospheric long-range transport to remote regions and may contribute to their contamination with persistent PFCA and PFSA.</t>
  </si>
  <si>
    <t>[Dreyer, Annekatrin; Weinberg, Ingo; Temme, Christian; Ebinghaus, Ralf] GKSS Forschungszentrum Geesthacht GmbH, Inst Coastal Res, D-21502 Geesthacht, Germany; [Weinberg, Ingo] Leuphana Univ Luneburg, Inst Ecol &amp; Environm Chem, D-21335 Luneburg, Germany</t>
  </si>
  <si>
    <t>Helmholtz Association; Helmholtz-Zentrum Hereon; Leuphana University Luneburg</t>
  </si>
  <si>
    <t>Dreyer, A (corresponding author), GKSS Forschungszentrum Geesthacht GmbH, Inst Coastal Res, Max Planck Str 1, D-21502 Geesthacht, Germany.</t>
  </si>
  <si>
    <t>annekatrin.dreyer@gkss.de</t>
  </si>
  <si>
    <t>Weinberg, Ingo/0009-0003-0470-8591</t>
  </si>
  <si>
    <t>German Federal Environmental Foundation (Deutsche Bundesstiftung Umwelt, DBU)</t>
  </si>
  <si>
    <t>The authors thank the Pis, captains, and crews of the sampling campaigns who made this data set available. We wish to thank Petra Gunnewig, Gesine Witt, Jon Barber, Claudia Moeckel, Jasmin Schuster, and Clare Benskin for their valuable help in air sampling as well as Armando Caba and Jan Bodewadt for the technical support. We thank Volker Matthias and Torben Kirchgeorg for the valuable help concerning the trajectory analysis. The authors gratefully acknowledge the NOAA Air Recourses Laboratory (ARL) for the provision of the Hysplit transport and dispersion model. We are grateful to the German Federal Environmental Foundation (Deutsche Bundesstiftung Umwelt, DBU) for financial support.</t>
  </si>
  <si>
    <t>0013-936X</t>
  </si>
  <si>
    <t>ENVIRON SCI TECHNOL</t>
  </si>
  <si>
    <t>Environ. Sci. Technol.</t>
  </si>
  <si>
    <t>10.1021/es9010465</t>
  </si>
  <si>
    <t>Engineering, Environmental; Environmental Sciences</t>
  </si>
  <si>
    <t>Engineering; Environmental Sciences &amp; Ecology</t>
  </si>
  <si>
    <t>487GB</t>
  </si>
  <si>
    <t>WOS:000269258000016</t>
  </si>
  <si>
    <t>Láska, K; Prosek, P; Budík, L; Budíková, M; Milinevsky, G</t>
  </si>
  <si>
    <t>Laska, Kamil; Prosek, Pavel; Budik, Ladislav; Budikova, Marie; Milinevsky, Gennadi</t>
  </si>
  <si>
    <t>Prediction of erythemally effective UVB radiation by means of nonlinear regression model</t>
  </si>
  <si>
    <t>ENVIRONMETRICS</t>
  </si>
  <si>
    <t>Antarctica; UV radiation; ozone depletion; cloudiness; nonlinear regression model</t>
  </si>
  <si>
    <t>TOTAL OZONE; IRRADIANCE; HOLE</t>
  </si>
  <si>
    <t>One of the research programs carried out within the Czech-Ukrainian scientific co-operation is the monitoring of global solar and ultraviolet radiation at the Vernadsky Station (formerly the British Faraday Station), Antarctica. Radiation measurements have been made since 2002. Recently, a special attention is devoted to the measurements of the erythemally effective UVB radiation using a broadband Robertson Berger 501 UV-Biometer (Solar Light Co. Inc., USA). This paper brings some results front modelling the daily sums of erythemally effective UVB radiation intensity in relation to the total ozone content (TOC) in atmosphere and surface intensity of the global solar radiation. Differences between the satellite- and ground-based measurements of the TOC at the Vernadsky Station are taken into consideration. The modelled erythemally effective UVB radiation differed slightly depending on the seasons and sources of the TOC. The model relative prediction error for ground- and satellite-based measurements varied between 9.5% and 9.6% in the period of 2002-2003, while it ranged from 7.4% to 8.8% in the period of 2003-2004. Copyright (C) 2009 John Wiley &amp; Sons, Ltd.</t>
  </si>
  <si>
    <t>[Laska, Kamil; Prosek, Pavel] Masaryk Univ, Dept Geog, Fac Sci, CS-61137 Brno, Czech Republic; [Budik, Ladislav] Brno Reg Off, Czech Hydrometeorol Inst, Brno 61667, Czech Republic; [Budikova, Marie] Masaryk Univ, Dept Math &amp; Stat, Fac Sci, CS-61137 Brno, Czech Republic; [Milinevsky, Gennadi] Natl Taras Shevchenko Univ Kyiv, Fac Phys, Space Phys Dept, UA-03680 Kiev, Ukraine</t>
  </si>
  <si>
    <t>Masaryk University Brno; Czech Hydrometeorological Institute; Masaryk University Brno; Ministry of Education &amp; Science of Ukraine; Taras Shevchenko National University of Kyiv</t>
  </si>
  <si>
    <t>Láska, K (corresponding author), Masaryk Univ, Dept Geog, Fac Sci, Kotlarska 2, CS-61137 Brno, Czech Republic.</t>
  </si>
  <si>
    <t>laska@sci.muni.cz</t>
  </si>
  <si>
    <t>Milinevsky, Gennadi/AAD-8801-2019; Budíková, Marie/AAF-5455-2019; Laska, Kamil/L-7875-2013</t>
  </si>
  <si>
    <t>Milinevsky, Gennadi/0000-0002-2342-2615; Budíková, Marie/0000-0002-2748-6480; Laska, Kamil/0000-0002-5199-9737</t>
  </si>
  <si>
    <t>Agency of the Czech Republic [205/07/1377]</t>
  </si>
  <si>
    <t>Agency of the Czech Republic(Grant Agency of the Czech Republic)</t>
  </si>
  <si>
    <t>The authors express gratitude to all employees of the National Antarctic Scientific Center of Ukrainein Kyiv and to members of crews wintering on the Vernadsky Station Alexander Kolesnik and Igor Gvozdovsky for the faultless operation of radiation instruments and regular mailing of measured data. This study was handled as a part of research Grant No. 205/07/1377 The effects of atmospheric factors on the regime of UV radiation in the region of Antarctic Peninsula funded by Grant Agency of the Czech Republic.</t>
  </si>
  <si>
    <t>JOHN WILEY &amp; SONS LTD</t>
  </si>
  <si>
    <t>CHICHESTER</t>
  </si>
  <si>
    <t>THE ATRIUM, SOUTHERN GATE, CHICHESTER PO19 8SQ, W SUSSEX, ENGLAND</t>
  </si>
  <si>
    <t>1180-4009</t>
  </si>
  <si>
    <t>Environmetrics</t>
  </si>
  <si>
    <t>10.1002/env.968</t>
  </si>
  <si>
    <t>Environmental Sciences; Mathematics, Interdisciplinary Applications; Statistics &amp; Probability</t>
  </si>
  <si>
    <t>Environmental Sciences &amp; Ecology; Mathematics</t>
  </si>
  <si>
    <t>511FU</t>
  </si>
  <si>
    <t>WOS:000271150100005</t>
  </si>
  <si>
    <t>Hilgen, FJ; Abels, HA; Iaccarino, S; Krijgsman, W; Raffi, I; Sprovieri, R; Turco, E; Zachariasse, WJ</t>
  </si>
  <si>
    <t>Hilgen, F. J.; Abels, H. A.; Iaccarino, S.; Krijgsman, W.; Raffi, I.; Sprovieri, R.; Turco, E.; Zachariasse, W. J.</t>
  </si>
  <si>
    <t>The Global Stratotype Section and Point (GSSP) of the Serravallian Stage (Middle Miocene)</t>
  </si>
  <si>
    <t>EPISODES</t>
  </si>
  <si>
    <t>CALCAREOUS NANNOFOSSIL BIOSTRATIGRAPHY; MONTE-DEI-CORVI; INTEGRATED STRATIGRAPHY; ASTRONOMICAL CALIBRATION; SEA-LEVEL; INSOLATION QUANTITIES; MEDITERRANEAN REGION; SOUTHERN-OCEAN; CLIMATE; MALTA</t>
  </si>
  <si>
    <t>The Global Stratotype Section and Point (GSSP) for the Base of the Serravallian Stage (Middle Miocene) is defined in the Ras il Pelle grin section located in the coastal cliffs along the Fomm Ir-Rih Bay on the west coast of Malta (35 degrees 54'50N, 14 degrees 20'10E). The GSSP is at the base of the Blue Clay Formation (i.e., top of the transitional bed of the uppermost Globigerina Limestone). This boundary between the Langhian and Serravallian stages coincides with the end of the major Mi-3b global cooling step in the oxygen isotopes and reflects a major increase in Antarctic ice volume, marking the end of the Middle Miocene climate transition and the Earth's transformation into an Icehouse climate state. The associated major glacio-eustatic sea-level drop corresponds with sequence boundary Ser1 of Hardenbol et al. (1998) and supposedly with the TB2.5 sequence boundary of Hay et al (1987). This event is slightly older than the last common and/or continuous occurrence of the calcareous nannofossil Sphenolithus heteromorphus, previously considered as guiding criterion for the boundary, and is projected to fall within the younger half of Chron C5ACn. The GSSP level is in full agreement with the definitions of the Langhian and Serravallian in their respective historical stratotype sections in northern Italy and has an astronomical age of 13.82 Ma.</t>
  </si>
  <si>
    <t>[Hilgen, F. J.; Abels, H. A.; Zachariasse, W. J.] Univ Utrecht, Fac Geosci, Dept Earth Sci, NL-3508 TC Utrecht, Netherlands; [Iaccarino, S.; Turco, E.] Univ Parma, Dipartimento Sci Terra, I-43100 Parma, Italy; [Krijgsman, W.] Paleomagnet Lab Ft Hoofddijk, NL-3584 CD Utrecht, Netherlands; [Raffi, I.] Univ G DAnnunzio, Dipartimento Geotecnol Ambiente &amp; Terr, Chieti, Italy; [Sprovieri, R.] Univ Palermo, Dipartimento Geol &amp; Gedesia Terra, Palermo, Italy</t>
  </si>
  <si>
    <t>Utrecht University; University of Parma; G d'Annunzio University of Chieti-Pescara; University of Palermo</t>
  </si>
  <si>
    <t>fhilgen@geo.uu.nl</t>
  </si>
  <si>
    <t>Raffi, Isabella/AAY-5505-2020; Turco, Elena/G-7748-2012</t>
  </si>
  <si>
    <t>Raffi, Isabella/0000-0002-5192-7477; Krijgsman, Wout/0000-0002-1472-1074; Abels, Hemmo/0000-0001-7648-3369; Hilgen, Frits/0000-0002-5683-259X</t>
  </si>
  <si>
    <t>GEOLOGICAL SOC INDIA</t>
  </si>
  <si>
    <t>NO 63, 12TH CORSS, BASAPPA LAY OUT, GAVIPURAM PO, PO BOX 1922, BANGALORE, 560-019, INDIA</t>
  </si>
  <si>
    <t>0705-3797</t>
  </si>
  <si>
    <t>Episodes</t>
  </si>
  <si>
    <t>10.18814/epiiugs/2009/v32i3/002</t>
  </si>
  <si>
    <t>626VO</t>
  </si>
  <si>
    <t>WOS:000279995700002</t>
  </si>
  <si>
    <t>Park, H; Ahn, IY; Lee, JK; Shin, SC; Lee, J; Choy, EJ</t>
  </si>
  <si>
    <t>Park, Hyun; Ahn, In-Young; Lee, Jong Kyu; Shin, Seung Chul; Lee, Jiyeon; Choy, Eun-Jung</t>
  </si>
  <si>
    <t>Molecular cloning, characterization, and the response of manganese superoxide dismutase from the Antarctic bivalve Laternula elliptica to PCB exposure</t>
  </si>
  <si>
    <t>FISH &amp; SHELLFISH IMMUNOLOGY</t>
  </si>
  <si>
    <t>Antarctic; Laternula; Mn superoxide dismutase; PCB exposure; Gene expression</t>
  </si>
  <si>
    <t>MESSENGER-RNA EXPRESSION; GENE-EXPRESSION; DISK ABALONE; OXYGEN; EVOLUTION; INTERFACE; PROTEINS; DAMAGE; SOD</t>
  </si>
  <si>
    <t>Manganese superoxide dismutase (leMnSOD) cDNA was cloned from the Antarctic bivalve Laternula elliptica. The full-length cDNA of leMnSOD is 1238 bp in length and contains an open reading frame of 681 bp encoding 226 amino acid residues including a putative mitochondrial targeting peptide of 26 amino acids in the N-terminal region. The calculated molecular mass is 24.8 kDa with an estimated isoelectric point of 6.75. leMnSOD signatures from 185 to 192 (DVWEHAYY) and four conserved amino acids (H52, H11, D185, and H192) responsible for binding manganese were observed. Sequence comparison showed that leMnSOD had high levels of identity with MnSOD from Haliotis discus discus, Mizuhopecten yessoensis, and Crassostrea gigas (68%, 66%, and 59%, respectively). RT-PCR analysis revealed the presence of leMnSOD transcripts in all tissues examined. Quantitative real-time RT-PCR assay indicated that treatment with polychlorinated biphenyls (PCBs) significantly increased leMnSOD mRNA expression in an organ-, time-, and dose-dependent manner. The mRNA expression with exposure to PCBs at 0.1 and 10 ppb reached the highest level at 6 h and then recovered slightly from 6 to 48 h in the gill. In contrast, the expression of leMnSOD mRNA showed a different expression pattern related to PCB concentration in the digestive gland. The mRNA expression at 0.1 ppb PCBs increased up to 12 h and then decreased by 48 h, but increased immediately at 10 ppb PCBs. The leMnSOD was overproduced in Escherichia coli and purified. The recombinant leMnSOD showed maximum activity at pH 9.0, and it retained more than 50% of its original activity after incubation for 30 min at 40 degrees C. (C) 2009 Elsevier Ltd. All rights reserved.</t>
  </si>
  <si>
    <t>[Park, Hyun; Ahn, In-Young; Lee, Jong Kyu; Lee, Jiyeon; Choy, Eun-Jung] Korea Polar Res Inst, Inchon 406840, South Korea; [Shin, Seung Chul] Yonsei Univ, Brain Korea Project Med Sci 21, Seoul 120752, South Korea; [Lee, Jiyeon] Korea Univ, Coll Life Sci &amp; Biotechnol, Seoul 136701, South Korea</t>
  </si>
  <si>
    <t>Korea Institute of Ocean Science &amp; Technology (KIOST); Korea Polar Research Institute (KOPRI); Yonsei University; Korea University</t>
  </si>
  <si>
    <t>Studies on Polar Organisms and Ecosystem Changes [PE09040]; Korea Polar Research Institute (KOPRI)</t>
  </si>
  <si>
    <t>Studies on Polar Organisms and Ecosystem Changes; Korea Polar Research Institute (KOPRI)</t>
  </si>
  <si>
    <t>This research was supported by a Studies on Polar Organisms and Ecosystem Changes grant (PE09040) funded by the Korea Polar Research Institute (KOPRI).</t>
  </si>
  <si>
    <t>1050-4648</t>
  </si>
  <si>
    <t>1095-9947</t>
  </si>
  <si>
    <t>FISH SHELLFISH IMMUN</t>
  </si>
  <si>
    <t>Fish Shellfish Immunol.</t>
  </si>
  <si>
    <t>10.1016/j.fsi.2009.07.008</t>
  </si>
  <si>
    <t>Fisheries; Immunology; Marine &amp; Freshwater Biology; Veterinary Sciences</t>
  </si>
  <si>
    <t>493WY</t>
  </si>
  <si>
    <t>WOS:000269771000019</t>
  </si>
  <si>
    <t>Briais, A; Ondréas, H; Klingelhoefer, F; Dosso, L; Hamelin, C; Guillou, H</t>
  </si>
  <si>
    <t>Briais, Anne; Ondreas, Helene; Klingelhoefer, Frauke; Dosso, Laure; Hamelin, Cedric; Guillou, Herve</t>
  </si>
  <si>
    <t>Origin of volcanism on the flanks of the Pacific-Antarctic ridge between 41°30′S and 52°S</t>
  </si>
  <si>
    <t>mid-ocean ridges; off-axis volcanism; mantle convection; plate kinematics; transform fault</t>
  </si>
  <si>
    <t>MANTLE UPWELLING BENEATH; MIDOCEAN RIDGES; SOUTH-PACIFIC; SATELLITE ALTIMETRY; EASTER MICROPLATE; MAGMA TRANSPORT; FRACTURE-ZONES; RISE; PLATE; SEGMENTATION</t>
  </si>
  <si>
    <t>Non-hot spot, intraplate volcanism is a common feature near the East Pacific Rise or Pacific-Antarctic ridge. Volcanic ridges and seamount chains, tens to hundreds of kilometers long, are asymmetrically distributed about the ridge axis, with most volcanic features occurring on the Pacific plate. Their origins remain controversial. We have analyzed off-axis volcanic ridges near the Pacific-Antarctic ridge from bathymetry, backscatter, gravity, and geochemistry data of the Pacantarctic 2 cruise. K/Ar dating of samples dredged on these structures reveals a contrast of up to 3 Ma between the volcanoes and the underlying crust. The volcanic activity, as suggested by the strong backscatter in sonar images, appears to be limited to areas of seafloor younger than about 3 Ma. All surveyed ridges north of the Menard transform fault (TF) show recent activity close to the ridge axis and are not affected by faults. The off-axis volcanic ridges south of the Menard TF show recent volcanic flows in their center and are affected by N-S extension. Two different types of volcanoes can be characterized: conical, flat-topped ones and rough, elongated ones associated with narrow, E-W trending volcanic ridges, some of them showing strong backscattering on the EM12 imagery. From the morphology of the seamount chains and the ages of the lava samples, we infer that the magma source for the volcanic ridges is related to the feeding of the ridge axis through three-dimensional mantle convective circulation. We suggest that a change in the relative plate motion since about 5 Ma might have induced an offset of the mantle upwelling circulation under the ridge axis so that anomalously hot mantle rises under the Pacific ridge flank. The kinematic change is also likely responsible for the tectonic deformation in the young lithosphere south of Menard TF.</t>
  </si>
  <si>
    <t>[Briais, Anne] Univ Toulouse, CNRS, LDTP, Observ Midi Pyrenees, F-31400 Toulouse, France; [Dosso, Laure] IFREMER, UMR 6538, CNRS, F-29280 Plouzane, France; [Hamelin, Cedric] UBO, IUEM, F-29280 Plouzane, France; [Guillou, Herve] CNRS, Lab Sci Climat &amp; Environm, F-91198 Gif Sur Yvette, France</t>
  </si>
  <si>
    <t>Centre National de la Recherche Scientifique (CNRS); Universite de Toulouse; Universite Toulouse III - Paul Sabatier; Ifremer; Centre National de la Recherche Scientifique (CNRS); CNRS - National Institute for Earth Sciences &amp; Astronomy (INSU); Universite de Bretagne Occidentale; Universite de Bretagne Occidentale; Institut Universitaire Europeen de la Mer (IUEM); Universite Paris Saclay; CEA; Centre National de la Recherche Scientifique (CNRS)</t>
  </si>
  <si>
    <t>Briais, A (corresponding author), Univ Toulouse, CNRS, LDTP, Observ Midi Pyrenees, 14 Ave E Belin, F-31400 Toulouse, France.</t>
  </si>
  <si>
    <t>anne.briais@dtp.obs-mip.fr</t>
  </si>
  <si>
    <t>Dosso, Laure/A-9520-2009; Hamelin, Cédric/C-6656-2009; Briais, Anne/I-1492-2017</t>
  </si>
  <si>
    <t>Briais, Anne/0000-0002-0040-6348; Guillou, Herve/0000-0002-4811-7668; Klingelhoefer, Frauke/0000-0001-5838-0577</t>
  </si>
  <si>
    <t>Q09001</t>
  </si>
  <si>
    <t>10.1029/2008GC002350</t>
  </si>
  <si>
    <t>492CU</t>
  </si>
  <si>
    <t>WOS:000269632800002</t>
  </si>
  <si>
    <t>Fretwell, PT; Trathan, PN</t>
  </si>
  <si>
    <t>Fretwell, Peter T.; Trathan, Philip N.</t>
  </si>
  <si>
    <t>Penguins from space: faecal stains reveal the location of emperor penguin colonies</t>
  </si>
  <si>
    <t>GLOBAL ECOLOGY AND BIOGEOGRAPHY</t>
  </si>
  <si>
    <t>Antarctica; Aptenodytes forsteri; climate change; distribution; emperor penguins; penguin distribution; remote sensing; satellite imagery</t>
  </si>
  <si>
    <t>CLIMATE-CHANGE</t>
  </si>
  <si>
    <t>Aim To map and assess the breeding distribution of emperor penguins (Aptenodytes forsteri) using remote sensing. Location Pan-Antarctic. Methods Using Landsat ETM satellite images downloaded from the Landsat Image Mosaic of Antarctica (LIMA), we detect faecal staining of ice by emperor penguins associated with their colony locations. Emperor penguins breed on sea ice, and their colonies exist in situ between May and December each year. Faecal staining at these colony locations shows on Landsat imagery as brown patches, the only staining of this colour on sea ice. This staining can therefore be used as an analogue for colony locations. The whole continental coastline has been analysed, and each possible signal has been identified visually and checked by spectral analysis. In areas where LIMA data are unsuitable, freely available Landsat imagery has been supplemented. Results We have identified colony locations of emperor penguins at a total of 38 sites. Of these, 10 are new locations, and six previously known colony locations have been repositioned (by over 10 km) due to poor geographical information in old records. Six colony locations, all from old or unconfirmed records, were not found or have disappeared. Main conclusions We present a new pan-Antarctic species distribution of emperor penguins mapped from space. In one synoptic survey we locate extant emperor penguin colonies, a species previously poorly mapped due to its unique breeding habits, and provide a vital geographical resource for future studies of an iconic species believed to be vulnerable to future climate change.</t>
  </si>
  <si>
    <t>[Fretwell, Peter T.; Trathan, Philip N.] British Antarctic Survey, Natl Environm Res Council, Cambridge CB3 0ET, England</t>
  </si>
  <si>
    <t>Fretwell, PT (corresponding author), British Antarctic Survey, Natl Environm Res Council, Madingley Rd, Cambridge CB3 0ET, England.</t>
  </si>
  <si>
    <t>ptf@bas.ac.uk</t>
  </si>
  <si>
    <t>Natural Environment Research Council [bas010020] Funding Source: researchfish; NERC [bas010020] Funding Source: UKRI</t>
  </si>
  <si>
    <t>1466-822X</t>
  </si>
  <si>
    <t>1466-8238</t>
  </si>
  <si>
    <t>GLOBAL ECOL BIOGEOGR</t>
  </si>
  <si>
    <t>Glob. Ecol. Biogeogr.</t>
  </si>
  <si>
    <t>10.1111/j.1466-8238.2009.00467.x</t>
  </si>
  <si>
    <t>Ecology; Geography, Physical</t>
  </si>
  <si>
    <t>481FE</t>
  </si>
  <si>
    <t>WOS:000268792000003</t>
  </si>
  <si>
    <t>Mahaney, WC; Dohm, J; Kapran, B; Hancock, RGV; Milner, MW</t>
  </si>
  <si>
    <t>Mahaney, William C.; Dohm, James; Kapran, Barbara; Hancock, Ronald G. V.; Milner, Michael W.</t>
  </si>
  <si>
    <t>Secondary Fe and Al in Antarctic paleosols: Correlation to Mars with prospect for the presence of life</t>
  </si>
  <si>
    <t>ICARUS</t>
  </si>
  <si>
    <t>Extractable Fe/Al in paleosols; Antarctic paleosols; Terrestrial analogues of martian paleosols</t>
  </si>
  <si>
    <t>EXTRACTABLE FE; NORTHERN PLAINS; ELYSIUM PLANITIA; THARSIS REGION; LATE MIOCENE; ICE-SHEET; SOILS; EVOLUTION; WATER; GEOCHEMISTRY</t>
  </si>
  <si>
    <t>Middle-Miocene age paleosols in the Antarctic Dry Valleys were studied for their compositional variation and concentrations of secondary oxides/coatings in &lt;2 mm matrix material in tills. The paleosols date to between 10-18 Ma by Be-10, forming prior to and just following the transition from warm-based to cold-based ice, when the climate is thought to have entered a prolonged cold/dry period in which soil moisture would have been frozen most of the year. The progression of release of secondary oxides of Fe and Al shows variable percentages of individual oxihydrites relative to chemical element totals, and thus, to consume total Fe and Al would require tens of millions of additional years. The slow progression of Fe-d/Fe-t, used as a measure of relative age in other warmer alpine and Arctic climates, is shown here to amount to &lt;15 percent of the total Fe available for weathering. Ferrihydrite variability in paleosols, often used to indicate the presence of fluctuating/perched ground water tables, suggests that liquid water may have accumulated in mid-profile in some instances, perhaps during periods when the climate was somewhat warmer for several weeks during the summer. Variable Fe and Al ratios and arithmetic functions argue for extremely slow but sustainable release of oxides in a cold, polar desert climate, in which temperatures prohibit the formation of clay minerals. The secondary mineral species present likely amount to residue from past climates that were more conducive to clay mineral genesis and aerosolic input over time. The presence of microbial life in Antarctic paleosols, with minor amounts of Fe available for physiological processes to function, argues for the potential existence of microorganisms in ice-enriched paleosols of Mars, particularly given its watery and dynamic geologic past and relatively high concentration of total Fe in subaerial paleosols. The distribution of Fe over a large part of the northern plains of Mars as determined by the GRS instrument is invoked as a comparison with the Antarctic. (C) 2009 Elsevier Inc. All rights reserved.</t>
  </si>
  <si>
    <t>[Mahaney, William C.; Kapran, Barbara] York Univ, Dept Geog, N York, ON M3J 1P3, Canada; [Mahaney, William C.; Kapran, Barbara] Quaternary Surveys, Thornhill, ON L4J 1J4, Canada; [Dohm, James] Univ Arizona, Dept Hydrol &amp; Water Resources, Tucson, AZ 85721 USA; [Hancock, Ronald G. V.] McMaster Univ, Dept Med Phys &amp; Appl Radiat Sci, Hamilton, ON L8S 4K1, Canada; [Hancock, Ronald G. V.] McMaster Univ, Dept Anthropol, Hamilton, ON L8S 4K1, Canada; [Milner, Michael W.] MWM Consulting, Toronto, ON M4K 3P1, Canada</t>
  </si>
  <si>
    <t>York University - Canada; University of Arizona; McMaster University; McMaster University</t>
  </si>
  <si>
    <t>Mahaney, WC (corresponding author), York Univ, Dept Geog, 4700 Keele St, N York, ON M3J 1P3, Canada.</t>
  </si>
  <si>
    <t>arkose@rogers.com</t>
  </si>
  <si>
    <t>Dohm, James M/A-3831-2014</t>
  </si>
  <si>
    <t>New Zealand Antarctic Research Program; Quaternary Surveys, Toronto; York University</t>
  </si>
  <si>
    <t>Funding for Event K-105 came from the New Zealand Antarctic Research Program and from Quaternary Surveys, Toronto. Participation in the Second International Conference on Mars Polar Science and Exploration (Iceland) was made possible by a travel grant to WCM from York University.</t>
  </si>
  <si>
    <t>ACADEMIC PRESS INC ELSEVIER SCIENCE</t>
  </si>
  <si>
    <t>SAN DIEGO</t>
  </si>
  <si>
    <t>525 B ST, STE 1900, SAN DIEGO, CA 92101-4495 USA</t>
  </si>
  <si>
    <t>0019-1035</t>
  </si>
  <si>
    <t>1090-2643</t>
  </si>
  <si>
    <t>Icarus</t>
  </si>
  <si>
    <t>10.1016/j.icarus.2009.05.007</t>
  </si>
  <si>
    <t>599HV</t>
  </si>
  <si>
    <t>WOS:000277902900031</t>
  </si>
  <si>
    <t>Fraser, AD; Massom, RA; Michael, KJ</t>
  </si>
  <si>
    <t>Fraser, Alexander D.; Massom, Robert A.; Michael, Kelvin J.</t>
  </si>
  <si>
    <t>A Method for Compositing Polar MODIS Satellite Images to Remove Cloud Cover for Landfast Sea-Ice Detection</t>
  </si>
  <si>
    <t>Remote sensing; satellite applications; sea ice</t>
  </si>
  <si>
    <t>TEMPERATURE; WATER</t>
  </si>
  <si>
    <t>This paper presents details of techniques for generating thermal infrared and visible composite images from the cloud-free portions of temporally closely spaced MODerate resolution Imaging Spectroradiometer (MODIS) images, with a focus on studies of landfast sea ice along the East Antarctic coast. Composite image inclusion criteria are based on modified MODIS Earth Observing System cloud mask product results. The compositing process presented places emphasis on retaining maximum spatial resolution while minimizing storage space requirements. Composite images can be produced either as a regular product (e. g., on a ten-day grid), or dynamically (whenever enough information is acquired to produce a new output image). The techniques presented are applicable at any latitude, are available for all MODIS channels at their native resolution, can combine Aqua and Terra images, and can produce maps in any output projection. However, due to the polar orbit of NASA's Terra and Aqua satellites which host the MODIS instrument, more frequent coverage is produced at higher latitudes. Thus, the techniques presented are particularly applicable to polar research. Examples of composite image generation of the landfast sea ice around the Mertz Glacier region, East Antarctica, are included for both winter and summer.</t>
  </si>
  <si>
    <t>[Fraser, Alexander D.; Massom, Robert A.; Michael, Kelvin J.] Univ Tasmania, Antarctic Climate &amp; Ecosyst Cooperat Res Ctr, Hobart, Tas 7001, Australia; [Fraser, Alexander D.; Michael, Kelvin J.] Univ Tasmania, Inst Antarctic &amp; So Ocean Studies, Hobart, Tas 7001, Australia; [Massom, Robert A.] Australian Antarctic Div, Kingston, Tas 7050, Australia</t>
  </si>
  <si>
    <t>University of Tasmania; Antarctic Climate &amp; Ecosystems Cooperative Research Centre (ACE CRC); University of Tasmania; Australian Antarctic Division</t>
  </si>
  <si>
    <t>Fraser, AD (corresponding author), Univ Tasmania, Antarctic Climate &amp; Ecosyst Cooperat Res Ctr, Hobart, Tas 7001, Australia.</t>
  </si>
  <si>
    <t>adfraser@utas.edu.au</t>
  </si>
  <si>
    <t>Fraser, Alexander/AFO-7186-2022; Michael, Kelvin/J-7217-2014</t>
  </si>
  <si>
    <t>Fraser, Alexander/0000-0003-1924-0015; Michael, Kelvin/0000-0002-5427-7393; Massom, Robert/0000-0003-1533-5084</t>
  </si>
  <si>
    <t>Australian Government's Cooperative Research Centres Program through the Antarctic Climate and Ecosystems Cooperative Research Centre (ACE CRC); Australian Antarctic Science [3024]</t>
  </si>
  <si>
    <t>Australian Government's Cooperative Research Centres Program through the Antarctic Climate and Ecosystems Cooperative Research Centre (ACE CRC)(Australian GovernmentDepartment of Industry, Innovation and ScienceCooperative Research Centres (CRC) Programme); Australian Antarctic Science</t>
  </si>
  <si>
    <t>This work was supported by the Australian Government's Cooperative Research Centres Program through the Antarctic Climate and Ecosystems Cooperative Research Centre (ACE CRC) and the Australian Antarctic Science Project 3024.</t>
  </si>
  <si>
    <t>10.1109/TGRS.2009.2019726</t>
  </si>
  <si>
    <t>486WA</t>
  </si>
  <si>
    <t>WOS:000269230100026</t>
  </si>
  <si>
    <t>Allen, MA; Lauro, FM; Williams, TJ; Burg, D; Siddiqui, KS; De Francisci, D; Chong, KWY; Pilak, O; Chew, HH; De Maere, MZ; Ting, L; Katrib, M; Ng, C; Sowers, KR; Galperin, MY; Anderson, IJ; Ivanova, N; Dalin, E; Martinez, M; Lapidus, A; Hauser, L; Land, M; Thomas, T; Cavicchioli, R</t>
  </si>
  <si>
    <t>Allen, Michelle A.; Lauro, Federico M.; Williams, Timothy J.; Burg, Dominic; Siddiqui, Khawar S.; De Francisci, Davide; Chong, Kevin W. Y.; Pilak, Oliver; Chew, Hwee H.; De Maere, Matthew Z.; Ting, Lily; Katrib, Marilyn; Ng, Charmaine; Sowers, Kevin R.; Galperin, Michael Y.; Anderson, Iain J.; Ivanova, Natalia; Dalin, Eileen; Martinez, Michele; Lapidus, Alla; Hauser, Loren; Land, Miriam; Thomas, Torsten; Cavicchioli, Ricardo</t>
  </si>
  <si>
    <t>The genome sequence of the psychrophilic archaeon, Methanococcoides burtonii: the role of genome evolution in cold adaptation</t>
  </si>
  <si>
    <t>ISME JOURNAL</t>
  </si>
  <si>
    <t>archaea; cold adaptation; genome plasticity; Methanococcoides burtonii; psychrophile</t>
  </si>
  <si>
    <t>HORIZONTAL GENE-TRANSFER; METHANOSARCINA-BARKERI; ANTARCTIC ARCHAEON; SP-NOV.; SKAN-BAY; ACE LAKE; METHANOGENIUM-FRIGIDUM; H-2-USING METHANOGEN; M METHYLTRANSFERASE; MARINE-SEDIMENTS</t>
  </si>
  <si>
    <t>Psychrophilic archaea are abundant and perform critical roles throughout the Earth's expansive cold biosphere. Here we report the first complete genome sequence for a psychrophilic methanogenic archaeon, Methanococcoides burtonii. The genome sequence was manually annotated including the use of a five-tiered evidence rating (ER) system that ranked annotations from ER1 (gene product experimentally characterized from the parent organism) to ER5 (hypothetical gene product) to provide a rapid means of assessing the certainty of gene function predictions. The genome is characterized by a higher level of aberrant sequence composition (51%) than any other archaeon. In comparison to hyper/thermophilic archaea, which are subject to selection of synonymous codon usage, M. burtonii has evolved cold adaptation through a genomic capacity to accommodate highly skewed amino-acid content, while retaining codon usage in common with its mesophilic Methanosarcina cousins. Polysaccharide biosynthesis genes comprise at least 3.3% of protein coding genes in the genome, and Cell wall, membrane, envelope biogenesis COG genes are overrepresented. Likewise, signal transduction (COG category T) genes are overrepresented and M. burtonii has a high 'IQ' (a measure of adaptive potential) compared to many methanogens. Numerous genes in these two overrepresented COG categories appear to have been acquired from epsilon-and delta-Proteobacteria, as do specific genes involved in central metabolism such as a novel B form of aconitase. Transposases also distinguish M. burtonii from other archaea, and their genomic characteristics indicate they have an important role in evolving the M. burtonii genome. Our study reveals a capacity for this model psychrophile to evolve through genome plasticity (including nucleotide skew, horizontal gene transfer and transposase activity) that enables adaptation to the cold, and to the biological and physical changes that have occurred over the last several thousand years as it adapted from a marine to an Antarctic lake environment. The ISME Journal (2009) 3, 1012-1035; doi:10.1038/ismej.2009.45; published online 30 April 2009</t>
  </si>
  <si>
    <t>[Allen, Michelle A.; Lauro, Federico M.; Williams, Timothy J.; Burg, Dominic; Siddiqui, Khawar S.; De Francisci, Davide; Chong, Kevin W. Y.; Pilak, Oliver; Chew, Hwee H.; De Maere, Matthew Z.; Ting, Lily; Katrib, Marilyn; Ng, Charmaine; Thomas, Torsten; Cavicchioli, Ricardo] Univ New S Wales, Sch Biotechnol &amp; Biomol Sci, Sydney, NSW 2052, Australia; [Sowers, Kevin R.] Univ Maryland, Ctr Marine Biotechnol, Inst Biotechnol, Baltimore, MD 21202 USA; [Thomas, Torsten] Univ New S Wales, Ctr Marine Bioinnovat, Sydney, NSW 2052, Australia; [Galperin, Michael Y.] NCBI, Natl Lib Med, NIH, Bethesda, MD USA; [Anderson, Iain J.; Ivanova, Natalia; Dalin, Eileen; Martinez, Michele; Lapidus, Alla] Joint Genome Inst, Dept Energy, Walnut Creek, CA USA; [Hauser, Loren; Land, Miriam] Oak Ridge Natl Lab, Oak Ridge, TN USA</t>
  </si>
  <si>
    <t>University of New South Wales Sydney; University System of Maryland; University of Maryland Baltimore; University of New South Wales Sydney; National Institutes of Health (NIH) - USA; NIH National Library of Medicine (NLM); United States Department of Energy (DOE); Joint BioEnergy Institute - JBEI; Joint Genome Institute - JGI; United States Department of Energy (DOE); Oak Ridge National Laboratory</t>
  </si>
  <si>
    <t>Cavicchioli, R (corresponding author), Univ New S Wales, Sch Biotechnol &amp; Biomol Sci, Sydney, NSW 2052, Australia.</t>
  </si>
  <si>
    <t>R.Cavicchioli@unsw.edu.au</t>
  </si>
  <si>
    <t>Galperin, Michael Y./B-5859-2013; Lapidus, Alla L/I-4348-2013; DeMaere, Matthew Zachariah/D-9002-2012; Burg, Dominic/A-8136-2013; Lauro, Federico/X-2420-2019; Hauser, Loren J/H-3881-2012; Cavicchioli, Ricardo/D-4341-2013; Land, Miriam/A-6200-2011</t>
  </si>
  <si>
    <t>Galperin, Michael Y./0000-0002-2265-5572; DeMaere, Matthew Zachariah/0000-0002-7601-5108; Burg, Dominic/0000-0002-9957-3233; Lauro, Federico/0000-0002-8373-1014; Allen, Michelle/0000-0002-8852-1454; Siddiqui, Khawar/0000-0001-8574-3177; Cavicchioli, Ricardo/0000-0001-8989-6402; Thomas, Torsten/0000-0001-9557-3001; Ng, Charmaine/0000-0003-3026-0009; Land, Miriam/0000-0001-7102-0031; Williams, Timothy/0000-0002-2738-3019; Ivanova, Natalia/0000-0002-5802-9485</t>
  </si>
  <si>
    <t>US Department of Energy's Office of Science, Biological and Environmental Research Program; University of California; Lawrence Berkeley National Laboratory [DE-AC0205CH11231]; Lawrence Livermore National Laboratory [DE-AC52-07NA27344]; Los Alamos National Laboratory [DE-AC0206NA25396, DE-AC05-00OR22725]; US Department of Energy's Office of Science, Biological and Environmental Research Program [DE-FG02-07ER64502]; National Science Foundation, Division of Cellular and Bioscience [MCB0110762]</t>
  </si>
  <si>
    <t>US Department of Energy's Office of Science, Biological and Environmental Research Program(United States Department of Energy (DOE)); University of California(University of California System); Lawrence Berkeley National Laboratory(United States Department of Energy (DOE)); Lawrence Livermore National Laboratory(United States Department of Energy (DOE)); Los Alamos National Laboratory(United States Department of Energy (DOE)Los Alamos National Laboratory); US Department of Energy's Office of Science, Biological and Environmental Research Program(United States Department of Energy (DOE)); National Science Foundation, Division of Cellular and Bioscience(National Science Foundation (NSF))</t>
  </si>
  <si>
    <t>The Australian contingent was supported by funding from the Australian Research Council. The work of IJA, NI, ED, MM, AL, LH and ML was performed under the auspices of the US Department of Energy's Office of Science, Biological and Environmental Research Program, and by the University of California, Lawrence Berkeley National Laboratory under Contract No. DE-AC0205CH11231, Lawrence Livermore National Laboratory under Contract No. DE-AC52-07NA27344, Los Alamos National Laboratory under Contract No. DE-AC0206NA25396, and Los Alamos National Laboratory under Contract No. DE-AC05-00OR22725. The work of KRS was supported by funding from the US Department of Energy's Office of Science, Biological and Environmental Research Program Grant No. DE-FG02-07ER64502 and the National Science Foundation, Division of Cellular and Bioscience Grant No. MCB0110762. MYG was supported by the NIH Intramural Research Program at the National Library of Medicine.</t>
  </si>
  <si>
    <t>SPRINGERNATURE</t>
  </si>
  <si>
    <t>CAMPUS, 4 CRINAN ST, LONDON, N1 9XW, ENGLAND</t>
  </si>
  <si>
    <t>1751-7362</t>
  </si>
  <si>
    <t>1751-7370</t>
  </si>
  <si>
    <t>ISME J</t>
  </si>
  <si>
    <t>ISME J.</t>
  </si>
  <si>
    <t>10.1038/ismej.2009.45</t>
  </si>
  <si>
    <t>Ecology; Microbiology</t>
  </si>
  <si>
    <t>Environmental Sciences &amp; Ecology; Microbiology</t>
  </si>
  <si>
    <t>491XY</t>
  </si>
  <si>
    <t>WOS:000269618300003</t>
  </si>
  <si>
    <t>Berlemont, R; Delsaute, M; Pipers, D; D'Amico, S; Feller, G; Galleni, M; Power, P</t>
  </si>
  <si>
    <t>Berlemont, Renaud; Delsaute, Maud; Pipers, Delphine; D'Amico, Salvino; Feller, Georges; Galleni, Moreno; Power, Pablo</t>
  </si>
  <si>
    <t>Insights into bacterial cellulose biosynthesis by functional metagenomics on Antarctic soil samples</t>
  </si>
  <si>
    <t>Antarctica; cellulose; cold-adapted protein; endoglucanase; metagenomics; Pseudomonas spp.</t>
  </si>
  <si>
    <t>THERMOASCUS-AURANTIACUS; AGROBACTERIUM-TUMEFACIENS; BIOFILM FORMATION; ESCHERICHIA-COLI; PSEUDOALTEROMONAS-HALOPLANKTIS; UNCULTURED MICROORGANISMS; GENOME SEQUENCE; ENZYMES; GENES; ENDOGLUCANASE</t>
  </si>
  <si>
    <t>In this study, the mining of an Antarctic soil sample by functional metagenomics allowed the isolation of a cold-adapted protein (RBcel1) that hydrolyzes only carboxymethyl cellulose. The new enzyme is related to family 5 of the glycosyl hydrolase (GH5) protein from Pseudomonas stutzeri (Pst_2494) and does not possess a carbohydrate-binding domain. The protein was produced and purified to homogeneity. RBcel1 displayed an endoglucanase activity, producing cellobiose and cellotriose, using carboxymethyl cellulose as a substrate. Moreover, the study of pH and the thermal dependence of the hydrolytic activity shows that RBcel1 was active from pH 6 to pH 9 and remained significantly active when temperature decreased (18% of activity at 10 degrees C). It is interesting that RBcel1 was able to synthetize non-reticulated cellulose using cellobiose as a substrate. Moreover, by a combination of bioinformatics and enzyme analysis, the physiological relevance of the RBcel1 protein and its mesophilic homologous Pst_2494 protein from P. stutzeri, A1501, was established as the key enzymes involved in the production of cellulose by bacteria. In addition, RBcel1 and Pst_2494 are the two primary enzymes belonging to the GH5 family involved in this process. The ISME Journal (2009) 3, 1070-1081; doi:10.1038/ismej.2009.48; published online 21 May 2009</t>
  </si>
  <si>
    <t>[Berlemont, Renaud; Delsaute, Maud; Pipers, Delphine; Galleni, Moreno; Power, Pablo] Univ Liege, Lab Biol Macromol, Ctr Ingn Prot, Inst Chim B6A, B-4000 Sart Tilman Par Liege, Belgium; [D'Amico, Salvino; Feller, Georges] Univ Liege, Biochem Lab, Ctr Ingn Prot, Inst Chim B6A, B-4000 Sart Tilman Par Liege, Belgium; [Power, Pablo] Univ Buenos Aires, Dept Microbiol Immunol &amp; Biotechnol, Sch Pharm &amp; Biochem, Buenos Aires, DF, Argentina</t>
  </si>
  <si>
    <t>University of Liege; University of Liege; University of Buenos Aires</t>
  </si>
  <si>
    <t>Galleni, M (corresponding author), Univ Liege, Allee Chim,3 Sart Tilman, B-4000 Liege, Belgium.</t>
  </si>
  <si>
    <t>mgalleni@ulg.ac.be</t>
  </si>
  <si>
    <t>Power, Pablo/AAB-4178-2019</t>
  </si>
  <si>
    <t>Power, Pablo/0000-0002-7051-9954; Berlemont, Renaud/0000-0001-9243-5092</t>
  </si>
  <si>
    <t>Belgian Science Policy Office (BELSPO); FNRS [2.4561.07]</t>
  </si>
  <si>
    <t>Belgian Science Policy Office (BELSPO)(Belgian Federal Science Policy Office); FNRS(Fonds de la Recherche Scientifique - FNRS)</t>
  </si>
  <si>
    <t>We thank R Pirard, V Collard and C Jerome for their skilful technical assistance. PP is a member of the Carrera del Investigador Cientifico (CONICET), Argentina and a recipient of a Postdoctoral fellowship from the Belgian Science Policy Office (BELSPO). SD'A is a Belgian FNRS postdoctoral researcher. This work was supported by an FNRS Grant (Brussels, Belgium, FRFC, 2.4561.07).</t>
  </si>
  <si>
    <t>10.1038/ismej.2009.48</t>
  </si>
  <si>
    <t>WOS:000269618300007</t>
  </si>
  <si>
    <t>Maximenko, N; Niiler, P; Rio, MH; Melnichenko, O; Centurioni, L; Chambers, D; Zlotnicki, V; Galperin, B</t>
  </si>
  <si>
    <t>Maximenko, Nikolai; Niiler, Peter; Rio, Marie-Helene; Melnichenko, Oleg; Centurioni, Luca; Chambers, Don; Zlotnicki, Victor; Galperin, Boris</t>
  </si>
  <si>
    <t>Mean Dynamic Topography of the Ocean Derived from Satellite and Drifting Buoy Data Using Three Different Techniques</t>
  </si>
  <si>
    <t>GENERAL-CIRCULATION; ALTIMETRY; PACIFIC; TOPEX/POSEIDON; VARIABILITY; CURRENTS; AZORES; GRACE</t>
  </si>
  <si>
    <t>Presented here are three mean dynamic topography maps derived with different methodologies. The first method combines sea level observed by the high-accuracy satellite radar altimetry with the geoid model of the Gravity Recovery and Climate Experiment (GRACE), which has recently measured the earth's gravity with unprecedented spatial resolution and accuracy. The second one synthesizes near-surface velocities from a network of ocean drifters, hydrographic profiles, and ocean winds sorted according to the horizontal scales. In the third method, these global datasets are used in the context of the ocean surface momentum balance. The second and third methods are used to improve accuracy of the dynamic topography on fine space scales poorly resolved in the first method. When they are used to compute a multiyear time-mean global ocean surface circulation on a 0.58 horizontal resolution, both contain very similar, new small-scale midocean current patterns. In particular, extensions of western boundary currents appear narrow and strong despite temporal variability and exhibit persistent meanders and multiple branching. Also, the locations of the velocity concentrations in the Antarctic Circumpolar Current become well defined. Ageostrophic velocities reveal convergent zones in each subtropical basin. These maps present a new context in which to view the continued ocean monitoring with in situ instruments and satellites.</t>
  </si>
  <si>
    <t>[Maximenko, Nikolai; Melnichenko, Oleg] Univ Hawaii Manoa, IPRC, SOEST, Honolulu, HI 96822 USA; [Niiler, Peter; Centurioni, Luca] Univ Calif San Diego, Scripps Inst Oceanog, La Jolla, CA 92093 USA; [Rio, Marie-Helene] Collecte Localisat Satellites, Ramonville St Agne, France; [Melnichenko, Oleg] Natl Acad Sci Ukraine, Inst Marine Hydrophys, Sevastopol, Ukraine; [Chambers, Don] Univ Texas Austin, Ctr Space Res, Austin, TX 78712 USA; [Zlotnicki, Victor] CALTECH, Jet Prop Lab, Pasadena, CA USA; [Galperin, Boris] Univ S Florida, Coll Marine Sci, St Petersburg, FL 33701 USA</t>
  </si>
  <si>
    <t>University of Hawaii System; University of Hawaii Manoa; University of California System; University of California San Diego; Scripps Institution of Oceanography; National Academy of Sciences Ukraine; University of Texas System; University of Texas Austin; California Institute of Technology; National Aeronautics &amp; Space Administration (NASA); NASA Jet Propulsion Laboratory (JPL); State University System of Florida; University of South Florida</t>
  </si>
  <si>
    <t>Maximenko, N (corresponding author), Univ Hawaii Manoa, IPRC, SOEST, 1680 East West Rd,POST Bldg 401, Honolulu, HI 96822 USA.</t>
  </si>
  <si>
    <t>maximenk@hawaii.edu</t>
  </si>
  <si>
    <t>Chambers, Don/0000-0002-5439-0257; Maximenko, Nikolai/0000-0001-6017-6807; Zlotnicki, Victor/0000-0002-1983-7930</t>
  </si>
  <si>
    <t>NASA Ocean Surface Topography Science Team; NSF [OCE05-50853]; Japan Agency for Marine-Earth Science and Technology (JAMSTEC); NASA [NNX07AG53G]; NOAA [NA17RJ1230]; ARO [W911NF-05-1-0055]; ONR [N00014-07-11065]</t>
  </si>
  <si>
    <t>NASA Ocean Surface Topography Science Team(National Aeronautics &amp; Space Administration (NASA)); NSF(National Science Foundation (NSF)); Japan Agency for Marine-Earth Science and Technology (JAMSTEC); NASA(National Aeronautics &amp; Space Administration (NASA)); NOAA(National Oceanic Atmospheric Admin (NOAA) - USA); ARO; ONR(Office of Naval Research)</t>
  </si>
  <si>
    <t>This work was supported by the NASA Ocean Surface Topography Science Team and NASA GRACE Science Team. N.M. and O.M. were also supported by NSF Grant OCE05-50853, the Japan Agency for Marine-Earth Science and Technology (JAMSTEC), NASA through Grant NNX07AG53G, and NOAA through Grant NA17RJ1230. NASA and NOAA sponsor research at the International Pacific Research Center. B. G. was partly supported by ARO Grant W911NF-05-1-0055 and ONR Grant N00014-07-11065. Satellite altimetry data were acquired from the Aviso and drifter data from the NOAA AOML. Help of Dr. Yoo-Yin Kim is gratefully acknowledged.</t>
  </si>
  <si>
    <t>10.1175/2009JTECHO672.1</t>
  </si>
  <si>
    <t>497WY</t>
  </si>
  <si>
    <t>WOS:000270096400013</t>
  </si>
  <si>
    <t>Holte, J; Talley, L</t>
  </si>
  <si>
    <t>Holte, James; Talley, Lynne</t>
  </si>
  <si>
    <t>A New Algorithm for Finding Mixed Layer Depths with Applications to Argo Data and Subantarctic Mode Water Formation</t>
  </si>
  <si>
    <t>SURFACE-LAYER; OCEAN; SEA; INTERMEDIATE; VARIABILITY; SIMULATION; CONVECTION; TRANSPORT</t>
  </si>
  <si>
    <t>A new hybrid method for finding the mixed layer depth (MLD) of individual ocean profiles models the general shape of each profile, searches for physical features in the profile, and calculates threshold and gradient MLDs to assemble a suite of possible MLD values. It then analyzes the patterns in the suite to select a final MLD estimate. The new algorithm is provided in online supplemental materials. Developed using profiles from all oceans, the algorithm is compared to threshold methods that use the C. de Boyer Monte gut et al. criteria and to gradient methods using 13 601 Argo profiles from the southeast Pacific and southwest Atlantic Oceans. In general, the threshold methods find deeper MLDs than the new algorithm and the gradient methods produce more anomalous MLDs than the new algorithm. When constrained to using only temperature profiles, the algorithm offers a clear improvement over the temperature threshold and gradient methods; the new temperature algorithm MLDs more closely approximate the density algorithm MLDs than the temperature threshold and gradient MLDs. The algorithm is applied to profiles from a formation region of Subantarctic Mode Water (SAMW) and Antarctic Intermediate Water (AAIW). The density algorithm finds that the deepest MLDs in this region routinely reach 500 dbar and occur north of the A. H. Orsi et al. mean Subantarctic Front in the southeastern Pacific Ocean. The deepest MLDs typically occur in August and September and are congruent with the subsurface salinity minimum, a signature of AAIW.</t>
  </si>
  <si>
    <t>[Holte, James; Talley, Lynne] Univ Calif San Diego, Scripps Inst Oceanog, La Jolla, CA 92093 USA</t>
  </si>
  <si>
    <t>Holte, J (corresponding author), Univ Calif San Diego, Scripps Inst Oceanog, 9500 Gilman Dr,Mail Code 0208, La Jolla, CA 92093 USA.</t>
  </si>
  <si>
    <t>jholte@ucsd.edu</t>
  </si>
  <si>
    <t>Talley, Lynne/0000-0003-1574-729X</t>
  </si>
  <si>
    <t>NSF Ocean Sciences Division [OCE-0327544]</t>
  </si>
  <si>
    <t>NSF Ocean Sciences Division(National Science Foundation (NSF))</t>
  </si>
  <si>
    <t>NSF Ocean Sciences Division Grant OCE-0327544 supported this work. Harold Freeland of IOS, Sidney, BC, pioneered the deployment of Argo floats in the southeast Pacific. Shenfu Dong kindly provided us with plots of algorithm and threshold MLDs for the entire Southern Ocean. Sharon Escher helped refine the algorithm's coding. Three anonymous reviewers provided many useful comments that greatly improved the manuscript.</t>
  </si>
  <si>
    <t>10.1175/2009JTECHO543.1</t>
  </si>
  <si>
    <t>WOS:000270096400014</t>
  </si>
  <si>
    <t>Jarvis, MJ</t>
  </si>
  <si>
    <t>Jarvis, M. J.</t>
  </si>
  <si>
    <t>Longitudinal variation in E- and F-region ionospheric trends</t>
  </si>
  <si>
    <t>Ionosphere; Trend; Planetary wave; Longitudinal</t>
  </si>
  <si>
    <t>NONMIGRATING DIURNAL TIDES; LONG-TERM TRENDS; UPPER-ATMOSPHERE; ELECTRON-CONCENTRATION; PEAK HEIGHT; MODEL; MIDLATITUDES; F2-LAYER; MIDDLE; SOLAR</t>
  </si>
  <si>
    <t>A novel technique is used to examine northern hemisphere midlatitude longitudinal variations in ionospheric long-term trends. Differences in hour-by-hour monthly median ionospheric parameters between equilatitudinal observatory pairs are analysed for long-term trends, thus eliminating at source the large solar cycle and geomagnetic variability that normally hinders ionospheric trend calculations. The results confirm the finding of Bremer [1998. Trends in the ionsopheric E- and F-regions over Europe. Annales Geophysicae 16, 698-996] that there are longitudinal variations in the F-region altitude trend across Europe, but suggest the influence of a stationary wave-like feature between 3 degrees W and 104 degrees E. Possible causes such as scaling errors, insufficient account of changes in ionisation underlying the F-region, varying gravity wave fluxes, and secular change in the geomagnetic field are ruled out. The data suggest that the longitudinal variation may reflect long-term changes in a large-scale stationary feature induced via non-migrating tides induced by latent heat release in the troposphere. Significant differences in the long-term trend of E-region peak plasma frequency between observatories were also found. These E-region differential trends varied with solar zenith angle reaching over 0.3 MHz per decade between Juliusruh and Moscow at midday in summer. (C) 2008 Elsevier Ltd. All rights reserved.</t>
  </si>
  <si>
    <t>Jarvis, MJ (corresponding author), British Antarctic Survey, Madingley Rd, Cambridge CB3 0ET, England.</t>
  </si>
  <si>
    <t>m.jarvis@bas.ac.uk</t>
  </si>
  <si>
    <t>10.1016/j.jastp.2008.05.017</t>
  </si>
  <si>
    <t>497HC</t>
  </si>
  <si>
    <t>WOS:000270048300002</t>
  </si>
  <si>
    <t>Green, JA; Boyd, IL; Woakes, AJ; Warren, NL; Butler, PJ</t>
  </si>
  <si>
    <t>Green, Jonathan A.; Boyd, Ian L.; Woakes, Anthony J.; Warren, Nicholas L.; Butler, Patrick J.</t>
  </si>
  <si>
    <t>Evaluating the prudence of parents: daily energy expenditure throughout the annual cycle of a free-ranging bird, the macaroni penguin Eudyptes chrysolophus</t>
  </si>
  <si>
    <t>JOURNAL OF AVIAN BIOLOGY</t>
  </si>
  <si>
    <t>METABOLIC-RATE; HEART-RATE; FOOD-REQUIREMENTS; SEASONAL-CHANGES; DIVING BEHAVIOR; ENERGETICS; BUDGETS; LIMITS; FIELD; ADJUSTMENTS</t>
  </si>
  <si>
    <t>We measured daily energy expenditure (DEE) continuously for a whole year in a free ranging bird, the macaroni penguin Eudyptes chrysolophus. We combined these measurements with concurrently recorded foraging behaviour, and literature information on body mass and dietary factors to estimate prey consumption rates and foraging success. DEE was at a maximum during late chick-rearing but was equally high during all other active phases of the breeding season. DEE was approximately 4xresting metabolic rate, which accords with established theory and suggests a common 'energetic ceiling' throughout the summer period. However, whether this represents a maximum in physiological capacity, or a rate which optimises fitness is still unclear. Rates of prey consumption and foraging success followed different patterns from daily energy expenditure. Daily prey consumption was high as the penguins prepared for long fasts associated with moulting and incubation but relatively low during chick-rearing, when foraging areas were restricted and foraging success lower. It appears that the energy intake of macaroni penguins is subject to extrinisic or environmental constraints rather than to intrinsic physiological limits.</t>
  </si>
  <si>
    <t>[Green, Jonathan A.; Woakes, Anthony J.; Butler, Patrick J.] Univ Birmingham, Sch Biosci, Birmingham B15 2TT, W Midlands, England; [Green, Jonathan A.] La Trobe Univ, Dept Zool, Melbourne, Vic 3086, Australia; [Boyd, Ian L.] Univ St Andrews, Sea Mamm Res Unit, St Andrews KY16 8LB, Fife, Scotland; [Warren, Nicholas L.] Brit Antarctic Surv, Cambridge CB3 0ET, England</t>
  </si>
  <si>
    <t>University of Birmingham; La Trobe University; University of St Andrews; UK Research &amp; Innovation (UKRI); Natural Environment Research Council (NERC); NERC British Antarctic Survey</t>
  </si>
  <si>
    <t>Green, JA (corresponding author), Univ Liverpool, Sch Biol Sci, Crown St, Liverpool L69 7ZB, Merseyside, England.</t>
  </si>
  <si>
    <t>jonathan.green@liverpool.ac.uk</t>
  </si>
  <si>
    <t>Green, Jonathan A/B-8799-2011; Woakes, Anthony/JYD-0387-2024</t>
  </si>
  <si>
    <t>Green, Jonathan A/0000-0001-8692-0163;</t>
  </si>
  <si>
    <t>Natural Environment Research Council (NERC); Natural Environment Research Council [smru10001, bas010017] Funding Source: researchfish; NERC [bas010017] Funding Source: UKRI</t>
  </si>
  <si>
    <t>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</si>
  <si>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C. Green who assisted in the retrieval of the data loggers, and the rest of the science team at Bird Island, especially J. Tanton. The authors also thank Drs K. Reid and P. Trathan from the British Antarctic Survey (BAS) for sharing unpublished data on macaroni penguin diet and La Trobe University for support to J.A.G. during the writing of this article. Thank you to D. Gremillet, S. Portugal, L. Halsey, C. White and the anonymous referees who commented on various drafts of this article. This work was funded by a grant from the Natural Environment Research Council (NERC) under their Antarctic Funding Initiative (AFI) to P.J.B, I.L.B and A.J.W. with logistical support provided by BAS.</t>
  </si>
  <si>
    <t>0908-8857</t>
  </si>
  <si>
    <t>1600-048X</t>
  </si>
  <si>
    <t>J AVIAN BIOL</t>
  </si>
  <si>
    <t>J. Avian Biol.</t>
  </si>
  <si>
    <t>10.1111/j.1600-048X.2009.04639.x</t>
  </si>
  <si>
    <t>498XL</t>
  </si>
  <si>
    <t>WOS:000270179100008</t>
  </si>
  <si>
    <t>Tjorve, KMC; García-Peña, GE; Székely, T</t>
  </si>
  <si>
    <t>Tjorve, Kathleen M. C.; Garcia-Pena, Gabriel E.; Szekely, Tamas</t>
  </si>
  <si>
    <t>Chick growth rates in Charadriiformes: comparative analyses of breeding climate, development mode and parental care</t>
  </si>
  <si>
    <t>STINT CALIDRIS-MINUTA; ENERGETIC IMPLICATIONS; TAIMYR PENINSULA; SEXUAL CONFLICT; TIME BUDGETS; ENVIRONMENT; SHOREBIRDS; TEMPERATE; PATTERNS; WEATHER</t>
  </si>
  <si>
    <t>The rate at which a young bird grows is highly diverse across taxa. We investigated the influences of ecological variables on growth rates of shorebirds, gulls and their allies (order Charadriiformes) using comparative analyses of 68 species. We investigated three hypotheses: (1) exposure to cold temperatures results in reduced growth rate due to the increased energy expenditure required for thermoregulation, (2) fast growth rates allow offspring to complete development in habitats with short periods of fair ecological conditions, and (3) parental feeding allows the offspring to grow faster than self-feeding offspring. Charadriiform species are suitable for testing these hypotheses, because they breed in diverse environmental conditions that include Arctic and Antarctic habitats, temperate zones and tropics, and in some species the offspring feed themselves (precocial) whereas in others they are fed by the parents (semi-precocial). First, we tested the influence of ambient temperature on growth rate and we found that species breeding in cold habitats had faster growth rates than species breeding in warm temperatures. The relationship between growth rate and ambient temperature was not significantly different between precocial and semi-precocial offspring. Second, we tested the influence of the length of the breeding season on growth rate, and we found that species with shorter breeding seasons had faster growth rates than species with longer breeding seasons. Finally, we show that precocial offspring grew slower than semi-precocial offspring, and this relationship remains significant when the influences of ambient temperature and breeding season length are statistically controlled. In conclusion, our work, using phylogenetically corrected models, confirms that ambient environment and developmental mode of young together influence the growth of Charadriiform chicks, and their effects are additive.</t>
  </si>
  <si>
    <t>[Tjorve, Kathleen M. C.] Lillehammer Univ Coll, N-2624 Lillehammer, Norway; [Garcia-Pena, Gabriel E.; Szekely, Tamas] Univ Bath, Bath BA2 7AY, Avon, England</t>
  </si>
  <si>
    <t>Inland Norway University of Applied Sciences; University of Bath</t>
  </si>
  <si>
    <t>Tjorve, KMC (corresponding author), Lillehammer Univ Coll, N-2624 Lillehammer, Norway.</t>
  </si>
  <si>
    <t>kathy.tjorve@hil.no</t>
  </si>
  <si>
    <t>Peña, Gabriel Ernesto García/CAA-2684-2022; Peña, Gabriel Ernesto García/AAG-5250-2019; García Peña, Gabriel Ernesto/K-6902-2015; Szekely, Tamas/I-7089-2016</t>
  </si>
  <si>
    <t>Peña, Gabriel Ernesto García/0000-0002-3515-6908; Peña, Gabriel Ernesto García/0000-0002-3515-6908; García Peña, Gabriel Ernesto/0000-0002-3515-6908; Szekely, Tamas/0000-0003-2093-0056</t>
  </si>
  <si>
    <t>Consejo Nacional de Ciencia y Tecnologia (CONACYT) [172784]; European Community [FP6/2002-2006, 28696]; [NE/C004167/1]</t>
  </si>
  <si>
    <t>Consejo Nacional de Ciencia y Tecnologia (CONACYT)(Consejo Nacional de Ciencia y Tecnologia (CONACyT)); European Community;</t>
  </si>
  <si>
    <t>Gabriel E. Garcia-Pena was sponsored by Consejo Nacional de Ciencia y Tecnologia (CONACYT) (scholarship 172784) during his PhD. TS was supported by NE/C004167/1 and the European Community's Sixth Framework Progr. (FP6/2002-2006) under contract n. 28696. We thank members of the Biodiv. Lab. in the Univ. of Bath for their insightful comments on earlier drafts. We thank the SAS Institute for providing a student license to G. E. Garcia-Pena using SAS 9.1.3 software.</t>
  </si>
  <si>
    <t>10.1111/j.1600-048X.2009.04661.x</t>
  </si>
  <si>
    <t>WOS:000270179100010</t>
  </si>
  <si>
    <t>Halberg, KA; Persson, D; Ramlov, H; Westh, P; Kristensen, RM; Mobjerg, N</t>
  </si>
  <si>
    <t>Halberg, Kenneth Agerlin; Persson, Dennis; Ramlov, Hans; Westh, Peter; Kristensen, Reinhardt Mobjerg; Mobjerg, Nadja</t>
  </si>
  <si>
    <t>Cyclomorphosis in Tardigrada: adaptation to environmental constraints</t>
  </si>
  <si>
    <t>cyclomorphosis; environmental stress; freeze tolerance; Halobiotus crispae; invertebrate; osmoregulation; tardigrade; volume regulation</t>
  </si>
  <si>
    <t>NEMATODE PANAGROLAIMUS-DAVIDI; DIFFERENTIAL SCANNING CALORIMETRY; TOLERANT ANTARCTIC NEMATODE; MILNESIUM-TARDIGRADUM; ICE FORMATION; RICHTERSIUS-CORONIFER; ADORYBIOTUS-CORONIFER; ALPINE WETA; FREEZE; OSMOREGULATION</t>
  </si>
  <si>
    <t>Tardigrades exhibit a remarkable resilience against environmental extremes. In the present study, we investigate mechanisms of survival and physiological adaptations associated with sub-zero temperatures and severe osmotic stress in two commonly found cyclomorphic stages of the marine eutardigrade Halobiotus crispae. Our results show that only animals in the so-called pseudosimplex 1 stage are freeze tolerant. In pseudosimplex 1, as well as active-stage animals kept at a salinity of 20 ppt, ice formation proceeds rapidly at a crystallization temperature of around -20 degrees C, revealing extensive supercooling in both stages, while excluding the presence of physiologically relevant ice-nucleating agents. Experiments on osmotic stress tolerance show that the active stage tolerates the largest range of salinities. Changes in body volume and hemolymph osmolality of active-stage specimens (350-500 mu m) were measured following salinity transfers from 20ppt. Hemolymph osmolality at 20ppt was approximately 950 mOsm kg(-1). Exposure to hypo-osmotic stress in 2 and 10 ppt caused ( 1) rapid swelling followed by a regulatory volume decrease, with body volume reaching control levels after 48 h and ( 2) decrease in hemolymph osmolality followed by a stabilization at significantly lower osmolalities. Exposure to hyperosmotic stress in 40 ppt caused ( 1) rapid volume reduction, followed by a regulatory increase, but with a new steady-state after 24 h below control values and ( 2) significant increase in hemolymph osmolality. At any investigated external salinity, active-stage H. crispae hyper-regulate, indicating a high water turnover and excretion of dilute urine. This is likely a general feature of eutardigrades.</t>
  </si>
  <si>
    <t>[Halberg, Kenneth Agerlin; Persson, Dennis; Mobjerg, Nadja] Univ Copenhagen, Dept Biol, DK-2100 Copenhagen O, Denmark; [Persson, Dennis; Kristensen, Reinhardt Mobjerg] Nat Hist Museum Denmark, Zool Museum, Invertebrate Dept, DK-2100 Copenhagen O, Denmark; [Ramlov, Hans; Westh, Peter] Univ Roskilde, Dept Nat Syst &amp; Models, DK-4000 Roskilde, Denmark</t>
  </si>
  <si>
    <t>University of Copenhagen; Roskilde University</t>
  </si>
  <si>
    <t>Mobjerg, N (corresponding author), Univ Copenhagen, Dept Biol, August Krogh Bldg,Univ Pk 13, DK-2100 Copenhagen O, Denmark.</t>
  </si>
  <si>
    <t>nmobjerg@bio.ku.dk</t>
  </si>
  <si>
    <t>Westh, Peter/AAR-9731-2021; Persson, Dennis K/J-4897-2016; Halberg, Kenneth/J-5895-2012; Møbjerg, Nadja/AAT-4788-2021; Kristensen, Reinhardt Mobjerg/A-8772-2013</t>
  </si>
  <si>
    <t>Persson, Dennis K/0000-0003-2785-5490; Møbjerg, Nadja/0000-0002-5845-9047; Kristensen, Reinhardt Mobjerg/0000-0001-9549-1188; Halberg, Kenneth/0000-0002-5903-7196; Ramlov, Hans/0000-0003-1113-0583; Westh, Peter/0000-0002-6185-0637</t>
  </si>
  <si>
    <t>Carlsberg Foundation; 2008 Faculty of Science, University of Copenhagen Freja-Programme</t>
  </si>
  <si>
    <t>Carlsberg Foundation(Carlsberg Foundation); 2008 Faculty of Science, University of Copenhagen Freja-Programme</t>
  </si>
  <si>
    <t>We would like to thank the crew onboard the research vessel R/W Porsild ( Arctic Station, Qeqertarsuaq, Greenland) who made the collection at the type locality, Nipisat, possible. Funding came from the Carlsberg Foundation and from the 2008 Faculty of Science, University of Copenhagen Freja-Programme.</t>
  </si>
  <si>
    <t>10.1242/jeb.029413</t>
  </si>
  <si>
    <t>483UY</t>
  </si>
  <si>
    <t>WOS:000268995100019</t>
  </si>
  <si>
    <t>Elnitsky, MA; Benoit, JB; Lopez-Martinez, G; Denlinger, DL; Lee, RE</t>
  </si>
  <si>
    <t>Elnitsky, Michael A.; Benoit, Joshua B.; Lopez-Martinez, Giancarlo; Denlinger, David L.; Lee, Richard E., Jr.</t>
  </si>
  <si>
    <t>Osmoregulation and salinity tolerance in the Antarctic midge, Belgica antarctica: seawater exposure confers enhanced tolerance to freezing and dehydration</t>
  </si>
  <si>
    <t>osmotic stress; dehydration; cold-hardiness; Antarctica; Chironomidae</t>
  </si>
  <si>
    <t>ONYCHIURUS-ARCTICUS TULLBERG; OXYGEN-CONSUMPTION; DROUGHT ACCLIMATION; COLD-HARDINESS; WATER-STRESS; HEAT-SHOCK; DESICCATION; TREHALOSE; PHYSIOLOGY; OSMOLYTES</t>
  </si>
  <si>
    <t>Summer storms along the Antarctic Peninsula can cause microhabitats of the terrestrial midge Belgica antarctica to become periodically inundated with seawater from tidal spray. As microhabitats dry, larvae may be exposed to increasing concentrations of seawater. Alternatively, as a result of melting snow or following rain, larvae may be immersed in freshwater for extended periods. The present study assessed the tolerance and physiological response of B. antarctica larvae to salinity exposure, and examined the effect of seawater acclimation on their subsequent tolerance of freezing, dehydration and heat shock. Midge larvae tolerated extended exposure to hyperosmotic seawater; nearly 50% of larvae survived a 10-day exposure to 1000mOsm kg(-1) seawater and similar to 25% of larvae survived 6 days in 2000mOsm kg(-1) seawater. Exposure to seawater drastically reduced larval body water content and increased hemolymph osmolality. By contrast, immersion in freshwater did not affect water content or hemolymph osmolality. Hyperosmotic seawater exposure, and the accompanying osmotic dehydration, resulted in a significant correlation between the rate of oxygen consumption and larval water content and induced the de novo synthesis and accumulation of several organic osmolytes. A 3-day exposure of larvae to hyperosmotic seawater increased freezing tolerance relative to freshwater-acclimated larvae. Even after rehydration, the freezing survival of larvae acclimated to seawater was greater than freshwater-acclimated larvae. Additionally, seawater exposure increased the subsequent tolerance of larvae to dehydration. Our results further illustrate the similarities between these related, yet distinct, forms of osmotic stress and add to the suite of physiological responses used by larvae to enhance survival in the harsh and unpredictable Antarctic environment.</t>
  </si>
  <si>
    <t>[Elnitsky, Michael A.] Mercyhurst Coll, Dept Biol, Erie, PA 16546 USA; [Elnitsky, Michael A.; Lee, Richard E., Jr.] Miami Univ, Dept Zool, Oxford, OH 45056 USA; [Benoit, Joshua B.; Lopez-Martinez, Giancarlo; Denlinger, David L.] Ohio State Univ, Dept Entomol, Columbus, OH 43210 USA</t>
  </si>
  <si>
    <t>University System of Ohio; Miami University; University System of Ohio; Ohio State University</t>
  </si>
  <si>
    <t>Elnitsky, MA (corresponding author), Mercyhurst Coll, Dept Biol, Erie, PA 16546 USA.</t>
  </si>
  <si>
    <t>melnitsky@mercyhurst.edu</t>
  </si>
  <si>
    <t>Lopez-Martinez, Giancarlo/AAE-8134-2020; Lopez-Martinez, Giancarlo/D-1718-2011</t>
  </si>
  <si>
    <t>Lopez-Martinez, Giancarlo/0000-0002-7937-5002; Lopez-Martinez, Giancarlo/0000-0002-7937-5002</t>
  </si>
  <si>
    <t>Office of Polar Programs (OPP); Directorate For Geosciences [0837613] Funding Source: National Science Foundation</t>
  </si>
  <si>
    <t>Office of Polar Programs (OPP); Directorate For Geosciences(National Science Foundation (NSF)NSF - Directorate for Geosciences (GEO))</t>
  </si>
  <si>
    <t>10.1242/jeb.034173</t>
  </si>
  <si>
    <t>WOS:000268995100027</t>
  </si>
  <si>
    <t>Dmitryjuk, M; Lopienska-Biernat, E; Farjan, M</t>
  </si>
  <si>
    <t>Dmitryjuk, M.; Lopienska-Biernat, E.; Farjan, M.</t>
  </si>
  <si>
    <t>The level of sugars and synthesis of trehalose in Ascaris suum tissues</t>
  </si>
  <si>
    <t>JOURNAL OF HELMINTHOLOGY</t>
  </si>
  <si>
    <t>ANTARCTIC NEMATODE; PURIFICATION; METABOLISM; PATHWAY; TREHALOSE-6-PHOSPHATE; ANHYDROBIOSIS; SURVIVAL; ENZYMES; ELEGANS; ENCODE</t>
  </si>
  <si>
    <t>The activities of trehalose-6-phosphate synthase (TPS) and trehalose-6-phosphate phosphatase (TPP) were observed in muscles, individual parts of the reproductive system and haemolymph of Ascaris sump. The highest activity of TPS was detected in the upper uterus, while the lowest activity of TPS was detected in the ovary and oviduct of the nematode. Relatively high activity was detected in muscles, haemolymph and two remaining parts of the uterus. The TPP activity was the highest in lower length of the uterus, following muscles, ovary, central and upper uterus. The lowest activity of TPP was detected in the haemolymph and oviduct of A. sump. Besides TPS and TPP, trehalose was also detected in the studied tissues except the cuticle and the intestine. Glucose was present in all organs, but the highest concentration was found in the cuticle and intestine.</t>
  </si>
  <si>
    <t>[Dmitryjuk, M.; Lopienska-Biernat, E.; Farjan, M.] Univ Warmia &amp; Mazury, Dept Biochem, Fac Biol, PL-10957 Olsztyn, Poland</t>
  </si>
  <si>
    <t>University of Warmia &amp; Mazury</t>
  </si>
  <si>
    <t>Dmitryjuk, M (corresponding author), Univ Warmia &amp; Mazury, Dept Biochem, Fac Biol, Oczapowskiego 1A, PL-10957 Olsztyn, Poland.</t>
  </si>
  <si>
    <t>m.dmit@uwm.edu.pl</t>
  </si>
  <si>
    <t>Łopieńska-Biernat, Elzbieta/AAN-6140-2020; /H-1516-2012</t>
  </si>
  <si>
    <t>Łopieńska-Biernat, Elzbieta/0000-0003-3265-5207; Dmitryjuk, Malgorzata/0000-0002-9986-3847</t>
  </si>
  <si>
    <t>Ministry of Education and Science [2PO04C 124 29]</t>
  </si>
  <si>
    <t>This research was supported by the Ministry of Education and Science, grant no. 2PO04C 124 29, from 2005 to 2008.</t>
  </si>
  <si>
    <t>EDINBURGH BLDG, SHAFTESBURY RD, CB2 8RU CAMBRIDGE, ENGLAND</t>
  </si>
  <si>
    <t>0022-149X</t>
  </si>
  <si>
    <t>1475-2697</t>
  </si>
  <si>
    <t>J HELMINTHOL</t>
  </si>
  <si>
    <t>J. Helminthol.</t>
  </si>
  <si>
    <t>10.1017/S0022149X08165178</t>
  </si>
  <si>
    <t>Parasitology; Zoology</t>
  </si>
  <si>
    <t>483PD</t>
  </si>
  <si>
    <t>WOS:000268978800006</t>
  </si>
  <si>
    <t>Shuckburgh, E; Jones, H; Marshall, J; Hill, C</t>
  </si>
  <si>
    <t>Shuckburgh, Emily; Jones, Helen; Marshall, John; Hill, Chris</t>
  </si>
  <si>
    <t>Robustness of an Effective Diffusivity Diagnostic in Oceanic Flows</t>
  </si>
  <si>
    <t>ANTARCTIC CIRCUMPOLAR CURRENT; SOUTHERN-OCEAN; GENERAL-CIRCULATION; SATELLITE ALTIMETRY; EDDY TRANSPORTS; TRACER TRANSPORT; TEMPORAL-CHANGES; CLIMATE-CHANGE; MEAN FLOW; PART I</t>
  </si>
  <si>
    <t>The robustness of Nakamura's effective diffusivity diagnostic for quantifying eddy diffusivities of tracers within a streamwise-average framework is carefully examined in an oceanographic context, and the limits of its applicability are detailed. The near-surface Southern Ocean geostrophic flow, obtained from altimetric observations, is chosen for particular examination since it exhibits strong eddy activity. Careful analysis indicates that the effective diffusivity calculation is not strongly sensitive to the resolution of the velocity field or to the tracer initial conditions (after a spinup time of 3 months), and that a numerical diffusivity of 50 m (2) s(-1) is appropriate to resolve the Batchelor scale at a computational resolution of 1/20 degrees. The spatial variability of the effective diffusivity is examined and shown to be related to the eddy kinetic energy (EKE), mean zonal current (u), and phase speed of the eddies (c), following the streamwise averge of EKE/(u - c)(2), in agreement with linear baroclinic instability theory. The temporal variability of the effective diffusivity over the period 1996-2001 indicates significant variability on seasonal time scales with a magnitude of +/-10% -15%. Interannual variations are investigated and discussed in the context of changes in the wind stress associated with the southern annular mode.</t>
  </si>
  <si>
    <t>[Shuckburgh, Emily] British Antarctic Survey, Cambridge CB3 0ET, England; [Jones, Helen; Marshall, John; Hill, Chris] MIT, Dept Earth Atmospher &amp; Planetary Sci, Cambridge, MA USA</t>
  </si>
  <si>
    <t>UK Research &amp; Innovation (UKRI); Natural Environment Research Council (NERC); NERC British Antarctic Survey; Massachusetts Institute of Technology (MIT)</t>
  </si>
  <si>
    <t>Jones, Helen/C-6798-2013</t>
  </si>
  <si>
    <t>Shuckburgh, Emily/0000-0001-9206-3444</t>
  </si>
  <si>
    <t>Natural Environment Research Council [bas0100028] Funding Source: researchfish; NERC [bas0100028] Funding Source: UKRI</t>
  </si>
  <si>
    <t>10.1175/2009JPO4122.1</t>
  </si>
  <si>
    <t>496WL</t>
  </si>
  <si>
    <t>WOS:000270010500001</t>
  </si>
  <si>
    <t>Understanding the Regional Variability of Eddy Diffusivity in the Pacific Sector of the Southern Ocean</t>
  </si>
  <si>
    <t>ANTARCTIC CIRCUMPOLAR CURRENT; SATELLITE ALTIMETRY; TRANSPORT BARRIERS; MULTIPLE JETS; ZONAL JETS; MEAN FLOW; MODEL; STRATOSPHERE; EDDIES; LAYER</t>
  </si>
  <si>
    <t>A diagnostic framework is presented, based on the Nakamura effective diffusivity, to investigate the regional variation in eddy diffusivity. Comparison of three different diffusivity calculations enables the effects of locally enhanced tracer diffusion to be distinguished from the streamwise average. It also enables the distinction to be made between locally generated complexity in the tracer structure and that advected into a particular domain. The technique is applied to the Pacific sector of the Southern Ocean. The results highlight the important role that the mean flow plays in determining eddy diffusivity. The effective diffusivity is not simply related to the eddy kinetic energy: in regions of a strong mean flow the eddy diffusivity can be suppressed even in the presence of moderately strong eddy activity; conversely, in a region of weak mean flow the eddy diffusivity can be enhanced even in the presence of only weak eddy activity. This casts doubt on the ability of parameterizations based solely on the eddy kinetic energy to adequately characterize the eddy diffusivity in regions of strongly varying mean flow such as the Southern Ocean. The results are, however, consistent with the eddy transport and mixing variability predicted by potential-vorticity-based arguments.</t>
  </si>
  <si>
    <t>National Science Foundation (Polar Program); NERC [bas0100028] Funding Source: UKRI; Natural Environment Research Council [bas0100028] Funding Source: researchfish</t>
  </si>
  <si>
    <t>National Science Foundation (Polar Program)(National Science Foundation (NSF)); NERC(UK Research &amp; Innovation (UKRI)Natural Environment Research Council (NERC)); Natural Environment Research Council(UK Research &amp; Innovation (UKRI)Natural Environment Research Council (NERC))</t>
  </si>
  <si>
    <t>EFS would like to thank Mike Meredith, Raffaele Ferrari, and Darryn Waugh for helpful discussions. EFS is supported by a Natural Environment Research Council fellowship. JM acknowledges the support of the National Science Foundation (Polar Program). The comments of two anonymous reviewers were very helpful in improving the manuscript.</t>
  </si>
  <si>
    <t>10.1175/2009JPO4115.1</t>
  </si>
  <si>
    <t>WOS:000270010500002</t>
  </si>
  <si>
    <t>Vaillancourt, E; Haman, F; Weber, JM</t>
  </si>
  <si>
    <t>Vaillancourt, Eric; Haman, Francois; Weber, Jean-Michel</t>
  </si>
  <si>
    <t>Fuel selection in Wistar rats exposed to cold: shivering thermogenesis diverts fatty acids from re-esterification to oxidation</t>
  </si>
  <si>
    <t>JOURNAL OF PHYSIOLOGY-LONDON</t>
  </si>
  <si>
    <t>HIGH-ALTITUDE ACCLIMATION; ANTARCTIC FISH-TISSUES; MUSCLE GLYCOGEN; ADIPOSE-TISSUE; CARBOHYDRATE AVAILABILITY; LIPID MOBILIZATION; PLASMA-GLUCOSE; IN-VIVO; HUMANS; EXERCISE</t>
  </si>
  <si>
    <t>This study characterizes the effects of shivering thermogenesis on metabolic fuel selection in Wistar rats. Because lipids account for most of the heat produced, we have investigated: (1) whether the rate of appearance of non-esterified fatty acids (R-a NEFAs) is stimulated by shivering, (2) whether mono-unsaturated (oleate) and saturated fatty acids (palmitate) are affected similarly, and (3) whether the partitioning between fatty acid oxidation and re-esterification is altered by cold exposure. Fuel oxidation was measured by indirect calorimetry and fatty acid mobilization by continuous infusion of 9,10-[H-3]oleate and 1-[C-14]palmitate. During steady-state cold exposure, results show that total heat production is unequally shared by the oxidation of lipids (52% of metabolic rate), carbohydrates (35%) and proteins (13%), and that the same fuel selection pattern is observed at all shivering intensities. All previous research shows that mammals stimulate R-a NEFA to support exercise or shivering. In contrast, results reveal that the R-a NEFA of the rat remains constant during cold exposure (similar to 55 mu mol kg(-1) min(-1)). No preferential use of mono-unsaturated over saturated fatty acids could be demonstrated. The rat decreases its rate of fatty acid re-esterification from 48.4 +/- 6.4 to 19.6 +/- 6.3 mu mol kg(-1) min(-1) to provide energy to shivering muscles. This study is the first to show that mammals do not only increase fatty acid availability for oxidation by stimulating R-a NEFA. Reallocation of fatty acids from re-esterification to oxidation is a novel, alternative strategy used by the rat to support shivering.</t>
  </si>
  <si>
    <t>[Vaillancourt, Eric; Weber, Jean-Michel] Univ Ottawa, Dept Biol, Ottawa, ON K1N 6N5, Canada; [Haman, Francois] Univ Ottawa, Dept Human Kinet, Ottawa, ON K1N 6N5, Canada</t>
  </si>
  <si>
    <t>University of Ottawa; University of Ottawa</t>
  </si>
  <si>
    <t>Vaillancourt, E (corresponding author), Univ Ottawa, Dept Biol, 30 Marie Curie,POB 450,Stn A, Ottawa, ON K1N 6N5, Canada.</t>
  </si>
  <si>
    <t>ericvaillancourt@uottawa.ca</t>
  </si>
  <si>
    <t>Vaillancourt, Eric/HGD-0666-2022</t>
  </si>
  <si>
    <t>Vaillancourt, Eric/0000-0002-1810-126X; Weber, Jean-Michel/0000-0003-2218-2952</t>
  </si>
  <si>
    <t>Natural Sciences and Engineering Research Council of Canada (NSERC)</t>
  </si>
  <si>
    <t>Natural Sciences and Engineering Research Council of Canada (NSERC)(Natural Sciences and Engineering Research Council of Canada (NSERC))</t>
  </si>
  <si>
    <t>We wish to thank Sylvie Emond, Bill Fletcher, Jennifer Keyte and Kim Yates (Animal Care and Veterinary Services, University of Ottawa). E.V. is the recipient of an Alexander Graham Bell Canada Graduate Scholarship from the Natural Sciences and Engineering Research Council of Canada (NSERC) and the study was funded by an NSERC Discovery Grant to J.M.W.</t>
  </si>
  <si>
    <t>0022-3751</t>
  </si>
  <si>
    <t>1469-7793</t>
  </si>
  <si>
    <t>J PHYSIOL-LONDON</t>
  </si>
  <si>
    <t>J. Physiol.-London</t>
  </si>
  <si>
    <t>10.1113/jphysiol.2009.175331</t>
  </si>
  <si>
    <t>Neurosciences; Physiology</t>
  </si>
  <si>
    <t>Neurosciences &amp; Neurology; Physiology</t>
  </si>
  <si>
    <t>489AQ</t>
  </si>
  <si>
    <t>WOS:000269392200029</t>
  </si>
  <si>
    <t>Richoux, NB; Froneman, PW</t>
  </si>
  <si>
    <t>Richoux, Nicole B.; Froneman, P. William</t>
  </si>
  <si>
    <t>Plankton trophodynamics at the subtropical convergence, Southern Ocean</t>
  </si>
  <si>
    <t>PARTICULATE ORGANIC-MATTER; NITROGEN ISOTOPE RATIOS; COMMUNITY STRUCTURE; TROPHIC STRUCTURE; STABLE CARBON; INDIAN-OCEAN; REGION SOUTH; FOOD-WEB; DELTA-C-13; ZOOPLANKTON</t>
  </si>
  <si>
    <t>Stable isotope signatures (delta(13)C, delta(15)N) in zooplankton tissues and particulate organic matter (POM) were determined to assess regional differences in the trophodynamics of zooplankton communities between 38 and 43 degrees S, where the cool nutrient-rich subantarctic waters of the Southern Ocean meet the warm nutrient-poor subtropical waters of the southwest Indian Ocean at the subtropical convergence (STC). Significantly enriched values of delta(15)N were noted in populations of all major zooplankton groups inhabiting the warm and saline water mass north of the STC (maximum surface temperature 21 degrees C), including the euphausiids, salps, amphipods, copepods, ostracods, pyrosomes, pteropods and chaetognaths, compared with those in the cool, less saline southern water mass (minimum surface temperature 11 degrees C). Similar patterns of delta(15)N in POM collected throughout the region suggest that the large changes in zooplankton delta(15)N values across the frontal region are driven by variations in the phytoplankton communities. The differing trophodynamics in communities north and south of the STC provide compelling evidence of distinct bottom-up effects on planktonic food webs which have important implications in the determination of trophic positions and motility of plankton and higher consumers using delta(15)N signatures. Although expected, similar latitudinal variations in delta(13)C signatures were not found.</t>
  </si>
  <si>
    <t>[Richoux, Nicole B.; Froneman, P. William] Rhodes Univ, Dept Zool &amp; Entomol, ZA-6140 Grahamstown, South Africa</t>
  </si>
  <si>
    <t>Rhodes University</t>
  </si>
  <si>
    <t>Richoux, NB (corresponding author), Rhodes Univ, Dept Zool &amp; Entomol, ZA-6140 Grahamstown, South Africa.</t>
  </si>
  <si>
    <t>n.richoux@ru.ac.za</t>
  </si>
  <si>
    <t>Froneman, William/GLS-0460-2022; Froneman, William/C-9085-2012</t>
  </si>
  <si>
    <t>Froneman, William/0000-0003-0615-1355; Richoux, Nicole/0000-0002-9501-6368</t>
  </si>
  <si>
    <t>Department of Environmental Affairs and Tourism (DEAT); South African National Antarctic Program (SANAP); Rhodes University and the University</t>
  </si>
  <si>
    <t>Funding was provided by the Department of Environmental Affairs and Tourism (DEAT) through the South African National Antarctic Program (SANAP) and administered by the National Research Foundation (NRF). Additional funds and facilities from Rhodes University and the University of Cape Town are appreciated.</t>
  </si>
  <si>
    <t>10.1093/plankt/fbp054</t>
  </si>
  <si>
    <t>481JO</t>
  </si>
  <si>
    <t>WOS:000268806200007</t>
  </si>
  <si>
    <t>Hastings, KK; Gelatt, TS; King, JC</t>
  </si>
  <si>
    <t>Hastings, Kelly K.; Gelatt, Tom S.; King, James C.</t>
  </si>
  <si>
    <t>Postbranding Survival of Steller Sea Lion Pups at Lowrie Island in Southeast Alaska</t>
  </si>
  <si>
    <t>JOURNAL OF WILDLIFE MANAGEMENT</t>
  </si>
  <si>
    <t>branding; Eumetopias jubatus; mark-recapture; northern sea lion; pinnipeds; Southeast Alaska; survival</t>
  </si>
  <si>
    <t>ANTARCTIC FUR-SEAL; ARCTOCEPHALUS-PUSILLUS-PUSILLUS; EUMETOPIAS-JUBATUS; POPULATION-DYNAMICS; NEOPHOCA-CINEREA; EARLY MORTALITY; GROWTH; SIZE; TROPICALIS; GAZELLA</t>
  </si>
  <si>
    <t>Steller sea lion (Eumetopias jubatus) pups (n = 366) were hot-branded at Lowrie Island, Southeast Alaska, USA, in June 2001 and 2002 for vital-rates studies. To assess potential mortality following branding, we estimated weekly survival to 12 weeks postbranding using mark-recapture models. Survival estimates ranged from 0.984/week to 0.988/week, or 0.868 over the 12-week period; varied little with sex, year, and capture area; and were higher for larger than smaller male pups and unexpectedly lower for larger than smaller female pups. Inclusion of resights at 1-3 years of age prevented a 24.5% bias in cumulative survival to 12 weeks postbranding by accounting for pups that survived but permanently emigrated from Lowrie Island during the 12-week survey. Data from double-marked pups (i.e., branded and flipper-tagged) indicated the low brand-misreading probability of 3.1% did not bias survival estimates. Assuming survival differences between the first 2 weeks postbranding and later weeks were due entirely to the branding event, potential postbranding mortality of branded pups attributable to the branding event was 0.5-0.7%, or one pup for every 200 marked. Weekly survival of branded pups was nearly identical to estimates from a control group of undisturbed, unbranded pups born to 10-11-year-old branded adult females in 2005 (0.987-0.988/week) and similar to pup survival estimates from other otariid studies. Available data did not indicate substantial mortality to 12 weeks postbranding resulting from the branding disturbance, suggesting branding of Steller sea lion pups can be used effectively for investigations of population declines without significantly affecting population health or study goals. (JOURNAL OF WILDLIFE MANAGEMENT 73(7): 1040-1051; 2009)</t>
  </si>
  <si>
    <t>[Hastings, Kelly K.; Gelatt, Tom S.; King, James C.] Alaska Dept Fish &amp; Game, Div Wildlife Conservat, Anchorage, AK 99518 USA</t>
  </si>
  <si>
    <t>Alaska Department of Fish &amp; Game</t>
  </si>
  <si>
    <t>Hastings, KK (corresponding author), Alaska Dept Fish &amp; Game, Div Wildlife Conservat, 333 Raspberry Rd, Anchorage, AK 99518 USA.</t>
  </si>
  <si>
    <t>kelly.hastings@alaska.gov</t>
  </si>
  <si>
    <t>Alaska Maritime National Wildlife Refuge [358-1564]</t>
  </si>
  <si>
    <t>Alaska Maritime National Wildlife Refuge</t>
  </si>
  <si>
    <t>Special thanks are due G. Pendleton, for the GLIMMIX macro for evaluating factors affecting misreading probabilities, and K. Pitcher for suggesting additional analyses that improved this manuscript. This study was possible because of many individuals and veterinarians who assisted branding operations in Southeast Alaska. We thank the crews of the R/V Medeia and F/V Morningstar for logistic support and the many individuals who collected resight data for this study: J. Womble, E. Van Burgh, N. Pinnell, C. Kaplan, H. Kaplan, K. Blejwas, K. White, S. Newell, R. Daniel, L. Jemison, K. Raum-Suryan, K. Pitcher, G. Snedgen, D. McCallister, G. Pendleton, V. Stegall, and M. Rehberg. Our study benefited greatly from collaborations with A. Trites at the University of British Columbia Marine Mammal Consortium, who provided summer resight data throughout British Columbia, and many other agencies and individuals who provided supplemental resight data (particularly the NMML, the Alaska SeaLife Center, Oregon Department of Fish and Game, K. Wynne, J. Womble, E. Mathews, K. Harris, and D. Okenek). This work was conducted under permits granted by the Alaska Maritime National Wildlife Refuge to ADFG for work at Lowrie Island, and under United States Marine Mammal Permit Number 358-1564 issued to the ADFG, Marine Mammal Program. This manuscript benefited from reviews by G. Pendleton, J. Testa, D. Johnson, and several anonymous reviewers.</t>
  </si>
  <si>
    <t>0022-541X</t>
  </si>
  <si>
    <t>1937-2817</t>
  </si>
  <si>
    <t>J WILDLIFE MANAGE</t>
  </si>
  <si>
    <t>J. Wildl. Manage.</t>
  </si>
  <si>
    <t>10.2193/2007-208</t>
  </si>
  <si>
    <t>490FM</t>
  </si>
  <si>
    <t>WOS:000269484100003</t>
  </si>
  <si>
    <t>Meyer, B; Fuentes, V; Guerra, C; Schmidt, K; Atkinson, A; Spahic, S; Cisewski, B; Freier, U; Olariaga, A; Bathmann, U</t>
  </si>
  <si>
    <t>Meyer, Bettina; Fuentes, Veronica; Guerra, Citlali; Schmidt, Katrin; Atkinson, Angus; Spahic, Susanne; Cisewski, Boris; Freier, Ulrich; Olariaga, Alejandro; Bathmann, Ulrich</t>
  </si>
  <si>
    <t>Physiology, growth, and development of larval krill Euphausia superba in autumn and winter in the Lazarev Sea, Antarctica</t>
  </si>
  <si>
    <t>ENERGY BUDGETS; SOUTHERN-OCEAN; ICE; DYNAMICS; WEST; METABOLISM; ONSET; EXCRETION; ABUNDANCE; COPEPODS</t>
  </si>
  <si>
    <t>The physiological condition of larval Antarctic krill was investigated during austral autumn 2004 and winter 2006 in the Lazarev Sea. The condition of larvae was quantified in both seasons by determining their body length (BL), dry weight (DW), elemental and biochemical composition, stomach content analysis, and rates of metabolism and growth. Overall the larvae in autumn were in better condition under the ice than in open water, and for those under the ice, condition decreased from autumn to winter. Thus, growth rates of furcilia larvae in open water in autumn were similar to winter values under the ice (mean, 0.008 mm d(-1)), whereas autumn under-ice values were higher (0.015 mm d(-1)). Equivalent larval stages in winter had up to 30% shorter BL and 70% lower DW than in autumn. Mean respiration rates of winter larvae were 43% lower than of autumn larvae. However, their ammonium excretion rates doubled in winter from 0.03 to 0.06 mu g NH4 DW-1 h(-1), resulting in mean O:N ratios of 46 in autumn and 15 in winter. Thus, differing metabolic substrates were used between autumn and winter, which supports a degree of flexibility for overwintering of larval krill. The larvae were eating small copepods (Oithona spp.) and protozoans, as well as autotrophic food under the ice. The interplay between under-ice topography, apparent current speed under sea ice, and the swimming ability of larval krill is probably critical to whether larval krill can maintain position and exploit suitable feeding areas under the ice.</t>
  </si>
  <si>
    <t>[Meyer, Bettina; Guerra, Citlali; Spahic, Susanne; Freier, Ulrich; Bathmann, Ulrich] Alfred Wegener Inst Polar &amp; Marine Res, Sci Div Polar Biol Oceanog, Bremerhaven, Germany; [Fuentes, Veronica; Olariaga, Alejandro] Univ Buenos Aires, Dept Biodivers &amp; Expt Biol, Buenos Aires, DF, Argentina; [Schmidt, Katrin; Atkinson, Angus] British Antarctic Survey, NERC, Cambridge CB3 0ET, England; [Cisewski, Boris] Univ Bremen, Inst Environm Phys, Dept Oceanog, D-2800 Bremen 33, Germany</t>
  </si>
  <si>
    <t>Helmholtz Association; Alfred Wegener Institute, Helmholtz Centre for Polar &amp; Marine Research; University of Buenos Aires; UK Research &amp; Innovation (UKRI); Natural Environment Research Council (NERC); NERC British Antarctic Survey; University of Bremen</t>
  </si>
  <si>
    <t>Meyer, B (corresponding author), Alfred Wegener Inst Polar &amp; Marine Res, Sci Div Polar Biol Oceanog, Bremerhaven, Germany.</t>
  </si>
  <si>
    <t>bettina.meyer@awi.de</t>
  </si>
  <si>
    <t>Fuentes, Verónica L/K-7589-2014; Cisewski, Boris/GWV-4320-2022; Meyer, Bettina/ABB-5311-2020; Atkinson, Angus/HOH-3417-2023; Bathmann, Ulrich/ISV-4351-2023</t>
  </si>
  <si>
    <t>Fuentes, Verónica L/0000-0002-6380-0174; Cisewski, Boris/0000-0002-1130-6107; Meyer, Bettina/0000-0001-6804-9896;</t>
  </si>
  <si>
    <t>German Ministry of Education and Science [03F0400A]; Natural Environment Research Council [AFI5/09]</t>
  </si>
  <si>
    <t>German Ministry of Education and Science; Natural Environment Research Council(UK Research &amp; Innovation (UKRI)Natural Environment Research Council (NERC))</t>
  </si>
  <si>
    <t>We thank the captain and crew of RV Polarstern for their professional support on both cruises. We are especially grateful to the diving team and the help of numerous cruise participants who contributed to the success of the first diving activities of the Alfred-Wegener Institute (AWI) in Antarctic winter. We also thank Lutz Auerswald and two anonymous referees for their constructive improvements on the manuscript. We are grateful to the National Aeronautics and Space Administration ( NASA) and the National Oceanic and Atmospheric Administration (NOAA) for the use of satellite-derived Chl a and sea ice data.; This work was supported by funding from the German Ministry of Education and Science through project 03F0400A, Subproject 4, of the Lazarev Sea Krill Study (LAKRIS) Project, and the Natural Environment Research Council (United Kingdom, AFI5/09). The LAKRIS Project is the German contribution to the Southern Ocean-Global Ocean Ecosystem Dynamics (SOGLOBEC) program. The data of the publication are available at: doi:10.1594/PANGAEA.707193.</t>
  </si>
  <si>
    <t>10.4319/lo.2009.54.5.1595</t>
  </si>
  <si>
    <t>475AB</t>
  </si>
  <si>
    <t>WOS:000268325300016</t>
  </si>
  <si>
    <t>Webb, KE; Barnes, DKA; Planke, S</t>
  </si>
  <si>
    <t>Webb, Karen E.; Barnes, David K. A.; Planke, Sverre</t>
  </si>
  <si>
    <t>Pockmarks: Refuges for marine benthic biodiversity</t>
  </si>
  <si>
    <t>PHYSICAL DISTURBANCE; CONTINENTAL-SHELF; WATER CORALS; SEA; HABITAT; GROWTH; COMMUNITIES; MEGAFAUNA; ABUNDANCE; SURVIVAL</t>
  </si>
  <si>
    <t>Pockmarks are one of the most obvious and abundant structural features of the North Sea seabed, yet their influence on fauna is virtually unknown. We report the distribution of benthic megafaunal assemblages in and around four pockmark complexes'' in the North Sea to determine the structure of megafaunal communities inside pockmarks and whether these ubiquitous topographical features acted as refuges against trawling and other disturbances. The study focuses on the large central pockmarks in each of the pockmark complexes. These large pockmarks had depths of around 10 m and diameters of 160-235 m. Remotely operated vehicle video transects showed that megafauna increased in abundance, species richness, and diversity from outside (background seabed) toward the center of the pockmarks. The number of taxa present in the center of pockmarks was approximately double those of similar surrounding areas, and the centers had almost an order of magnitude more individuals than outside. Carbonate rocks were found in the centers of all the pockmarks and may be indicative of their formation (past methane seeps). These rocks also provide novel habitat to fauna: a complex hard substrate for colonization and shelter in an otherwise homogeneous soft sediment environment. Habitat enrichment and morphological protection are suggested to be the main reasons for the increased faunal abundance and species richness. Indeed, despite fishing data showing the area to be intensively disturbed, large slow-growing (old) and vulnerable species, such as gorgonian corals, were found in the center of the pockmarks. Pockmarks may offer important refuges from trawling activity.</t>
  </si>
  <si>
    <t>[Webb, Karen E.; Planke, Sverre] Univ Oslo, Oslo, Norway; [Barnes, David K. A.] British Antarctic Survey, NERC, Cambridge CB3 0ET, England; [Planke, Sverre] VBPR, Oslo, Norway</t>
  </si>
  <si>
    <t>University of Oslo; UK Research &amp; Innovation (UKRI); Natural Environment Research Council (NERC); NERC British Antarctic Survey</t>
  </si>
  <si>
    <t>Webb, KE (corresponding author), Univ Oslo, Oslo, Norway.</t>
  </si>
  <si>
    <t>k.e.webb@bio.uio.no</t>
  </si>
  <si>
    <t>Planke, Sverre/AAE-1721-2021; Webb, Karen/A-5977-2010</t>
  </si>
  <si>
    <t>Planke, Sverre/0000-0001-6128-2193</t>
  </si>
  <si>
    <t>Statoil; Troll license</t>
  </si>
  <si>
    <t>T. I. Tjelta (Statoil), O. Hammer, and H. Svensen (Physics of Geological Processes) provided constructive comments on previous versions of this manuscript, and E. Planke (Volcanic Basin Petroleum Research), J. M. Strout, and C. F. Forsberg (Norwegian Geotechnical Institute) assisted in the fieldwork preparations. We thank D. Jones for his useful advice on the methods of remotely operated vehicle video analysis. We are grateful to Statoil and the Troll license for releasing the data used for this article and their support of this project. The work was carried out as part of the Troll Shallow Gas Project. This article is dedicated to the memory of Professor John S. Gray.</t>
  </si>
  <si>
    <t>10.4319/lo.2009.54.5.1776</t>
  </si>
  <si>
    <t>WOS:000268325300033</t>
  </si>
  <si>
    <t>Niu, YL; O'Hara, MJ</t>
  </si>
  <si>
    <t>Niu, Yaoling; O'Hara, Michael J.</t>
  </si>
  <si>
    <t>MORB mantle hosts the missing Eu (Sr, Nb, Ta and Ti) in the continental crust: New perspectives on crustal growth, crust-mantle differentiation and chemical structure of oceanic upper mantle</t>
  </si>
  <si>
    <t>Eu, Sr, Nb, Ta and Ti anomalies; Plagioclase; Amphibolite; Primitive MORB; Low velocity zone dynamics; Oceanic upper mantle compositional structure; Crust-mantle differentiation; Continental crust growth</t>
  </si>
  <si>
    <t>EAST PACIFIC RISE; GARRETT TRANSFORM-FAULT; RIDGE BASALT CHEMISTRY; RARE-EARTH-ELEMENTS; MID-ATLANTIC RIDGE; TRACE-ELEMENT; PARTITION-COEFFICIENTS; GEOCHEMICAL EVOLUTION; PLAGIOCLASE FELDSPAR; GLOBAL CORRELATIONS</t>
  </si>
  <si>
    <t>We have examined the high quality data of 306 mid-ocean ridge basalt (MORB) glass samples from the East Pacific Rise (EPR), near-EPR seamounts, Pacific Antarctic Ridge (PAR), near-PAR seamounts, Mid-Atlantic Ridge (MAR), and near-MAR seamounts. The data show a correlated variation between Eu/Eu* and Sr/Sr*, and both decrease with decreasing MgO, pointing to the effect of plagioclase crystallization. The observation that samples with MgO&gt;9.5 wt.% (before plagioclase on the liquidus) show Eu/Eu* &gt; 1 and Sr/Sr*&gt; 1 and that none of the major phases (i.e., olivine, orthopyroxene, clinopyroxene, spinet and garnet) in the sub-ridge mantle melting region can effectively fractionate Eu and Sr from otherwise similarly incompatible elements indicates that the depleted MORB mantle (DMM) possesses excess Sr and Eu, i.e., [Sr/Sr*](DMM) &gt; 1 and [Eu/Eu*](DMM) &gt; 1. Furthermore, the well-established observation that D-Nb approximate to D-Th, D-Ta approximate to D-U and D-Ti approximate to D-Sm during MORB mantle melting, yet primitive MORB melts all have [Nb/Th](PM)(MORB) &gt; 1, [Ta/U](PM)(MORB) &gt; 1 and [Ti/Sm](PM)(MORB) &gt; 1 (where (PM) indicates primitive mantle normalized), also points to the presence of excess Nb, Ta and Ti in the DMM, i.e., [Nb/Th](PM)(DMM) &gt; 1, [Ta/U](PM)(DMM) &gt; 1 and [Ti/Sm](PM)(DMM) &gt; 1. The excesses of Eu, Sr, Nb, Ta and Ti in the DMM complement the well-known deficiencies of these elements in the bulk continental crust (BCC). These new observations, which support the notion that the DMM and BCC are complementary in terms of the overall abundances of incompatible elements, offer new insights into the crust-mantle differentiation. These observations are best explained by partial melting of amphibolite of MORB protolith during continental collision, which produces andesitic melts with a remarkable compositional (major and trace element abundances as well as key elemental ratios) similarity to the BCC, as revealed by andesites in southern Tibet produced during the India-Asia continental collision. An average amphibolite of MORB protolith consists of similar to 66.4% amphibole, similar to 29.2% plagioclase and 4.4% ilmenite. In terms of simple modal melting models, the bulk distribution coefficient ratios D2Eu/(Sm + Gd) = 1.21, D2Sr/(Pr + Nd) = 1.04, D-Nb/Th = 44, D-Ta/U = 57, D-Ti/Sm = 339 and D 11b/Ta = 1.30 readily explains the small but significant negative Eu and Sr anomalies, moderate negative Ti anomaly and huge negative Nb and Ta anomalies as well as the more sub-chondritic Nb/Ta ratio in the syncollisional andesitic melt that is characteristic of and contributes to the continental crust mass. These results support the hypothesis that continental collision zones are primary sites of net continental crust growth. whereas the standard island arc model has many more difficulties than certainties. That is, it is the continental collision (vs. island arc magmatism or episodic super mantle avalanche events) that produces and preserves the juvenile crust, and hence maintains net continental growth. The data also allow us to establish the robust composition of depleted and most primitive (or primary) MORB melt with 13% MgO. This, together with the estimated positive Eu and Sr anomalies in the DMM, further permits estimation that the DMM may occupy the uppermost similar to 680 km of the convective mantle following the tradition hat the DMM ties in the shallowest mantle. However, the tradition may be in error. The seismic low velocity zone (LVZ) may be compositionally stratified with small melt fractions concentrated towards the interface with the growing lithosphere because of buoyancy. Such small melt fractions, enriched in volatiles and incompatible elements, continue to metasomatize the growing lithosphere before it reaches the full thickness after similar to 70 Myrs. Hence, the oceanic mantle lithosphere is a huge enriched geochemical reservoir. On the other hand, deep portions of the LVZ, which are thus relatively depleted, become the primary source feeding the ridge because of ridge-suction-driven lateral material supply to form the crust and much of the lithosphere at and in the vicinity of the ridge. (C) 2008 Elsevier B.V. All rights reserved.</t>
  </si>
  <si>
    <t>[Niu, Yaoling] Univ Durham, Dept Earth Sci, Durham DH1 3LE, England; [O'Hara, Michael J.] Aberystwyth Univ, Inst Geog &amp; Earth Sci, Aberystwyth SY23 3DB, Dyfed, Wales</t>
  </si>
  <si>
    <t>Durham University; Aberystwyth University</t>
  </si>
  <si>
    <t>Niu, YL (corresponding author), Univ Durham, Dept Earth Sci, Durham DH1 3LE, England.</t>
  </si>
  <si>
    <t>Yaoling.Niu@durham.ac.uk</t>
  </si>
  <si>
    <t>Niu, Yaoling/GPW-9211-2022; Niu, Yaoling/A-5448-2008</t>
  </si>
  <si>
    <t>Niu, Yaoling/0000-0001-9488-2304</t>
  </si>
  <si>
    <t>1872-6143</t>
  </si>
  <si>
    <t>10.1016/j.lithos.2008.12.009</t>
  </si>
  <si>
    <t>491RJ</t>
  </si>
  <si>
    <t>WOS:000269596600002</t>
  </si>
  <si>
    <t>Morley, SA; Tan, KS; Day, RW; Martin, SM; Pörtner, HO; Peck, LS</t>
  </si>
  <si>
    <t>Morley, Simon Anthony; Tan, Koh Siang; Day, Robert W.; Martin, Stephanie M.; Poertner, Hans-O; Peck, Lloyd S.</t>
  </si>
  <si>
    <t>Thermal dependency of burrowing in three species within the bivalve genus Laternula: a latitudinal comparison</t>
  </si>
  <si>
    <t>UPPER TEMPERATURE TOLERANCES; CLIMATE-CHANGE; EUROPEAN MOLLUSKS; ARENICOLA-MARINA; AERIAL EXPOSURE; SOUTHERN-OCEAN; CAPACITY; LIMITS; ADAPTATION; PATTERNS</t>
  </si>
  <si>
    <t>The upper thermal limits for burrowing and survival were compared with micro-habitat temperature for anomalodesmatan clams: Laternula elliptica (Antarctica, 67A degrees S); Laternula recta, (temperate Australia, 38A degrees S) and Laternula truncata (tropical Singapore, 1A degrees N). Lethal limits (LT50) were higher than burrowing limits (BT50) in L. elliptica (7.5-9.0 and 2.2A degrees C) and L. recta (winter, 32.8-36.8 and 31.1-32.8A degrees C) but the same range for L. truncata (33.0-35.0 and 33.4-34.9A degrees C). L. elliptica and L. truncata had a BT50 0.4 and 2.4-3.9A degrees C, respectively, above their maximum experienced temperature. L. recta, which experience solar heating during midday low tides, had a BT50 0.7-2.4A degrees C below and a range for LT50 that spanned their predicted environmental maximum (33.5A degrees C). L. recta showed no seasonal difference in LT50 or BT50. Our single genus comparisons contrast with macrophysiological studies showing that temperate species cope better with elevated temperatures.</t>
  </si>
  <si>
    <t>[Morley, Simon Anthony; Peck, Lloyd S.] British Antarctic Survey, Nat Environm Res Council, Cambridge CB3 0ET, England; [Tan, Koh Siang] Natl Univ Singapore, Trop Marine Sci Inst, Singapore 119223, Singapore; [Day, Robert W.] Univ Melbourne, Dept Zool, Parkville, Vic 3010, Australia; [Poertner, Hans-O] Alfred Wegener Inst Polar &amp; Marine Res, D-27515 Bremerhaven, Germany</t>
  </si>
  <si>
    <t>UK Research &amp; Innovation (UKRI); Natural Environment Research Council (NERC); NERC British Antarctic Survey; National University of Singapore; University of Melbourne; Helmholtz Association; Alfred Wegener Institute, Helmholtz Centre for Polar &amp; Marine Research</t>
  </si>
  <si>
    <t>Morley, SA (corresponding author), British Antarctic Survey, Nat Environm Res Council, High Cross,Madingley Rd, Cambridge CB3 0ET, England.</t>
  </si>
  <si>
    <t>smor@bas.ac.uk</t>
  </si>
  <si>
    <t>Tan, Koh Siang/GOH-0321-2022; Pörtner, Hans-O./K-9429-2016; , Tan KS/HLW-4582-2023; Day, Robert/K-6052-2012; Pörtner, Hans-O./ISU-9397-2023</t>
  </si>
  <si>
    <t>Tan, Koh Siang/0000-0002-4599-9482; Pörtner, Hans-O./0000-0001-6535-6575; Day, Robert/0000-0001-5913-2292;</t>
  </si>
  <si>
    <t>NERC; Antarctic Funding Initiative [AFI2/34]; A* Star proposal [0821010024]; Natural Environment Research Council [bas010015, dml011000] Funding Source: researchfish; NERC [dml011000, bas010015] Funding Source: UKRI</t>
  </si>
  <si>
    <t>NERC(UK Research &amp; Innovation (UKRI)Natural Environment Research Council (NERC)); Antarctic Funding Initiative; A* Star proposal(Agency for Science Technology &amp; Research (A*STAR)); Natural Environment Research Council(UK Research &amp; Innovation (UKRI)Natural Environment Research Council (NERC)); NERC(UK Research &amp; Innovation (UKRI)Natural Environment Research Council (NERC))</t>
  </si>
  <si>
    <t>This research was funded by NERC core funding to the BAS Bioreach/Bioflame program, the Antarctic Funding Initiative (AFI2/34) and A* Star proposal (SERC project no. 0821010024). We thank the Biodiversity Centre and Sungei Buloh Wetland Reserve (National Parks Board Singapore) and Zoology Department, University of Melbourne for facilitating this project. Antarctic scientific diving was supported by the NERC National Scientific Diving Facility. Pete Rothery provided expert statistical advice. The comments of Pete Convey and two anonymous reviewers improved this manuscript. All experiments comply with the current laws of the countries in which they were conducted.</t>
  </si>
  <si>
    <t>10.1007/s00227-009-1228-8</t>
  </si>
  <si>
    <t>482IW</t>
  </si>
  <si>
    <t>WOS:000268880400001</t>
  </si>
  <si>
    <t>Harper, EM; Peck, LS; Hendry, KR</t>
  </si>
  <si>
    <t>Harper, Elizabeth M.; Peck, Lloyd S.; Hendry, Katharine R.</t>
  </si>
  <si>
    <t>Patterns of shell repair in articulate brachiopods indicate size constitutes a refuge from predation</t>
  </si>
  <si>
    <t>LIOTHYRELLA-UVA; DAMAGE; ESCALATION; EVOLUTION; COMMUNITY; SELECTION; BIVALVES; MOLLUSCA; BEHAVIOR; MUSSELS</t>
  </si>
  <si>
    <t>The cost of overcoming prey defenses relative to the value of internal tissues is a key criterion in predator/prey interactions. Optimal foraging theory predicts: (1) specific sizes of prey will result in the best returns to predators, and (2) there will often be a size at which the cost/benefit balance is low enough to effectively exclude predation. Data presented here on styles of repaired shell damage and size at which injury had been sustained was collected from samples of terebratulide brachiopods from the Antarctic Peninisula (Liothyrella uva), Falkland Islands (Magellania venosa and Terebratella dorsata) and Chile (M. venosa). The predominant form of damage on shells was indicative of predators attacking the valve margins. The modal size for repaired damage was more than 10 mm smaller than the modal size for the overall size distribution in each species and there were no repaired attacks in the largest size classes of any species. These data suggest that size forms a refuge from predation, as would be predicted by optimal foraging theory. The optimal sizes that predators appeared to attack vary between species, as do the sizes that provided a refuge from predation. High levels of multiple repairs (19% of the M. venosa population from the Falkland Islands sampled had 2 or more repairs) suggest that the mortality following attack is low, suggesting that many predators abandon their attacks.</t>
  </si>
  <si>
    <t>[Harper, Elizabeth M.; Hendry, Katharine R.] Univ Cambridge, Dept Earth Sci, Cambridge CB2 3EQ, England; [Peck, Lloyd S.] British Antarctic Survey, Nat Environm Res Council, Cambridge CB3 0ET, England</t>
  </si>
  <si>
    <t>University of Cambridge; UK Research &amp; Innovation (UKRI); Natural Environment Research Council (NERC); NERC British Antarctic Survey</t>
  </si>
  <si>
    <t>Harper, EM (corresponding author), Univ Cambridge, Dept Earth Sci, Downing St, Cambridge CB2 3EQ, England.</t>
  </si>
  <si>
    <t>emh21@cam.ac.uk</t>
  </si>
  <si>
    <t>Harper, Elizabeth M/B-3890-2008; Hendry, Katharine/E-4793-2011</t>
  </si>
  <si>
    <t>Hendry, Katharine/0000-0002-0790-5895</t>
  </si>
  <si>
    <t>ESC [1023]; Natural Environment Research Council [dml011000, bas010015] Funding Source: researchfish; NERC [dml011000, bas010015] Funding Source: UKRI</t>
  </si>
  <si>
    <t>ESC; Natural Environment Research Council(UK Research &amp; Innovation (UKRI)Natural Environment Research Council (NERC)); NERC(UK Research &amp; Innovation (UKRI)Natural Environment Research Council (NERC))</t>
  </si>
  <si>
    <t>We are grateful to Drs V. H ussermann and G. Foersterra (Huinay ScientiWc Field Station, Chile) who collected samples of Magellania venosa for us and to Dr. Sarah Long (Natural History Museum, London) who veriWed the identity of some of the taxa. This publication is ESC 1023.</t>
  </si>
  <si>
    <t>10.1007/s00227-009-1230-1</t>
  </si>
  <si>
    <t>WOS:000268880400003</t>
  </si>
  <si>
    <t>Bowden, DA; Clarke, A; Peck, LS</t>
  </si>
  <si>
    <t>Bowden, David A.; Clarke, Andrew; Peck, Lloyd S.</t>
  </si>
  <si>
    <t>Seasonal variation in the diversity and abundance of pelagic larvae of Antarctic marine invertebrates</t>
  </si>
  <si>
    <t>URCHIN STERECHINUS-NEUMAYERI; SCALLOP ADAMUSSIUM-COLBECKI; LIMPET NACELLA-CONCINNA; BENTHIC INVERTEBRATES; REPRODUCTIVE STRATEGIES; GAMETOGENIC ECOLOGY; ODONTASTER-VALIDUS; ASTEROID LARVAE; SIGNY ISLAND; COLD-WATER</t>
  </si>
  <si>
    <t>Most marine benthic macroinvertebrate species reproduce via a larval phase but attempts to explain the occurrence of different larval strategies (feeding or non-feeding, pelagic or benthic) in different habitats have been largely inconclusive. There have been very few year-round surveys of meroplankton at any latitude and in consequence fundamental data on the diversity, abundance, and timings of larval life history phases are lacking. There has been considerable debate regarding the viability of pelagic larvae in cold waters with highly seasonal primary production but there has been only one year-round study of meroplankton in the Southern Ocean, and that was outside of the Antarctic Circle. We present data from the first year-round survey of meroplankton assemblages at a location within the Antarctic Circle. We surveyed abundances of meroplanktonic larvae over 1.5 year at Rothera Point, West Antarctic Peninsula (67A degrees 34'S, 68A degrees 07'W). Larvae were collected in monthly diver-towed net samples close to the seabed at 20 and 6 m total water depths at each of three locations and were identified and counted live immediately after sampling. A total of 99 operationally defined taxonomic types representing 11 phyla were recorded but this is likely to be an underestimate of true diversity because of inherent difficulties of identification. Larvae were present in all months of the year and although planktotrophic larvae were more abundant in summer, both feeding and non-feeding types were present in all months. Comparisons of seasonal larval abundances with data from a settlement study at the same sites and from the literature show that larvae of mobile adults settle in summer regardless of developmental type, whereas sessile taxa settle in all seasons. We suggest that this is a consequence of differences in the food requirements of mobile and sessile fauna and that the availability of food for post-larval juveniles is more critical for survival than factors affecting the larval stage itself.</t>
  </si>
  <si>
    <t>[Bowden, David A.; Clarke, Andrew; Peck, Lloyd S.] British Antarctic Survey, NERC, Cambridge CB3 0ET, England</t>
  </si>
  <si>
    <t>Bowden, DA (corresponding author), Natl Inst Water &amp; Atmospher Res, Private Bag 14 901, Wellington, New Zealand.</t>
  </si>
  <si>
    <t>d.bowden@niwa.co.nz</t>
  </si>
  <si>
    <t>Life At The Edge; Stresses and Thresholds (LATEST); NERC [dml011000, bas0100025] Funding Source: UKRI; Natural Environment Research Council [dml011000, bas0100025] Funding Source: researchfish</t>
  </si>
  <si>
    <t>Life At The Edge; Stresses and Thresholds (LATEST); NERC(UK Research &amp; Innovation (UKRI)Natural Environment Research Council (NERC)); Natural Environment Research Council(UK Research &amp; Innovation (UKRI)Natural Environment Research Council (NERC))</t>
  </si>
  <si>
    <t>We thank all in the marine team at Rothera from 2000 to 2003, particularly P. Horne, R. Piper, W. Gilchrist and J. Burleigh for diving and boating support. We are also grateful to J. Pearse and three anonymous reviewers for comments, which improved earlier drafts of the manuscript. This study formed part of thed research programme of the British Antarctic Survey.</t>
  </si>
  <si>
    <t>10.1007/s00227-009-1235-9</t>
  </si>
  <si>
    <t>WOS:000268880400007</t>
  </si>
  <si>
    <t>Kruse, S; Jansen, S; Krägefsky, S; Bathmann, U</t>
  </si>
  <si>
    <t>Kruse, Svenja; Jansen, Sandra; Kraegefsky, Soeren; Bathmann, Ulrich</t>
  </si>
  <si>
    <t>Gut content analyses of three dominant Antarctic copepod species during an induced phytoplankton bloom EIFEX (European iron fertilization experiment)</t>
  </si>
  <si>
    <t>MARINE ECOLOGY-AN EVOLUTIONARY PERSPECTIVE</t>
  </si>
  <si>
    <t>Copepods; diet; feeding; food item quality; iron fertilization; Southern Ocean</t>
  </si>
  <si>
    <t>LIFE-CYCLE STRATEGIES; SOUTHERN-OCEAN; FEEDING PATTERNS; CALANUS-HELGOLANDICUS; GRAZING IMPACT; FECAL PELLETS; FOOD WEB; ZOOPLANKTON; SELECTIVITY; SEA</t>
  </si>
  <si>
    <t>The diet of three Antarctic copepods, Calanus simillimus, Rhincalanus gigas and Pleuromamma robusta, was studied from samples collected during the European iron fertilization experiment (EIFEX) in austral fall 2004. The diet was investigated using microscopical gut content analysis. The food spectra of the three copepod species showed a clear overlap. The pennate diatom Fragilariopsis kerguelensis was commonly found in all guts. Large numbers of cells were fractured, but some were found complete when arranged as chains. The same was true for the genus Chaetoceros, a centric diatom, of which even their long and complete setae could be observed. In general the ingested food particles extended over a wide size range up to a few 100 mu m. The copepod C. simillimus, for example, fed on large foraminifera and swallowed them whole. Compared to C. simillimus and R. gigas, P. robusta guts contained a higher percentage and larger diversity of hard-shelled protozoa including tintinnids, Radiolaria and Acantharia.</t>
  </si>
  <si>
    <t>[Kruse, Svenja; Jansen, Sandra; Kraegefsky, Soeren; Bathmann, Ulrich] Alfred Wegener Inst Polar &amp; Marine Res, D-27570 Bremerhaven, Germany</t>
  </si>
  <si>
    <t>Kruse, S (corresponding author), Alfred Wegener Inst Polar &amp; Marine Res, Handelshafen 12, D-27570 Bremerhaven, Germany.</t>
  </si>
  <si>
    <t>svenja.kruse@awi.de</t>
  </si>
  <si>
    <t>Bathmann, Ulrich/ISV-4351-2023</t>
  </si>
  <si>
    <t>0173-9565</t>
  </si>
  <si>
    <t>1439-0485</t>
  </si>
  <si>
    <t>MAR ECOL-EVOL PERSP</t>
  </si>
  <si>
    <t>Mar. Ecol.-Evol. Persp.</t>
  </si>
  <si>
    <t>10.1111/j.1439-0485.2009.00284.x</t>
  </si>
  <si>
    <t>480TP</t>
  </si>
  <si>
    <t>WOS:000268760000004</t>
  </si>
  <si>
    <t>Hillenbrand, CD; Ehrmann, W; Larter, RD; Benetti, S; Dowdeswell, JA; Cofaigh, CO; Graham, AGC; Grobe, H</t>
  </si>
  <si>
    <t>Hillenbrand, C-D.; Ehrmann, W.; Larter, R. D.; Benetti, S.; Dowdeswell, J. A.; Cofaigh, C. O.; Graham, A. G. C.; Grobe, H.</t>
  </si>
  <si>
    <t>Clay mineral provenance of sediments in the southern Bellingshausen Sea reveals drainage changes of the West Antarctic Ice Sheet during the Late Quaternary</t>
  </si>
  <si>
    <t>Late Quaternary; West Antarctic Ice Sheet; ice stream; Bellingshausen Sea; clay mineralogy; continental margin; diamicton</t>
  </si>
  <si>
    <t>LAST GLACIAL MAXIMUM; PINE ISLAND BAY; ROSS-SEA; CONTINENTAL-SHELF; SURFACE SEDIMENTS; SUBGLACIAL TILL; FLOW DYNAMICS; PENINSULA; ATLANTIC; RETREAT</t>
  </si>
  <si>
    <t>The Belgica Trough and the adjacent Belgica Trough Mouth Fan in the southern Bellingshausen Sea (Pacific sector of the Southern Ocean) mark the location of a major outlet for the West Antarctic Ice Sheet during the Late Quaternary. The drainage basin of an ice stream that advanced through Belgica Trough across the shelf during the last glacial period comprised an area exceeding 200,000 km(2) in the West Antarctic hinterland. Previous studies, mainly based on marine-geophysical data from the continental shelf and slope, focused on the bathymetry and seafloor bedforms, and the reconstruction of associated depositional processes and ice-drainage patterns. In contrast, there was only sparse information from seabed sediments recovered by coring. In this paper, we present lithological and clay mineralogical data of 21 sediment cores collected from the shelf and slope of the southern Bellingshausen Sea. Most cores recovered three lithological units, which can be attributed to facies types deposited under glacial, transitional and seasonally open-marine conditions. The clay mineral assemblages document coinciding changes in provenance. The relationship between the clay mineral assemblages in the subglacial and proglacial sediments on the shelf and the glacial diamictons on the slope confirms that a grounded ice stream advanced through Belgica Trough to the shelf break during the past, thereby depositing detritus eroded in the West Antarctic hinterland as soft till on the shelf and as glaciogenic debris flows on the slope. The thinness of the overlying transitional and seasonally open-marine sediments in the cores suggests that this ice advance occurred during the last glacial period. Clay mineralogical, acoustic sub-bottom and seismic data furthermore demonstrate that the palaeo-ice stream probably reworked old sedimentary strata, including older tills, on the shelf and incorporated this debris into its till bed. The geographical heterogeneity of the clay mineral assemblages in the sub- and proglacial diamictons and gravelly deposits indicates that they were eroded from underlying sedimentary strata of different ages. These strata may have been deposited during either different phases of the last glacial period or different glacial and interglacial periods. Additionally, the clay mineralogical heterogeneity of the soft tills recovered on the shelf suggests that the drainage area of the palaeo-ice stream flowing through Belgica Trough changed through time. (C) 2009 Elsevier B.V. All rights reserved.</t>
  </si>
  <si>
    <t>[Hillenbrand, C-D.; Larter, R. D.; Benetti, S.; Graham, A. G. C.] British Antarctic Survey, Cambridge CB3 0ET, England; [Ehrmann, W.] Univ Leipzig, Inst Geol &amp; Geophys, D-04103 Leipzig, Germany; [Dowdeswell, J. A.] Univ Cambridge, Scott Polar Res Inst, Cambridge CB2 1ER, England; [Cofaigh, C. O.] Univ Durham, Dept Geog, Durham DH1 3LE, England; [Grobe, H.] Alfred Wegener Inst Polar &amp; Marine Res, D-27568 Bremerhaven, Germany</t>
  </si>
  <si>
    <t>UK Research &amp; Innovation (UKRI); Natural Environment Research Council (NERC); NERC British Antarctic Survey; Leipzig University; University of Cambridge; Durham University; Helmholtz Association; Alfred Wegener Institute, Helmholtz Centre for Polar &amp; Marine Research</t>
  </si>
  <si>
    <t>Hillenbrand, CD (corresponding author), British Antarctic Survey, Madingley Rd, Cambridge CB3 0ET, England.</t>
  </si>
  <si>
    <t>hilc@bas.ac.uk</t>
  </si>
  <si>
    <t>Ó Cofaigh, Colm/D-9131-2012</t>
  </si>
  <si>
    <t>Grobe, Hannes/0000-0002-4133-2218; Graham, Alastair/0000-0002-2880-2908; Benetti, Sara/0000-0001-6286-9842; Larter, Robert/0000-0002-8414-7389; Dowdeswell, Julian/0000-0003-1369-9482</t>
  </si>
  <si>
    <t>NERC [AFI 4/17]; British Antarctic Survey (BAS); Alfred Wegener Institute MARCOPOLI Programme; Natural Environment Research Council [NER/G/S/2002/00009, bosc01001, bas010018] Funding Source: researchfish; NERC [bas010018, bosc01001] Funding Source: UKRI</t>
  </si>
  <si>
    <t>NERC(UK Research &amp; Innovation (UKRI)Natural Environment Research Council (NERC)); British Antarctic Survey (BAS); Alfred Wegener Institute MARCOPOLI Programme; Natural Environment Research Council(UK Research &amp; Innovation (UKRI)Natural Environment Research Council (NERC)); NERC(UK Research &amp; Innovation (UKRI)Natural Environment Research Council (NERC))</t>
  </si>
  <si>
    <t>This work was supported by the NERC Antarctic Funding Initiative (project AFI 4/17), the British Antarctic Survey (BAS) GRADES-QWAD Project, and the Alfred Wegener Institute MARCOPOLI Programme. The authors thank CJ. Pudsey, S. Dorn, A. Baesler, P. Morris and J. Evans for their help and the captains, officers, crew and support staff, who participated in cruises JR104 and ANT-XI/3. Finally, the authors are grateful to S. Passchier, M. Rebesco, an anonymous reviewer and editor J.T. Wells for their useful comments.</t>
  </si>
  <si>
    <t>10.1016/j.margeo.2009.06.009</t>
  </si>
  <si>
    <t>496KA</t>
  </si>
  <si>
    <t>WOS:000269969300001</t>
  </si>
  <si>
    <t>Korotev, RL; Zeigler, RA; Jolliff, BL; Irving, AJ; Bunch, TE</t>
  </si>
  <si>
    <t>Korotev, Randy L.; Zeigler, Ryan A.; Jolliff, Bradley L.; Irving, Anthony J.; Bunch, Theodore E.</t>
  </si>
  <si>
    <t>Compositional and lithological diversity among brecciated lunar meteorites of intermediate iron concentration</t>
  </si>
  <si>
    <t>ALEXANDRA RANGE 94281; POLE-AITKEN BASIN; IMPACT-MELT; LAPAZ-ICEFIELD; CHEMICAL-COMPOSITION; NORTHWEST AFRICA-773; REGOLITH BRECCIAS; CENTRAL-HIGHLANDS; MARE; GEOCHEMISTRY</t>
  </si>
  <si>
    <t>We present new compositional data for 30 lunar stones representing about 19 meteorites. Most have iron concentrations intermediate to those of the numerous feldspathic lunar meteorites (3-7% FeO) and the basaltic lunar meteorites (17-23% FeO). All but one are polymict breccias. Some, as implied by their intermediate composition, are mainly mixtures of brecciated anorthosite and mare basalt, with low concentrations of incompatible elements Such as Sin (1-3 mu g/g). These breccias likely originate from points on the Moon where mare basalt has mixed with material of the FHT (Feldspathic Highlands Terrane). Others, however, are not anorthosite-basalt mixtures. Three (17-75 mu g/g Sm) consist mainly of nonmare mafic material from the nearside PKT (Procellarum KREEP Terrane) and a few are ternary mixtures of material from the FHT, PKT, and maria. Some contain mafic, nonmare lithologies like anorthositic norites, norites, gabbronorites, and troctolite. These breccias are largely unlike breccias of the Apollo collection in that they are poor in Sin as well as highly feldspathic anorthosite such as that common at the Apollo 16 site. Several have high Th/Sm compared to Apollo breccias. Dhofar 961, which is olivine gabbronoritic and moderately rich in Sm, has lower Eu/Sm than Apollo samples of similar Sm concentration. This difference indicates that the carrier of rare earth elements is not KREEP, as known from the Apollo missions. On the basis of our present knowledge from remote sensing, among lunar meteorites Dhofar 961 is the one most likely to have originated from South Pole-Aitken basin on the lunar far side.</t>
  </si>
  <si>
    <t>[Korotev, Randy L.; Zeigler, Ryan A.; Jolliff, Bradley L.] Washington Univ, Dept Earth &amp; Planetary Sci, St Louis, MO 63130 USA; [Korotev, Randy L.; Zeigler, Ryan A.; Jolliff, Bradley L.] Washington Univ, McDonnell Ctr Space Sci, St Louis, MO 63130 USA; [Irving, Anthony J.] Univ Washington, Dept Earth &amp; Space Sci, Seattle, WA 98195 USA; [Bunch, Theodore E.] Univ Arizona, Dept Geol, Flagstaff, AZ USA</t>
  </si>
  <si>
    <t>Washington University (WUSTL); Washington University (WUSTL); University of Washington; University of Washington Seattle; University of Arizona</t>
  </si>
  <si>
    <t>Korotev, RL (corresponding author), Washington Univ, Dept Earth &amp; Planetary Sci, 1 Brookings Dr, St Louis, MO 63130 USA.</t>
  </si>
  <si>
    <t>korotev@wustl.edu</t>
  </si>
  <si>
    <t>Jolliff, Bradley/GOE-3484-2022</t>
  </si>
  <si>
    <t>Jolliff, Bradley/0000-0002-8294-4501</t>
  </si>
  <si>
    <t>NASA [NNX07AI44G]</t>
  </si>
  <si>
    <t>NASA(National Aeronautics &amp; Space Administration (NASA))</t>
  </si>
  <si>
    <t>We thank Martin Altmann, Rainer Bartoschewitz, Addi Bischoff, Dolores Hill, Beda Hoffman, Jim Strope, the National Institute of Polar Research (Japan), and the Antarctic Search for Meteorites program (NSF/NASA) for meteorite samples. A. B. Foreman, S. M. Kuehner, S. P. O'Donnell, and J. H. Wittke assisted with analyses and characterization. The work has benefited greatly by reviews of J. M. D. Day, K. H. Joy, H. Takeda, and A. H. Treiman and discussion with B. Gladman, for which we are grateful. This work was funded mainly by NASA grant NNX07AI44G.</t>
  </si>
  <si>
    <t>10.1111/j.1945-5100.2009.tb01223.x</t>
  </si>
  <si>
    <t>518NC</t>
  </si>
  <si>
    <t>WOS:000271698600003</t>
  </si>
  <si>
    <t>Weisberg, MK; Smith, C; Benedix, G; Herd, CDK; Righter, K; Haack, H; Yamaguchi, A; Chennaoui Aoudjehane, H; Grossman, JN</t>
  </si>
  <si>
    <t>Weisberg, Michael K.; Smith, Caroline; Benedix, Gretchen; Herd, Christopher D. K.; Righter, Kevin; Haack, Henning; Yamaguchi, Akira; Chennaoui Aoudjehane, Hasnaa; Grossman, Jeffrey N.</t>
  </si>
  <si>
    <t>The Meteoritical Bulletin, No. 96, September 2009</t>
  </si>
  <si>
    <t>The Meteoritical Bulletin No. 96 contains a total of 1590 newly approved meteorite names with their relevant data. These include 12 from specific locations within Africa, 76 from northwest Africa, 9 from the Americas, 13 from Asia, I from Australia, 2 from Europe, 950 from Antarctica recovered by the Chinese Antarctic Research Expedition (CHINARE), and 527 from the American Antarctic program (ANSMET). Among these meteorites are 4 falls, Almahata Sitta. (Sudan), Sulagiri (India), Ash Creek (United States), and Maribo (Denmark). Almahata Sitta is an anomalous ureilite and is debris from asteroid 2008 TC3 and Maribo, is a CM2 chondrite. Other highlights include a lunar meteorite, a CM1 chondrite, and an anomalous IVA iron.</t>
  </si>
  <si>
    <t>[Weisberg, Michael K.] CUNY, Kingsborough Community Coll, Dept Phys Sci, Brooklyn, NY 11235 USA; [Weisberg, Michael K.] CUNY, Grad Sch, Dept Phys Sci, Brooklyn, NY 11235 USA; [Weisberg, Michael K.] Amer Museum Nat Hist, Dept Earth &amp; Planetary Sci, New York, NY 10024 USA; [Smith, Caroline; Benedix, Gretchen] Nat Hist Museum, Dept Mineral, London SW7 5BD, England; [Smith, Caroline] Univ Glasgow, Sch Geog &amp; Earth Sci, Glasgow G12 8QQ, Lanark, Scotland; [Herd, Christopher D. K.] Univ Alberta, Dept Earth &amp; Atmospher Sci, Edmonton, AB T6G 2E3, Canada; [Righter, Kevin] NASA, Lyndon B Johnson Space Ctr, Code KT, Houston, TX 77058 USA; [Haack, Henning] Univ Copenhagen, Nat Hist Museum Denmark, DK-1350 Copenhagen K, Denmark; [Yamaguchi, Akira] Natl Inst Polar Res, Antarctic Meteorite Res Ctr, Tokyo 1908518, Japan; [Chennaoui Aoudjehane, Hasnaa] Univ Hassan II Casablanca, Fac Sci, Dept Geol, Casablanca, Morocco; [Grossman, Jeffrey N.] US Geol Survey, Reston, VA 20194 USA</t>
  </si>
  <si>
    <t>City University of New York (CUNY) System; City University of New York (CUNY) System; American Museum of Natural History (AMNH); Natural History Museum London; University of Glasgow; University of Alberta; National Aeronautics &amp; Space Administration (NASA); NASA Johnson Space Center; University of Copenhagen; Research Organization of Information &amp; Systems (ROIS); National Institute of Polar Research (NIPR) - Japan; Hassan II University of Casablanca; United States Department of the Interior; United States Geological Survey</t>
  </si>
  <si>
    <t>Weisberg, MK (corresponding author), CUNY, Kingsborough Community Coll, Dept Phys Sci, 2001 Oriental Blvd, Brooklyn, NY 11235 USA.</t>
  </si>
  <si>
    <t>meteorite@kingsborough.edu</t>
  </si>
  <si>
    <t>Chennaoui, Hasnaa/KGL-7333-2024; Haack, Henning/A-4807-2013; Herd, Christopher/IYJ-9105-2023; Smith, Caroline/AAO-3652-2020; Benedix, Gretchen/L-1953-2018</t>
  </si>
  <si>
    <t>Chennaoui, Hasnaa/0000-0001-8792-246X; Haack, Henning/0000-0002-4618-3178; Smith, Caroline/0000-0001-7005-6470; Benedix, Gretchen/0000-0003-0990-8878; Herd, Christopher/0000-0001-5210-4002; Righter, Kevin/0000-0002-6075-7908</t>
  </si>
  <si>
    <t>10.1111/j.1945-5100.2009.tb01227.x</t>
  </si>
  <si>
    <t>WOS:000271698600007</t>
  </si>
  <si>
    <t>Song, J; Zhou, W; Li, CY; Qi, LX</t>
  </si>
  <si>
    <t>Song, Jie; Zhou, Wen; Li, Chongyin; Qi, Lixin</t>
  </si>
  <si>
    <t>Signature of the Antarctic oscillation in the northern hemisphere</t>
  </si>
  <si>
    <t>METEOROLOGY AND ATMOSPHERIC PHYSICS</t>
  </si>
  <si>
    <t>GENERAL-CIRCULATION MODEL; ANNULAR MODES; GEOPOTENTIAL HEIGHT; TELECONNECTIONS; VARIABILITY; DYNAMICS; EDDIES; DRIVEN</t>
  </si>
  <si>
    <t>Using the ECWMF daily reanalysis data, this paper investigates signatures of the Antarctic Oscillation (AAO) in the upper troposphere of the northern hemisphere. It is found that during boreal winter, a positive (negative) phase of the AAO is associated with anomalous easterlies (westerlies) in middle-low latitudes (similar to 30-40A degrees N) and anomalous westerlies (easterlies) in middle-high latitudes (similar to 45-65A degrees N) of the upper troposphere about 25-40 days later. While there is also a response in zonal wind in the tropics, namely over the central-eastern Pacific, to some extent, these tropical zonal wind anomalies can trigger a Pacific/North American teleconnection patterns (PNA)-like quasi-stationary Rossby waves that propagate into the Northern Hemisphere and gradually evolve into patterns which resemble North Atlantic teleconnection patterns. Furthermore, these quasi-stationary Rossby waves might give rise to anomalous eddy momentum flux convergence and divergence to accelerate anomalous zonal winds in the Northern Hemisphere.</t>
  </si>
  <si>
    <t>[Song, Jie; Zhou, Wen; Li, Chongyin] Chinese Acad Sci, Inst Atmospher Phys, LASG, Beijing, Peoples R China; [Zhou, Wen] City Univ Hong Kong, Guy Carpenter Asia Pacific Climate Impact Ctr, CityU IAP Lab Atmospher Sci, Hong Kong, Hong Kong, Peoples R China; [Song, Jie] Chinese Acad Sci, Grad Sch, Beijing, Peoples R China; [Qi, Lixin] Bur Meteorol, Natl Climate Ctr, Melbourne, Australia</t>
  </si>
  <si>
    <t>Chinese Academy of Sciences; Institute of Atmospheric Physics, CAS; City University of Hong Kong; Chinese Academy of Sciences; University of Chinese Academy of Sciences, CAS; Bureau of Meteorology - Australia</t>
  </si>
  <si>
    <t>Zhou, W (corresponding author), Chinese Acad Sci, Inst Atmospher Phys, LASG, Beijing, Peoples R China.</t>
  </si>
  <si>
    <t>wenzhou@cityu.edu.hk; L.Qi@bom.gov.au</t>
  </si>
  <si>
    <t>ZHOU, Wen/C-3750-2012</t>
  </si>
  <si>
    <t>ZHOU, Wen/0000-0002-3297-4841</t>
  </si>
  <si>
    <t>China National 973 Program [2006CB403600]; Joint National Natural Science Foundation of China [U0733002]; Joint Innovation Scheme [IAP07314]; City University of Hong Kong Research [7002136]</t>
  </si>
  <si>
    <t>China National 973 Program(National Basic Research Program of China); Joint National Natural Science Foundation of China(National Natural Science Foundation of China (NSFC)); Joint Innovation Scheme; City University of Hong Kong Research(City University of Hong Kong)</t>
  </si>
  <si>
    <t>The authors would like to thank two anonymous reviewers for many valuable and helpful criticisms and comments, which greatly improved this paper. This work is supported by the China National 973 Program (Grant No. 2006CB403600), Joint National Natural Science Foundation of China Project (U0733002), Joint Innovation Scheme (IAP07314) and City University of Hong Kong Research Grant (7002136).</t>
  </si>
  <si>
    <t>0177-7971</t>
  </si>
  <si>
    <t>1436-5065</t>
  </si>
  <si>
    <t>METEOROL ATMOS PHYS</t>
  </si>
  <si>
    <t>Meteorol. Atmos. Phys.</t>
  </si>
  <si>
    <t>10.1007/s00703-009-0036-5</t>
  </si>
  <si>
    <t>490VA</t>
  </si>
  <si>
    <t>WOS:000269534200005</t>
  </si>
  <si>
    <t>Younger, JP; Reid, IM; Vincent, RA; Holdsworth, DA; Murphy, DJ</t>
  </si>
  <si>
    <t>Younger, J. P.; Reid, I. M.; Vincent, R. A.; Holdsworth, D. A.; Murphy, D. J.</t>
  </si>
  <si>
    <t>A southern hemisphere survey of meteor shower radiants and associated stream orbits using single station radar observations</t>
  </si>
  <si>
    <t>techniques: radar astronomy; surveys; ephemerides; interplanetary medium</t>
  </si>
  <si>
    <t>The 33.2 MHz interferometric meteor radars located at Davis Station, Antarctica and Darwin, Australia typically detect around 15 000 specular underdense meteor echoes every day. While the angle of arrival of the scattered radio wave can be inferred using phase differences between receive antennae, the direction of individual meteors is not known beyond a plane of ambiguity perpendicular to the angle of arrival. Using the great circle mapping technique with a Jones &amp; Jones type weighting function, 37 meteor shower systems were detected in data collected at both locations over 2006-2007, including nine undocumented showers. The orbital elements of the parent debris streams were then calculated for the 31 showers where sufficiently precise measurements were available.</t>
  </si>
  <si>
    <t>[Younger, J. P.; Reid, I. M.; Vincent, R. A.] Univ Adelaide, Sch Chem &amp; Phys, Adelaide, SA 5005, Australia; [Reid, I. M.; Vincent, R. A.] ATRAD Pty Ltd, Thebarton, SA 5031, Australia; [Holdsworth, D. A.] DSTO, ISRD, Edinbugh, SA 5111, Australia; [Murphy, D. J.] Australian Antarctic Div, Kingston, Tas 7050, Australia</t>
  </si>
  <si>
    <t>University of Adelaide; ATRAD Pty Ltd.; Defence Science &amp; Technology; Australian Antarctic Division</t>
  </si>
  <si>
    <t>Younger, JP (corresponding author), Univ Adelaide, Sch Chem &amp; Phys, Adelaide, SA 5005, Australia.</t>
  </si>
  <si>
    <t>joel.younger@adelaide.edu.au</t>
  </si>
  <si>
    <t>Vincent, Robert A/E-5450-2013; Reid, Iain/B-5681-2012; Younger, Joel/I-4601-2012</t>
  </si>
  <si>
    <t>Vincent, Robert A/0000-0001-6559-6544; Reid, Iain/0000-0003-2340-9047; Younger, Joel/0000-0003-2918-1709</t>
  </si>
  <si>
    <t>ASAC [2529]; ARC [DP0878144, DP0558361]; Australian Research Council [DP0558361] Funding Source: Australian Research Council</t>
  </si>
  <si>
    <t>ASAC; ARC(Australian Research Council); Australian Research Council(Australian Research Council)</t>
  </si>
  <si>
    <t>This research was conducted with financial support from ASAC grant 2529 and ARC grants DP0878144 and DP0558361.</t>
  </si>
  <si>
    <t>1365-2966</t>
  </si>
  <si>
    <t>10.1111/j.1365-2966.2009.15142.x</t>
  </si>
  <si>
    <t>485PU</t>
  </si>
  <si>
    <t>WOS:000269136800046</t>
  </si>
  <si>
    <t>Gromek, E; Turkiewicz, M</t>
  </si>
  <si>
    <t>Gromek, E.; Turkiewicz, M.</t>
  </si>
  <si>
    <t>An Antarctic marine bacterium Pseudoalteromonas spp., strain 93, as a source of cold-adapted alkalistable subtilisin-like serine protease</t>
  </si>
  <si>
    <t>NEW BIOTECHNOLOGY</t>
  </si>
  <si>
    <t>[Gromek, E.; Turkiewicz, M.] Tech Univ Lodz, PL-90924 Lodz, Poland</t>
  </si>
  <si>
    <t>Lodz University of Technology</t>
  </si>
  <si>
    <t>1871-6784</t>
  </si>
  <si>
    <t>NEW BIOTECHNOL</t>
  </si>
  <si>
    <t>New Biotech.</t>
  </si>
  <si>
    <t>S93</t>
  </si>
  <si>
    <t>10.1016/j.nbt.2009.06.372</t>
  </si>
  <si>
    <t>Biochemical Research Methods; Biotechnology &amp; Applied Microbiology</t>
  </si>
  <si>
    <t>Biochemistry &amp; Molecular Biology; Biotechnology &amp; Applied Microbiology</t>
  </si>
  <si>
    <t>649HU</t>
  </si>
  <si>
    <t>WOS:000281760100226</t>
  </si>
  <si>
    <t>Maki, KC; Reeves, MS; Farmer, M; Griinari, M; Berge, K; Vik, H; Hubacher, R; Rains, TM</t>
  </si>
  <si>
    <t>Maki, Kevin C.; Reeves, Mathew S.; Farmer, Mildred; Griinari, Mikko; Berge, Kjetil; Vik, Hogne; Hubacher, Rachel; Rains, Tia M.</t>
  </si>
  <si>
    <t>Krill oil supplementation increases plasma concentrations of eicosapentaenoic and docosahexaenoic acids in overweight and obese men and women</t>
  </si>
  <si>
    <t>NUTRITION RESEARCH</t>
  </si>
  <si>
    <t>Euphausiacea krill; Bioavailability; Eicosapentaenoic acid (EPA); Docosahexaenoic acid (DHA); Humans</t>
  </si>
  <si>
    <t>N-3 FATTY-ACIDS; LOW-DENSITY-LIPOPROTEIN; CORONARY-HEART-DISEASE; FISH-OIL; HYPERTRIGLYCERIDEMIC PATIENTS; OMEGA-3-FATTY-ACIDS; RISK; CONSUMPTION; BENEFITS; HUMANS</t>
  </si>
  <si>
    <t>Antarctic krill, also known as Euphausia superba, is a marine crustacean rich in both eicosapentaenoic acid (EPA) and docosahexaenoic acid (DHA). We tested the hypothesis that krill Oil Would increase plasma concentrations of EPA and DHA without adversely affecting indicators of safety, tolerability, or selected metabolic parameters. In this randomized, double-blind parallel arm trial, overweight and obese men and women (N = 76) were randomly assigned to receive double-blind Capsules containing 2 g/d of krill oil, menhaden oil, or control (olive) oil for 4 weeks. Results showed that plasma EPA and DHA concentrations increased significantly more (P &lt; .001) in the krill oil (178.4 +/- 38.7 and 90.2 +/- 40.3 mu mol/L, respectively) and menhaden oil (131.8 +/- 28.0 and 149.9 +/- 30.4 mu mol/L, respectively) groups than in the control group (2.9 +/- 13.8 and -1.1 +/- 32.4 mu mol/L, respectively). Systolic blood pressure declined significantly more (P &lt; .05) in the menhaden oil (-2.2 +/- 2.0 min Hg) group than in the control group (3.3 +/- 1.5 mm Hg), and the response in the krill oil group (-0.8 +/- 1.4 mm Hg) did not differ from the other 2 treatments. Blood urea nitrogen declined in the krill oil group as compared with the menhaden oil group (P &lt; .006). No significant differences for other safety variables were noted, including adverse events. In conclusion, 4 weeks of krill oil supplementation increased plasma EPA and DHA and was well tolerated, with no indication of adverse effects on safety parameters. (C) 2009 Elsevier Inc. All rights reserved.</t>
  </si>
  <si>
    <t>[Maki, Kevin C.; Reeves, Mathew S.; Hubacher, Rachel; Rains, Tia M.] Provident Clin Res, Glen Ellyn, IL 60137 USA; [Maki, Kevin C.; Reeves, Mathew S.; Hubacher, Rachel; Rains, Tia M.] Provident Clin Res, Bloomington, IN 47403 USA; [Farmer, Mildred] Meridien Res, St Petersburg, FL 33709 USA; [Griinari, Mikko] Clanet Ltd, Espoo 02660, Finland; [Berge, Kjetil; Vik, Hogne] Aker BioMarine ASA, NO-0115 Oslo, Norway</t>
  </si>
  <si>
    <t>Maki, KC (corresponding author), Provident Clin Res, Glen Ellyn, IL 60137 USA.</t>
  </si>
  <si>
    <t>kmaki@providentcrc.com; mreeves@providentcrc.com; mfarmer@meridienresearch.net; mikko.griinari@clanet.fi; kjetil.berge@akerbiomarine.com; hongne.vik@akerbiomarine.com; rhubacher@providentcrc.com; trains@providentcrc.com</t>
  </si>
  <si>
    <t>Aker Biomarine ASA</t>
  </si>
  <si>
    <t>Authors K.C. Maki, M.S. Reeves, M. Fanner, R. Hubacher, and T.M. Rains received a research grant from Aker Biomarine ASA to conduct this trial. Authors M. Griinari, K. Berge, and H. Vik were all employees of Aker Biomarine ASA when this trial was conducted.</t>
  </si>
  <si>
    <t>0271-5317</t>
  </si>
  <si>
    <t>NUTR RES</t>
  </si>
  <si>
    <t>Nutr. Res.</t>
  </si>
  <si>
    <t>10.1016/j.nutres.2009.09.004</t>
  </si>
  <si>
    <t>Nutrition &amp; Dietetics</t>
  </si>
  <si>
    <t>515QK</t>
  </si>
  <si>
    <t>WOS:000271487300001</t>
  </si>
  <si>
    <t>Iuliano-Burns, S; Wang, XF; Ayton, J; Jones, G; Seeman, E</t>
  </si>
  <si>
    <t>Iuliano-Burns, S.; Wang, X. F.; Ayton, J.; Jones, G.; Seeman, E.</t>
  </si>
  <si>
    <t>Skeletal and hormonal responses to sunlight deprivation in Antarctic expeditioners</t>
  </si>
  <si>
    <t>OSTEOPOROSIS INTERNATIONAL</t>
  </si>
  <si>
    <t>Bone loss; Sunlight; Vitamin D</t>
  </si>
  <si>
    <t>VITAMIN-D DEFICIENCY; BONE-MINERAL DENSITY; ELDERLY-WOMEN; SERUM-LEVELS; POSTMENOPAUSAL WOMEN; BIOCHEMICAL MARKERS; PARATHYROID-HORMONE; CONTROLLED-TRIAL; OSTEOPOROSIS; POPULATION</t>
  </si>
  <si>
    <t>Serum 25(OH)D levels decline without sunlight exposure. We studied 120 expeditioners to Antarctica to determine the skeletal and hormonal responses to sunlight deprivation. With emerging vitamin D insufficiency, serum calcium decreased, PTH increased, and bone loss at the proximal femur was observed. Baseline serum 25(OH)D levels &gt; 100 nmol/L prevented vitamin D insufficiency. Vitamin D stores deplete without adequate sunlight exposure unless supplementation is provided. We studied 120 healthy adults who spent a year in Antarctica as a model for sunlight deprivation to define the timing and magnitude of the skeletal and hormonal responses to emerging vitamin D insufficiency. Fasting blood samples were assessed at baseline, 6 and 12 months for serum 25-hydroxyvitamin D (25(OH)D), osteocalcin (OC), bone formation (P1NP) and resorption (CTx), PTH and calcium. Lumbar spine and proximal femur BMD was measured using DXA. Differences over time were determined using repeated measures ANOVA. Percent changes were expressed as (Delta value/(value A + value B)/2) x 100. Relationships between outcome measures were determined using Spearman's correlations. Vitamin D insufficiency (&lt; 50 nmol/L) was observed in 85% of expeditioners by 6 months when serum calcium decreased and PTH increased (p &lt; 0.01). By 12 months, OC increased by 7.4 +/- 3.0% (p &lt; 0.05), and BMD decreased by 1.0 +/- 2.0% at the total proximal femur (p &lt; 0.05). For those with vitamin D sufficiency at baseline (&gt; 50 nmol/L), sunlight deprivation produced vitamin D insufficiency within 4 months unless baseline values were &gt; 100 nmol/L. Supplementation may be necessary for expeditioners with limited access to UV light.</t>
  </si>
  <si>
    <t>[Iuliano-Burns, S.] Heidelberg Repatriat Hosp, Endocrine Ctr Excellence, Heidelberg West, Vic 3081, Australia; [Iuliano-Burns, S.; Wang, X. F.; Seeman, E.] Univ Melbourne, Heidelberg West, Australia; [Ayton, J.] Australian Antarctic Div, Kingston, Tas, Australia; [Jones, G.] Menzies Res Inst, Hobart, Tas, Australia</t>
  </si>
  <si>
    <t>University of Melbourne; Australian Antarctic Division; University of Tasmania; Menzies Institute for Medical Research</t>
  </si>
  <si>
    <t>Iuliano-Burns, S (corresponding author), Heidelberg Repatriat Hosp, Endocrine Ctr Excellence, Waterdale Rd, Heidelberg West, Vic 3081, Australia.</t>
  </si>
  <si>
    <t>sandraib@unimelb.edu.au</t>
  </si>
  <si>
    <t>Seeman, Ego/AAC-3656-2019</t>
  </si>
  <si>
    <t>Seeman, Ego/0000-0002-9692-048X; Ayton, Jeffrey/0000-0003-4012-6719; jones, graeme/0000-0002-9814-0006; Wang, Xiaofang/0000-0003-3246-3205</t>
  </si>
  <si>
    <t>This project was support by Australian Antarctic Science grants.</t>
  </si>
  <si>
    <t>SPRINGER LONDON LTD</t>
  </si>
  <si>
    <t>236 GRAYS INN RD, 6TH FLOOR, LONDON WC1X 8HL, ENGLAND</t>
  </si>
  <si>
    <t>0937-941X</t>
  </si>
  <si>
    <t>1433-2965</t>
  </si>
  <si>
    <t>OSTEOPOROSIS INT</t>
  </si>
  <si>
    <t>Osteoporosis Int.</t>
  </si>
  <si>
    <t>10.1007/s00198-008-0830-9</t>
  </si>
  <si>
    <t>Endocrinology &amp; Metabolism</t>
  </si>
  <si>
    <t>484WQ</t>
  </si>
  <si>
    <t>WOS:000269080100008</t>
  </si>
  <si>
    <t>Knight, RI; Morris, NJ</t>
  </si>
  <si>
    <t>Knight, Robin I.; Morris, Noel J.</t>
  </si>
  <si>
    <t>A RECONSIDERATION OF THE ORIGINS OF THE 'TYPICAL' CRETACEOUS INOCERAMID CALCITIC HINGE PLATE IN THE LIGHT OF NEW ULTRASTRUCTURAL OBSERVATIONS FROM SOME JURASSIC 'INOCERAMIDS'</t>
  </si>
  <si>
    <t>PALAEONTOLOGY</t>
  </si>
  <si>
    <t>inoceramid; ultrastructure; hinge plate; ligament; ligostracum; evolution</t>
  </si>
  <si>
    <t>ANTARCTIC PENINSULA; BIVALVE; MORPHOLOGY; EVOLUTION; ONTOGENY; MIDDLE</t>
  </si>
  <si>
    <t>Marked differences occur between the hinge plates of Jurassic and Upper Cretaceous British 'inoceramid' species. Albian and Upper Cretaceous inoceramids had the poiriform calcite hinge plate with closely spaced resiliifers that is widely associated with this extinct bivalve family. The whole structure was dominated by compressible ligament. Jurassic species, in contrast, had an ultrastructurally less familiar aragonite hinge plate with widely spaced resiliifers and a ligament reminiscent of Isognomon with equally spaced elastic and compressional components. The wider taxonomic relationships of the Inoceramidae still remain uncertain, although the majority of the evidence links the family to the Pterioida. This study, however, suggests that the ancestral inoceramid did not necessarily have a calcitic hinge plate, but rather that a Jurassic 'inoceramid' species could have been developing such a structure via an aragonite precursor. Observations on British Kimmeridgian 'inoceramid' specimens indicate that calcite was being incorporated into the aragonite hinge plate by these times. Structures in the ligamentat of Jurassic species suggest that the fundamental change in mineralogy was initiated by valve architectural modification at the byssal notch, linked to inoceramid epifaunalism. Worldwide poor preservation of Lower Cretaceous inoceramids makes it very difficult to further prove this hypothesis via intermediate evolutionary stages leading to the fully poiriform calcite hinge plate observed in Albian and Upper Cretaceous species of Inoceramidae.</t>
  </si>
  <si>
    <t>[Morris, Noel J.] Nat Hist Museum, Dept Palaeontol, London SW7 5BD, England</t>
  </si>
  <si>
    <t>Natural History Museum London</t>
  </si>
  <si>
    <t>Knight, RI (corresponding author), 92 Vale Dr, Chatham ME5 9XA, Kent, England.</t>
  </si>
  <si>
    <t>robink2407@aol.com; solene@btintemet.com</t>
  </si>
  <si>
    <t>0031-0239</t>
  </si>
  <si>
    <t>1475-4983</t>
  </si>
  <si>
    <t>10.1111/j.1475-4983.2009.00891.x</t>
  </si>
  <si>
    <t>495GD</t>
  </si>
  <si>
    <t>WOS:000269877700001</t>
  </si>
  <si>
    <t>Isely, N; Lamare, M; Marshall, C; Barker, M</t>
  </si>
  <si>
    <t>Isely, Nikolas; Lamare, Miles; Marshall, Craig; Barker, Mike</t>
  </si>
  <si>
    <t>Expression of the DNA Repair Enzyme, Photolyase, in Developmental Tissues and Larvae, and in Response to Ambient UV-R in the Antarctic Sea Urchin Sterechinus neumayeri</t>
  </si>
  <si>
    <t>ULTRAVIOLET-RADIATION; OZONE DEPLETION; DAMAGE; GENE; PHOTOREPAIR; EMBRYOS</t>
  </si>
  <si>
    <t>Gene expression of the DNA repair enzyme, photolyase (E.C. 4.1.99.3) was examined in the gonads, eggs, embryos and larval stages of the Antarctic sea urchin, Sterechinus neumayeri. Partial sequencing of the gene revealed two highly conserved regions, including a 300 bp region representing the binding site for the cofactor flavin adenine dinucleotide. The second 1200 bp region, likely representing a second light-harvesting cofactor binding site, was identified in a second sea urchin species, Strongylocentrotus frascicanus. Probes for photolyase were developed from the shorter sequence, and expression in sea urchin developmental tissue and stages, and in response to in situ exposure to ultraviolet radiation was quantified using PCR and RT-qPCR, with concentrations of photolyase normalized to actin concentrations. Photolyase was expressed in all tissues and developmental stages examined. In controlled field-based experiments in McMurdo Sound, Antarctica, we found evidence of both constitutive expression of photolyase and induction in response to in situ exposure of embryos to UV-R. Induction of photolyase was observed in response to greater ambient UV-R (such as shallower water depths or sea ice-free regions).</t>
  </si>
  <si>
    <t>[Isely, Nikolas; Lamare, Miles] Univ Otago, Dept Marine Sci, Dunedin, New Zealand; [Isely, Nikolas; Marshall, Craig; Barker, Mike] Univ Otago, Dept Biochem, Dunedin, New Zealand</t>
  </si>
  <si>
    <t>University of Otago; University of Otago</t>
  </si>
  <si>
    <t>Lamare, M (corresponding author), Univ Otago, Dept Marine Sci, Dunedin, New Zealand.</t>
  </si>
  <si>
    <t>miles.lamare@otago.ac.nz</t>
  </si>
  <si>
    <t>Marshall, Craig J./C-6668-2009; Lamare, Miles M/A-7020-2010</t>
  </si>
  <si>
    <t>Marshall, Craig J./0000-0003-4186-0368; Lamare, Miles/0000-0001-8656-7240</t>
  </si>
  <si>
    <t>We especially thank Antarctica New Zealand for their logistical support over two field seasons. Thanks to Professor Michael Lesser and Dr. Adam Marsh for discussions and suggestions during the research. We also thank staff at the Portobello Marine Laboratory and the Department of Biochemistry, University of Otago, for assistance with our research. This research was generously funded by a University of Otago Research Grant (M.D.L., M.F.B. and C.J.M.).</t>
  </si>
  <si>
    <t>SEP-OCT</t>
  </si>
  <si>
    <t>10.1111/j.1751-1097.2009.00566.x</t>
  </si>
  <si>
    <t>489YT</t>
  </si>
  <si>
    <t>WOS:000269463700016</t>
  </si>
  <si>
    <t>La Rocca, N; Andreoli, C; Giacometti, GM; Rascio, N; Moro, I</t>
  </si>
  <si>
    <t>La Rocca, N.; Andreoli, C.; Giacometti, G. M.; Rascio, N.; Moro, I.</t>
  </si>
  <si>
    <t>Responses of the Antarctic microalga Koliella antarctica (Trebouxiophyceae, Chlorophyta) to cadmium contamination</t>
  </si>
  <si>
    <t>PHOTOSYNTHETICA</t>
  </si>
  <si>
    <t>Antarctica; cadmium; chlorophyll fluorescence; Koliella antarctica; pollution effects; PSII activity; ultrastructure</t>
  </si>
  <si>
    <t>CHLORELLA-VULGARIS; HEAVY-METALS; PHOTOSYNTHESIS; ACCLIMATION; CHLOROPLAST; TOXICITY; COPPER; CELLS; IDENTIFICATION; ACCUMULATION</t>
  </si>
  <si>
    <t>Ultrastructural and physiological effects of exposure to 1 ppm and 5 ppm of cadmium (Cd) on cultured cells of Koliella antarctica, a green microalga from Antarctica, were investigated. The amount of Cd in the alga rose with the increase of the metal concentration in the growth medium and most Cd remained outside the cells, bound to the components of the cell walls. The increase of Cd in the microalga was concomitant with the decrease of other elements, mainly calcium (Ca). Exposure to 1 ppm Cd slowed culture growth by inhibiting cell division and also caused the development of some misshapen cells with chloroplast showing disordered thylakoids. However, this concentration did not substantially affect the chlorophyll (Chl) content or photosystem (PS) activity. At 5 ppm, Cd cell growth suddenly stopped and some cells lysed. After a week of Cd contamination, the cells were enlarged and severely damaged. The chloroplasts showed great ultrastructural alterations and a reduced Chl content. Cd exposure negatively affected PSII, whose activity was almost completely lost after four days.</t>
  </si>
  <si>
    <t>[La Rocca, N.; Andreoli, C.; Giacometti, G. M.; Rascio, N.; Moro, I.] Univ Padua, Dept Biol, I-35131 Padua, Italy</t>
  </si>
  <si>
    <t>University of Padua</t>
  </si>
  <si>
    <t>Rascio, N (corresponding author), Univ Padua, Dept Biol, Via U Bassi 58-B, I-35131 Padua, Italy.</t>
  </si>
  <si>
    <t>nicoletta.rascio@unipd.it</t>
  </si>
  <si>
    <t>La Rocca, Nicoletta/AAA-2241-2021</t>
  </si>
  <si>
    <t>La Rocca, Nicoletta/0000-0003-4866-5952</t>
  </si>
  <si>
    <t>Italian National Program of Antarctic Research</t>
  </si>
  <si>
    <t>This work was supported by a grant provided by the Italian National Program of Antarctic Research (P.N.R.A.).</t>
  </si>
  <si>
    <t>6 PRAGUE</t>
  </si>
  <si>
    <t>NA KARLOVCE 1A,, 6 PRAGUE, 160 00, CZECH REPUBLIC</t>
  </si>
  <si>
    <t>0300-3604</t>
  </si>
  <si>
    <t>1573-9058</t>
  </si>
  <si>
    <t>Photosynthetica</t>
  </si>
  <si>
    <t>10.1007/s11099-009-0071-y</t>
  </si>
  <si>
    <t>518EJ</t>
  </si>
  <si>
    <t>WOS:000271672900021</t>
  </si>
  <si>
    <t>Amsler, CD; Amsler, MO; McClintock, JB; Baker, BJ</t>
  </si>
  <si>
    <t>Amsler, Charles D.; Amsler, Margaret O.; McClintock, James B.; Baker, Bill J.</t>
  </si>
  <si>
    <t>Filamentous algal endophytes in macrophytic Antarctic algae: prevalence in hosts and palatability to mesoherbivores</t>
  </si>
  <si>
    <t>PHYCOLOGIA</t>
  </si>
  <si>
    <t>Amphipods; Antarctica; Endophytes; Epiphytes; Macroalgae; Mesoherbivory</t>
  </si>
  <si>
    <t>BENTHIC MARINE MACROALGAE; KING-GEORGE ISLAND; POTTER COVE; SUBTIDAL MACROALGAE; SPECIES COMPOSITION; CHEMICAL DEFENSES; BROWN-ALGAE; AMPHIPODS; BIOMASS; EPIPHYTES</t>
  </si>
  <si>
    <t>Five individuals, each from 13 common species of large macroalgae ('macrophytes') from the western Antarctic Peninsula, were surveyed for the presence of filamentous algal endophytes both macroscopically and microscopically using dissecting and compound microscopes. Of the 13 species surveyed, endophytes were either rare or absent in five. The remaining species all supported endophytes in most or usually all individuals with maximum endophyte densities per species ranging from 3% to 75/4 of the thallus area. Thallus fragments from all individuals with endophytes were placed into culture, and 99 unialgal, filamentous brown algal strains were isolated. The ITS1 gene was sequenced in each strain to sort these into distinct genotypes. Brown algal endophytes grew well in culture, and 10 distinct filamentous genotypes were present. The green endophytes did not grow well in culture, and only two green algal species present in the thallus fragments were isolated. No-choice feeding rate bioassays were performed with thallus fragments of all 13 macrophyte species and with cultures of seven filamentous brown endophytes and both green endophytes. Feeding rates on the endophytes were 2-3 orders of magnitude higher than rates on 12 of the macrophyte species and 2- to 6-fold higher than on the only truly palatable macrophyte, Palmaria decipiens. These data support the hypothesis that Antarctic macrophytes are commonly endophytized and that the endophytes benefit from the association by being protected, at least in part, from amphipod herbivory.</t>
  </si>
  <si>
    <t>[Amsler, Charles D.; Amsler, Margaret O.; McClintock, James B.] Univ Alabama Birmingham, Dept Biol, Birmingham, AL 35294 USA; [Baker, Bill J.] Univ S Florida, Dept Chem, Tampa, FL 33620 USA</t>
  </si>
  <si>
    <t>Antarctica from the employees and subcontractors of Raytheon Polar Services Company; National Science Foundation [OPP-0442769, OPP-0442857]</t>
  </si>
  <si>
    <t>Antarctica from the employees and subcontractors of Raytheon Polar Services Company; National Science Foundation(National Science Foundation (NSF))</t>
  </si>
  <si>
    <t>We are grateful to Drs J. Lopez-Bautista and A. Peters for assistance with the techniques of molecular systematics and to Dr Peters as well as Dr S. Dudgeon and an anonymous reviewer for constructive comments on earlier versions of the manuscript. We also thank Dr R. Angus for advice on statistics, Dr R. Moe for advice on taxonomy, Mr P. Bucolo for assistance with feeding bioassay methodology, and Ms K. Nelson for laboratory assistance. This project would not have been possible without the hard work of the other members of our 2007 and 2008 Antarctic field teams or without outstanding logistical support in Antarctica from the employees and subcontractors of Raytheon Polar Services Company. Supported by National Science Foundation awards OPP-0442769 (CDA, JBM) and OPP-0442857 (BJB).</t>
  </si>
  <si>
    <t>0031-8884</t>
  </si>
  <si>
    <t>2330-2968</t>
  </si>
  <si>
    <t>Phycologia</t>
  </si>
  <si>
    <t>10.2216/08-79.1</t>
  </si>
  <si>
    <t>498SH</t>
  </si>
  <si>
    <t>WOS:000270162900002</t>
  </si>
  <si>
    <t>Zacher, K; Roleda, MY; Wulff, A; Hanelt, D; Wiencke, C</t>
  </si>
  <si>
    <t>Zacher, Katharina; Roleda, Michael Y.; Wulff, Angela; Hanelt, Dieter; Wiencke, Christian</t>
  </si>
  <si>
    <t>Responses of Antarctic Iridaea cordata (Rhodophyta) tetraspores exposed to ultraviolet radiation</t>
  </si>
  <si>
    <t>PHYCOLOGICAL RESEARCH</t>
  </si>
  <si>
    <t>Antarctica; DNA damage; mycosporine-like amino acids; P-E curve; photosynthetic efficiency; tetraspores; ultraviolet radiation</t>
  </si>
  <si>
    <t>DEPTH DISTRIBUTION; UV-RADIATION; LIGHT STRESS; LIFE STAGES; DNA-DAMAGE; PHOTOSYNTHESIS; SENSITIVITY; MACROALGAE; KELPS; PHOTOINHIBITION</t>
  </si>
  <si>
    <t>P&gt;In Antarctica ozone depletion is highest during spring, coinciding with the reproduction of many seaweed species. Propagules are the life-stage of an alga most susceptible to environmental perturbations. Therefore, fertile thalli of Iridaea cordata (Turner) Bory (Rhodophyta) were collected in the eulittoral of King George Island (Antarctica) to examine spore susceptibility to ultraviolet radiation (UVR). In the laboratory, freshly released tetraspores were exposed to photosynthetically active radiation (PAR) (400-700 nm), PAR+UV-A (320-700 nm) or PAR+UV-A+UV-B (280-700 nm). Photosynthetic efficiency was measured during 1-8 h of exposure and after 48 h of recovery. Additionally, mycosporine-like amino acids (MAAs) and DNA damage were determined. Saturating irradiance of photosynthesis of freshly released tetraspores was 57 mu mol photons m(-2) s(-1). Exposure to increasing fluence of PAR reduced photosynthetic efficiency. UVR further decreased the photosynthetic efficiencies of the tetraspores but spores were able to recover completely after UVR exposure and 2 days post-cultivation under low PAR. DNA damage was minimal and lesions were effectively repaired under photoreactivating light. Concentrations of the MAAs shinorine and palythine were higher in tetraspores treated with UVR than in spores only exposed to PAR. Generally, the tetraspores show a good UV tolerance. This flexible response of the tetraspores of this species to changing radiation conditions enables the alga to grow along a considerable depth gradient from the sublittoral to the eulittoral where they can be exposed to enhanced UVBR under conditions of stratospheric ozone depletion.</t>
  </si>
  <si>
    <t>[Zacher, Katharina; Wiencke, Christian] Alfred Wegener Inst Polar &amp; Marine Res, Sect Funct Ecol, Dept Seaweed Biol, D-27570 Bremerhaven, Germany; [Roleda, Michael Y.] Inst Polar Ecol, D-24148 Kiel, Germany; [Hanelt, Dieter] Univ Hamburg, Biozentrum Klein Flottbek, D-22609 Hamburg, Germany; [Wulff, Angela] Univ Gothenburg, Dept Marine Ecol, SE-40530 Gothenburg, Sweden</t>
  </si>
  <si>
    <t>Helmholtz Association; Alfred Wegener Institute, Helmholtz Centre for Polar &amp; Marine Research; University of Hamburg; University of Gothenburg</t>
  </si>
  <si>
    <t>Zacher, K (corresponding author), Alfred Wegener Inst Polar &amp; Marine Res, Sect Funct Ecol, Dept Seaweed Biol, Handelshafen 12, D-27570 Bremerhaven, Germany.</t>
  </si>
  <si>
    <t>katharina.zacher@awi.de</t>
  </si>
  <si>
    <t>Roleda, Michael Y./H-9645-2019; Hanelt, Dieter/E-6659-2017</t>
  </si>
  <si>
    <t>Roleda, Michael Y./0000-0003-0568-9081;</t>
  </si>
  <si>
    <t>German Research Council (DFG); Alfred Wegener Institute for Polar and Marine Research, Germany.</t>
  </si>
  <si>
    <t>German Research Council (DFG)(German Research Foundation (DFG)); Alfred Wegener Institute for Polar and Marine Research, Germany.</t>
  </si>
  <si>
    <t>This work was done under the agreement on scientific cooperation between the Alfred Wegner Institute and the Direccion Nacional del Antarctico at Dallmann Laboratory, annex to Jubany station. Thanks to the Jubany and Dallmann teams for their support. We gratefully acknowledge financial support by the German Research Council (DFG) and the Alfred Wegener Institute for Polar and Marine Research, Germany.</t>
  </si>
  <si>
    <t>1322-0829</t>
  </si>
  <si>
    <t>1440-1835</t>
  </si>
  <si>
    <t>PHYCOL RES</t>
  </si>
  <si>
    <t>Phycol. Res.</t>
  </si>
  <si>
    <t>10.1111/j.1440-1835.2009.00538.x</t>
  </si>
  <si>
    <t>486JD</t>
  </si>
  <si>
    <t>WOS:000269191300005</t>
  </si>
  <si>
    <t>Janion, C; Worland, MR; Chown, SL</t>
  </si>
  <si>
    <t>Janion, Charlene; Worland, M. Roger; Chown, Steven L.</t>
  </si>
  <si>
    <t>Assemblage level variation in springtail lower lethal temperature: the role of invasive species on sub-Antarctic Marion Island</t>
  </si>
  <si>
    <t>Biological invasion; cold hardiness; functional homogenization; macrophysiology; relative abundance</t>
  </si>
  <si>
    <t>INSECT COLD HARDINESS; THERMAL TOLERANCE; BIOTIC HOMOGENIZATION; BIOLOGICAL INVASIONS; CLIMATIC VARIABILITY; SUPERCOOLING POINTS; FREEZE TOLERANCE; CAPE HALLETT; COLLEMBOLA; MICROARTHROPODS</t>
  </si>
  <si>
    <t>It is widely held both in the physiological literature, and more generally, that the average characteristics of species within an assemblage differ among sites. Such generalizations should be based on investigations of whole assemblages at sites, but this is rarely done. Here, such a study is undertaken for virtually the full assemblage of springtails found at sub-Antarctic Marion Island, by investigating supercooling points (SCPs) of 12 of the 16 species that occur there. Assemblage level variation tends to be less than that documented for assemblages across northern hemisphere sites but similar to that found at some Antarctic locations. Across this set of species, the mean SCPs of the indigenous species (mean +/- SE = -17.2 +/- 0.4 degrees C) do not differ significantly from that of the invasive species (-16.3 +/- 0.7 degrees C). Overall, the introduction of several species to the island does not appear to have led to functional homogenization (for this trait). By combining the assemblage-level SCP data with information on the abundances of the species in each of four major habitats, it is also shown that severe but uncommon low temperature events could substantially alter species relative abundances. By resetting assemblage trajectories, such events could play an important role in the terrestrial system at the island.</t>
  </si>
  <si>
    <t>[Janion, Charlene; Chown, Steven L.] Univ Stellenbosch, Dept Bot &amp; Zool, Ctr Invas Biol, ZA-7602 Stellenbosch, South Africa; [Worland, M. Roger] British Antarctic Survey, NERC, Cambridge CB3 0ET, England</t>
  </si>
  <si>
    <t>Stellenbosch University; UK Research &amp; Innovation (UKRI); Natural Environment Research Council (NERC); NERC British Antarctic Survey</t>
  </si>
  <si>
    <t>Janion, C (corresponding author), Univ Stellenbosch, Dept Bot &amp; Zool, Ctr Invas Biol, Private Bag 11, ZA-7602 Stellenbosch, South Africa.</t>
  </si>
  <si>
    <t>cjanion@sun.ac.za</t>
  </si>
  <si>
    <t>Janion-Scheepers, Charlene/0000-0001-5942-7912; Chown, Steven/0000-0001-6069-5105</t>
  </si>
  <si>
    <t>SA-Norway; British Antarctic Survey; NERC [bas0100025] Funding Source: UKRI; Natural Environment Research Council [bas0100025] Funding Source: researchfish</t>
  </si>
  <si>
    <t>SA-Norway; British Antarctic Survey; NERC(UK Research &amp; Innovation (UKRI)Natural Environment Research Council (NERC)); Natural Environment Research Council(UK Research &amp; Innovation (UKRI)Natural Environment Research Council (NERC))</t>
  </si>
  <si>
    <t>We thank Melodie McGeoch for helpful discussion and John Terblanche and two anonymous referees for their helpful comments on a previous version of the manuscript. Logistic support in the field was provided by the South African National Antarctic Programme and funding for this work was provided partly by SA-Norway Grant 180349 to S.L. Chown/H.P. Leinaas and by the British Antarctic Survey.</t>
  </si>
  <si>
    <t>10.1111/j.1365-3032.2009.00689.x</t>
  </si>
  <si>
    <t>484PL</t>
  </si>
  <si>
    <t>WOS:000269058600013</t>
  </si>
  <si>
    <t>Kuklinski, P; Barnes, DKA</t>
  </si>
  <si>
    <t>Kuklinski, Piotr; Barnes, David K. A.</t>
  </si>
  <si>
    <t>A new genus and three new species of Antarctic cheilostome Bryozoa</t>
  </si>
  <si>
    <t>Antarctic; Bryozoa; Taxonomy; New species; Southern Ocean; Biodiversity</t>
  </si>
  <si>
    <t>GROWTH; SEA</t>
  </si>
  <si>
    <t>Three new cheilostome bryozoans species were discovered in the collections of the BIOPEARL I cruise to the Scotia Arc. The species were found on boulders from the continental slope and shelf-break of Powell Basin, South Georgia and Shag Rocks in Agassiz trawl catches from the RRS James Clarke Ross. Amphiblestrum henryi sp. nov. is characterised by a conspicuous avicularium acute to the frontal surface overarching more than half of the opesia. On the distobasal edge of the avicularium there are 1-4 processes pointed distally and distolaterally. Inferusia taylori gen. et sp. nov. is characterised by a reduced gymnocyst, extensive costate frontal shield, and an avicularium distal of the orifice. Antarctothoa haywardi sp. nov. has three types of zooids: autozooids, male and female, the males possessing a tiny orifice in relation to zooid size. The species is very similar to Antarcothoa alia but the shape of the autozooidal orifice, with its deeper and narrower sinus, as well as a lack of condyles in the proximal corners of the male orifice allow the species to be recognized as new.</t>
  </si>
  <si>
    <t>[Kuklinski, Piotr] Polish Acad Sci, Inst Oceanol, PL-81712 Sopot, Poland; [Barnes, David K. A.] British Antarctic Survey, Nat Environm Res Council, Cambridge CB3 0ET, England</t>
  </si>
  <si>
    <t>Polish Academy of Sciences; Institute of Oceanology of the Polish Academy of Sciences; UK Research &amp; Innovation (UKRI); Natural Environment Research Council (NERC); NERC British Antarctic Survey</t>
  </si>
  <si>
    <t>Kuklinski, Piotr/0000-0002-1507-215X</t>
  </si>
  <si>
    <t>Polish Ministry of Science and Higher Education [N N304 270434]; Natural Environment Research Council [bas010015] Funding Source: researchfish; NERC [bas010015] Funding Source: UKRI</t>
  </si>
  <si>
    <t>Polish Ministry of Science and Higher Education(Ministry of Science and Higher Education, Poland); Natural Environment Research Council(UK Research &amp; Innovation (UKRI)Natural Environment Research Council (NERC)); NERC(UK Research &amp; Innovation (UKRI)Natural Environment Research Council (NERC))</t>
  </si>
  <si>
    <t>Mary Spencer Jones (Department of Zoology, NHM) is thanked for her assistance with collections. We would like also to thank Paul Taylor, Peter Hayward, Dennis Gordon, Juan Lopez Gappa, and Carlos Lopez- Fe de la Cuadra for discussions leading to an improvement of manuscript. This study was supported by a grant from the Polish Ministry of Science and Higher Education (No N N304 270434).</t>
  </si>
  <si>
    <t>10.1007/s00300-009-0621-6</t>
  </si>
  <si>
    <t>495SK</t>
  </si>
  <si>
    <t>WOS:000269915100001</t>
  </si>
  <si>
    <t>Gesheva, V</t>
  </si>
  <si>
    <t>Gesheva, Victoria</t>
  </si>
  <si>
    <t>Distribution of psychrophilic microorganisms in soils of Terra Nova Bay and Edmonson Point, Victoria Land and their biosynthetic capabilities</t>
  </si>
  <si>
    <t>Antarctic soils; Victoria Land; Psychrophiles; Actinomycetes; Enzymes; Antibiotics; Phytopathogens</t>
  </si>
  <si>
    <t>Microbiota of soil samples from Terra Nova Bay and Edmonson Point, Antarctica was observed by dilutions spread plate method. Variety of mesophilic and psychrophilic microorganisms was detected and isolated. Bacteria, actinomycetes, fungi, and microalgae occurred. Fungi genera Penicillium, Aspergillus, Paecilomyces, Cladosporium, Mortierella, Candida, Rhodotorula were found. By morphology and cell wall aminoacid composition the actinomycete genus Streptomyces was characterized. The bacteria and actinomycetes were screened for biologically active products. Some cultures formed enzymes, glycolipids and antibiotics. Psychrophilic strain Streptomyces sp. no. 8 was studied more detail and was established that it produced following antibiotics: azalomycin B, nigericin and non-polyenic macrolide antibiotic composed from two components that inhibited the growth of Gram-positive bacteria, yeasts, and phytopathogenic fungi.</t>
  </si>
  <si>
    <t>Bulgarian Acad Sci, Stephan Angeloff Inst Microbiol, BU-1113 Sofia, Bulgaria</t>
  </si>
  <si>
    <t>Bulgarian Academy of Sciences; Stephan Angeloff Institute of Microbiology, Bulgarian Academy of Sciences</t>
  </si>
  <si>
    <t>Gesheva, V (corresponding author), Bulgarian Acad Sci, Stephan Angeloff Inst Microbiol, BU-1113 Sofia, Bulgaria.</t>
  </si>
  <si>
    <t>teteven@excite.com</t>
  </si>
  <si>
    <t>10.1007/s00300-009-0625-2</t>
  </si>
  <si>
    <t>WOS:000269915100004</t>
  </si>
  <si>
    <t>Cuervo, JJ; Palacios, MJ; Barbosa, A</t>
  </si>
  <si>
    <t>Cuervo, Jose J.; Palacios, Maria J.; Barbosa, Andres</t>
  </si>
  <si>
    <t>Beak colouration as a possible sexual ornament in gentoo penguins: sexual dichromatism and relationship to body condition</t>
  </si>
  <si>
    <t>Body mass relative to body size; Carotenoids; Pygoscelis papua; Spectroradiometry; Ultraviolet</t>
  </si>
  <si>
    <t>KING PENGUIN; BREEDING SUCCESS; MATE CHOICE; MALE TRAITS; DIMORPHISM; SELECTION; EVOLUTION; PIGMENTS; YELLOW; BIRDS</t>
  </si>
  <si>
    <t>Gentoo penguins (Pygoscelis papua) have conspicuous red beak spots, the function of which is currently unknown. We hypothesized that beak spots might be sexual ornaments and investigated sexual dichromatism, assortative mating and the possible relationship between beak spot colouration and body condition. Beak colouration was measured with a portable spectroradiometer in 19 breeding pairs of gentoo penguin. Body mass and body mass relative to structural body size were used as estimates of body condition. We found that beak spots were sexually dichromatic, as they were more UV in males and more violet in females, but males and females did not mate assortatively in relation to beak spot colouration. Body condition was strongly related to red colouration in males, with individuals in good condition having redder beaks and individuals in poor condition more orange beaks. The beaks of males in good condition were also brighter. Body condition was not significantly related to beak spot colouration in females, so females might show red beak spots because of genetic correlation with the male trait. These results suggest that the red colour of the beak spot has the potential to be a secondary sexual character in males. Interpretation of the sexual dichromatism in the UV colour will require further knowledge of the capability of gentoo penguins to discriminate small differences in UV wavelengths. In any case, experimental manipulation of beak colouration will be needed to ascertain the role of this trait.</t>
  </si>
  <si>
    <t>[Cuervo, Jose J.; Palacios, Maria J.; Barbosa, Andres] CSIC, Estac Expt Zonas Aridas, Almeria 04001, Spain; [Barbosa, Andres] CSIC, Museo Nacl Ciencias Nat, Dept Ecol Evolut, E-28006 Madrid, Spain</t>
  </si>
  <si>
    <t>Consejo Superior de Investigaciones Cientificas (CSIC); CSIC - Estacion Experimental de Zonas Aridas (EEZA); Consejo Superior de Investigaciones Cientificas (CSIC); CSIC - Museo Nacional de Ciencias Naturales (MNCN)</t>
  </si>
  <si>
    <t>Cuervo, JJ (corresponding author), CSIC, Estac Expt Zonas Aridas, Calle Gen Segura 1, Almeria 04001, Spain.</t>
  </si>
  <si>
    <t>jcuervo@eeza.csic.es</t>
  </si>
  <si>
    <t>Barbosa, Andrés/C-3208-2008; Cuervo, José Javier/K-1646-2014</t>
  </si>
  <si>
    <t>Barbosa, Andrés/0000-0001-8434-3649; Cuervo, José Javier/0000-0001-7943-7835</t>
  </si>
  <si>
    <t>Spanish Ministry of Education and Science; European Regional Development Fund [CGL2004-01348/ANT, POL2006-05175/CGL]</t>
  </si>
  <si>
    <t>Spanish Ministry of Education and Science(Spanish Government); European Regional Development Fund(European Union (EU))</t>
  </si>
  <si>
    <t>We thank F. S. Dobson, M. Nicolaus and an anonymous referee for helpful comments and suggestions on a previous version of the manuscript. We are very grateful to the Argentinean Antarctic base Teniente Jubany, the Spanish oceanographic research ship Las Palmas, and the Marine Technology Unit (Spanish National Research Council) for logistic support. We are greatly indebted to the Avian and Mammal Groups of the Argentinean Antarctic Institute for their help with the Weld work. Permissions to work in the study area and for penguin manipulations were given by the Spanish Polar Committee. This study was funded by the Spanish Ministry of Education and Science and the European Regional Development Fund (grants CGL2004-01348/ANT and POL2006-05175/CGL). This study is a contribution to the International Polar Year Birdhealth project and the Pinguclim project.</t>
  </si>
  <si>
    <t>10.1007/s00300-009-0627-0</t>
  </si>
  <si>
    <t>WOS:000269915100006</t>
  </si>
  <si>
    <t>Urschel, MR; O'Brien, KM</t>
  </si>
  <si>
    <t>Urschel, Matthew R.; O'Brien, Kristin M.</t>
  </si>
  <si>
    <t>Mitochondrial function in Antarctic notothenioid fishes that differ in the expression of oxygen-binding proteins</t>
  </si>
  <si>
    <t>Antarctic icefishes; Mitochondria; Temperature</t>
  </si>
  <si>
    <t>UNCOUPLING PROTEIN-2; OXIDATIVE CAPACITIES; THERMAL-ACCLIMATION; MEMBRANE-PROTEINS; AEROBIC CAPACITY; TEMPERATURE; ADAPTATION; PHOSPHOLIPIDS; RESPIRATION; SUPEROXIDE</t>
  </si>
  <si>
    <t>State III respiration rates were measured in mitochondria isolated from hearts of Antarctic notothenioid fishes that differ in the expression of hemoglobin (Hb) and myoglobin (Mb). Respiration rates were measured at temperatures between 2 and 40A degrees C in Gobionotothen gibberifrons (+Hb/+Mb), Chaenocephalus aceratus (-Hb/-Mb) and Chionodraco rastrospinosus (-Hb/+Mb). Blood osmolarity was measured in all three species and physiological buffers prepared for isolating mitochondria and measuring respiration rates. Respiration rates were higher in mitochondria from G. gibberifrons compared to those from C. aceratus at 2A degrees C, but were similar among all species at temperatures between 10 and 26A degrees C. Respiration rates were significantly lower in icefishes at 35 and 40A degrees C compared to G. gibberifrons. The respiratory control ratio of isolated mitochondria was lower in C. aceratus compared to G. gibberifrons at all temperatures below 35A degrees C. At 35 and 40A degrees C, mitochondria were uncoupled in all species. The Arrhenius break temperature of state III respiration was similar among all three species (30.5 +/- A 0.9A degrees C) and higher than values previously reported for Antarctic notothenioids, likely due to the higher osmolarity of buffers used in this study. These results suggest that differences in mitochondrial structure, correlated with the expression of oxygen-binding proteins, minimally impact mitochondrial function.</t>
  </si>
  <si>
    <t>[Urschel, Matthew R.; O'Brien, Kristin M.] Univ Alaska, Inst Arctic Biol, Fairbanks, AK 99775 USA</t>
  </si>
  <si>
    <t>O'Brien, KM (corresponding author), Univ Alaska, Inst Arctic Biol, POB 757000, Fairbanks, AK 99775 USA.</t>
  </si>
  <si>
    <t>ffko@uaf.edu</t>
  </si>
  <si>
    <t>National Science Foundation [ANT 04-38778]</t>
  </si>
  <si>
    <t>We gratefully acknowledge the assistance of Dr. Bruce Sidell, who first pointed out to us the importance of considering blood osmolarity when working with isolated mitochondria. We also appreciate his insightful comments during the preparation of this manuscript. We would also like to thank the Master's and crew of the ARSV Laurence M. Gould and the Raytheon Polar Services staff at the US Antarctic Research Station, Palmer Station for their outstanding assistance in the field. Support for this research was provided by a grant to K.O. from the Antarctic Organisms and Ecosystems Program in the Antarctic Sciences Division of the National Science Foundation (ANT 04-38778).</t>
  </si>
  <si>
    <t>10.1007/s00300-009-0629-y</t>
  </si>
  <si>
    <t>WOS:000269915100008</t>
  </si>
  <si>
    <t>Pienkowski, AJ; Marret, F; Thomas, DN; Scourse, JD; Dieckmann, GS</t>
  </si>
  <si>
    <t>Pienkowski, Anna Jadwiga; Marret, Fabienne; Thomas, David N.; Scourse, James D.; Dieckmann, Gerhard S.</t>
  </si>
  <si>
    <t>Dinoflagellates in a fast-ice covered inlet of the Riiser-Larsen Ice Shelf (Weddell Sea)</t>
  </si>
  <si>
    <t>Dinoflagellates; Protozooplankton; Sediment trap; Southern Ocean; Thecates; Antarctica</t>
  </si>
  <si>
    <t>SPRING-SUMMER TRANSITION; ANTARCTIC PACK ICE; TERRA-NOVA BAY; COMMUNITY STRUCTURE; SOUTHERN-OCEAN; SPECIES COMPOSITION; ATLANTIC SECTOR; ROSS SEA; PHYTOPLANKTON ASSEMBLAGES; MICROBIAL COMMUNITIES</t>
  </si>
  <si>
    <t>A short-term (3-15 days) multiple and single sediment-trap array deployed in Drescher Inlet (Eastern Weddell Sea) during austral summer 1998 showed well preserved and relatively diverse dinoflagellate assemblages comprised of 13 taxa. Consistent with other Antarctic studies, large Protoperidinium species were dominating whereas Preperidinium and Dinophysis showed minor frequencies. Athecates were not observed, possibly due to their poor preservation status. The majority of dinoflagellates were heterotrophic species, likely feeding on previously recorded abundant diatoms at the study site. Assemblage structures varied according to depth (Protoperidinium antarcticum and P. rosaceum at 10 m depth vs. P. macrapicatum and Preperidinium granulosum at 360 m depth) and collection period (first period: P. antarcticum; second period: Protoperidinium sp. C). Sediment-trap dinoflagellates were either derived from a flux out of the overlying fast ice, platelet ice, or the water column but given their high mobility, migration between these media cannot be ruled out.</t>
  </si>
  <si>
    <t>[Pienkowski, Anna Jadwiga; Thomas, David N.; Scourse, James D.] Bangor Univ, Coll Nat Sci, Menai Bridge LL59 5AB, Gwynedd, Wales; [Marret, Fabienne] Univ Liverpool, Dept Geog, Liverpool L69 7ZT, Merseyside, England; [Dieckmann, Gerhard S.] Alfred Wegener Inst Polar &amp; Marine Res, D-27570 Bremerhaven, Germany</t>
  </si>
  <si>
    <t>Bangor University; University of Liverpool; Helmholtz Association; Alfred Wegener Institute, Helmholtz Centre for Polar &amp; Marine Research</t>
  </si>
  <si>
    <t>Pienkowski, AJ (corresponding author), Univ Alberta, Dept Earth &amp; Atmospher Sci, Edmonton, AB T6G 2E3, Canada.</t>
  </si>
  <si>
    <t>a.pienkowski@ualberta.ca</t>
  </si>
  <si>
    <t>Thomas, David Neville/B-1448-2010; Pienkowski, Anna/J-9339-2013; Dieckmann, Gerhard S/B-4307-2010; Pieńkowski, Anna J./AAL-1312-2020</t>
  </si>
  <si>
    <t>Thomas, David Neville/0000-0001-8832-5907; Pienkowski, Anna/0000-0002-3606-7130; Pieńkowski, Anna J./0000-0002-3606-7130; Marret-Davies, Fabienne/0000-0003-4244-0437</t>
  </si>
  <si>
    <t>Natural Environment Council; British Council/DAAD; Royal Society; Nuffield Foundation; Natural Environment Research Council [NER/A/S/2003/00340] Funding Source: researchfish</t>
  </si>
  <si>
    <t>Natural Environment Council; British Council/DAAD(Deutscher Akademischer Austausch Dienst (DAAD)); Royal Society(Royal Society); Nuffield Foundation; Natural Environment Research Council(UK Research &amp; Innovation (UKRI)Natural Environment Research Council (NERC))</t>
  </si>
  <si>
    <t>We thank J. Plotz and H. Bornemann and the captain and crew of the RV Polarstern for their support in the Weld. I. A. N. Lucas and G. Walker are thanked for SEM assistance. We also wish to acknowledge assistance with species identifications by K. Zonneveld and J. Lewis. We thank B. Long for assistance with lab work and M. Furze for proofreading and help with diagrams and figures. This work was partially funded by the Natural Environment Council, British Council/DAAD, the Royal Society and the Nuffield Foundation. We are grateful to Oliver Esper and one anonymous reviewer whose comments improved the manuscript.</t>
  </si>
  <si>
    <t>10.1007/s00300-009-0630-5</t>
  </si>
  <si>
    <t>WOS:000269915100009</t>
  </si>
  <si>
    <t>Kruse, S; Bathmann, U; Brey, T</t>
  </si>
  <si>
    <t>Kruse, Svenja; Bathmann, Ulrich; Brey, Thomas</t>
  </si>
  <si>
    <t>Meso- and bathypelagic distribution and abundance of chaetognaths in the Atlantic sector of the Southern Ocean</t>
  </si>
  <si>
    <t>Chaetognatha; Antarctica; Bathypelagial; Distribution; Abundance; Life cycle</t>
  </si>
  <si>
    <t>VERTICAL-DISTRIBUTION; EUKROHNIA-HAMATA; POPULATION-STRUCTURE; ANTARCTIC PENINSULA; PREDATION IMPACT; GERLACHE STRAIT; SEA ANTARCTICA; PACIFIC; MACROZOOPLANKTON; WATER</t>
  </si>
  <si>
    <t>We conducted multinet sampling during winter and summer in the Southern Ocean (Atlantic sector) to investigate the effect of water mass, season and water depth on abundance and species composition of meso- and bathypelagic chaetognaths. Eukrohnia hamata (mean 115 ind. 1,000 m(-3)) and Sagitta marri (mean 51 ind. 1,000 m(-3)) were dominant, complemented by E. bathypelagica (mean 19 ind. 1,000 m(-3)) and E. bathyantarctica (mean 19 ind. 1,000 m(-3)) below 1,000 m. A further six species were identified, among them the rare bathypelagic species Heterokrohnia fragilis and the subtropical Eukrohnia macroneura that is new to the Antarctic. Water depth and season were the principal determinants of abundance and species composition patterns, indicating vertical seasonal migration and vertical segregation of species. The life cycles of E. hamata and S. marri were studied additionally. Their maturity stages were vertically segregated and prolonged reproductive periods are suggested for both species.</t>
  </si>
  <si>
    <t>[Kruse, Svenja; Bathmann, Ulrich; Brey, Thomas] Alfred Wegener Inst Polar &amp; Marine Res, D-27570 Bremerhaven, Germany</t>
  </si>
  <si>
    <t>Svenja.Kruse@awi.de; Ulrich.Bathmann@awi.de; Thomas.Brey@awi.de</t>
  </si>
  <si>
    <t>Brey, Thomas/0000-0002-6345-2851</t>
  </si>
  <si>
    <t>10.1007/s00300-009-0632-3</t>
  </si>
  <si>
    <t>WOS:000269915100011</t>
  </si>
  <si>
    <t>Membrives, ASI; Turpaeva, E; Munilla, T</t>
  </si>
  <si>
    <t>Soler i Membrives, Anna; Turpaeva, Elena; Munilla, Tomas</t>
  </si>
  <si>
    <t>Pycnogonids of the Eastern Weddell Sea (Antarctica), with remarks on their bathymetric distribution</t>
  </si>
  <si>
    <t>Eastern Weddell Sea; Pycnogonids; Bathymetric distribution; Nymphon</t>
  </si>
  <si>
    <t>DEEP; BIODIVERSITY; COMMUNITIES; SHELF</t>
  </si>
  <si>
    <t>The current work presents new data on the pycnogonids collected during the ANTXXI/2 cruise on board of Polarstern R/V during December 2003 and January 2004 in the Eastern Weddell Sea (Antarctica). Twenty-eight samples were taken, with different trawls, from depths between 120 and 1,866 m. In total, 251 specimens of pycnogonids, belonging to 31 species, were collected. Five species were observed to increase their depth range while six were found for the first time in the Weddell Sea, exhibiting an expansion in their geographical distribution, and confirming the general trend toward the circumpolarity of this group (23 of 31 species were circumpolar). Pallenopsis kupei is new for Antarctic waters. The most abundant species were Colossendeis megalonyx and Nymphon australe. Current data were completed with the samples collected from the same region during Polarstern cruise ANTXIII/3 (EASIZ I) in February-March 1996. Bathymetric patterns of distribution were analyzed for the total of 1,564 specimens (82 species, 14 genera). The results showed a difference in the composition between the continental shelf (from 100 to 900 m depth) and the slope (below 900 m), where the genus Nymphon dominated. Depth seems to be an influential factor in the structure of pycnogonid assemblages.</t>
  </si>
  <si>
    <t>[Soler i Membrives, Anna; Munilla, Tomas] Univ Autonoma Barcelona, Fac Biociencies, Dept Biol Anim, Unitat Zool, E-08193 Barcelona, Spain; [Turpaeva, Elena] Russian Acad Sci, PP Shirshov Oceanol Inst, Moscow 117218, Russia</t>
  </si>
  <si>
    <t>Autonomous University of Barcelona; Russian Academy of Sciences; Shirshov Institute of Oceanology</t>
  </si>
  <si>
    <t>Membrives, ASI (corresponding author), Univ Autonoma Barcelona, Fac Biociencies, Dept Biol Anim, Unitat Zool, E-08193 Barcelona, Spain.</t>
  </si>
  <si>
    <t>Anna.Soler@uab.cat</t>
  </si>
  <si>
    <t>Soler-Membrives, Anna/L-3169-2014; Rochette, Mally/JFS-0030-2023</t>
  </si>
  <si>
    <t>Soler-Membrives, Anna/0000-0002-6543-8367;</t>
  </si>
  <si>
    <t>10.1007/s00300-009-0635-0</t>
  </si>
  <si>
    <t>WOS:000269915100013</t>
  </si>
  <si>
    <t>Schwenzer, SP; Herrmann, S; Ott, U</t>
  </si>
  <si>
    <t>Schwenzer, S. P.; Herrmann, S.; Ott, U.</t>
  </si>
  <si>
    <t>Noble gases in two shergottites and one nakhlite from Antarctica: Y000027, Y000097, and Y000593</t>
  </si>
  <si>
    <t>Martian meteorite; Noble gas; Cosmic irradiation; Elemental fractionation</t>
  </si>
  <si>
    <t>METEORITICAL BULLETIN; MARTIAN SHERGOTTITES; RELATIVE ABUNDANCES; SNC METEORITES; EXPOSURE AGES; NITROGEN; ARGON; CHONDRITES; ATMOSPHERE; ISOTOPES</t>
  </si>
  <si>
    <t>We have investigated secondary influences on the noble gas budget in rim and interior pairs of three Martian meteorites from Antarctica: the lherzolitic shergottites Y000027 and Y000097, and the nakhlite Y000593. Three factors have been found to influence the original Martian noble gas budget: shock metamorphic overprint, cosmic irradiation, and terrestrial weathering. The He-3/He-4 ratio of the shergottites is between 0.189 and 0.217, which indicates almost complete loss of radiogenic He-4. This is expected from the high shock pressure observed in the shergottite samples. The concentration of He-4 in these shergottite samples ranges from 33.8 to 39.4 x 10(-8) ccSTP/g. Ne-22 in the shergottites is on the order of 14 x 10(-9) ccSTP/g. The nakhlite has similar to 800 x 10(-8) ccSTP/g He-4 and similar to 26 x 10(-9) ccSTP/g Ne-22. An indication for solar cosmic ray contribution to the neon budget can be found in the shergottites. As Y000027 and Y000097 are reported to be paired we conclude the cosmic ray exposure (CRE) age T(3+21) of this shergottite to be 4.41 +/- 0.54 Ma. For the nakhlite Y000593 T(3+21) is 11.8 +/- 0.3 Ma. Heavy noble gas concentrations show large differences between rim and interior samples with the rim samples having 1.3-2.9, 1.7-38, and 1.4-20 times as much Ar-36, Kr-84, and Xe-132, respectively. The enrichment of heavy noble gases in the rim samples indicates severe terrestrial contamination. The relation between Xe-129/Xe-132 and Kr-84/Xe-132 in the rim samples shows that the incorporation mechanism caused elemental fractionation of Kr and Xe to the extent that in the Y000027 shergottite samples any Martian signature is completely masked by terrestrial contamination, if the total is taken. Only the 1400 degrees C steps show clear evidence for Martian atmosphere. The Y000593 nakhlite interior sample, on the other hand, shows low Kr-84/Xe-132 in relation to Xe-129/Xe-132, which is characteristic for fractionated Martian atmosphere observed in nakhlites. (C) 2009 Elsevier B.V. and NIPR. All rights reserved.</t>
  </si>
  <si>
    <t>[Schwenzer, S. P.; Herrmann, S.; Ott, U.] Max Planck Inst Chem, D-55128 Mainz, Germany</t>
  </si>
  <si>
    <t>Schwenzer, SP (corresponding author), Lunar &amp; Planetary Inst, 3600 Bay Area Blvd, Houston, TX 77058 USA.</t>
  </si>
  <si>
    <t>schwenzer@lpi.usra.edu</t>
  </si>
  <si>
    <t>Schwenzer, Susanne P/H-6992-2019; Ott, Ulrich/ABH-2337-2020</t>
  </si>
  <si>
    <t>Schwenzer, Susanne P/0000-0002-9608-0759; Ulrich, Ott/0000-0003-3574-9591</t>
  </si>
  <si>
    <t>German Science Foundation (DFG) [SCHW 1232/1-1]</t>
  </si>
  <si>
    <t>German Science Foundation (DFG)(German Research Foundation (DFG))</t>
  </si>
  <si>
    <t>We are grateful to the Antarctic Meteorite Research Center, National Institute for Polar Research, Japan, especially Dr. K. Misawa for the samples. We thank Ingo Leya for providing his spreadsheets to perform the GCR calculations. This work was supported by the German Science Foundation (DFG Grant SCHW 1232/1-1 to SPS). This is LPI contribution No. 1432.</t>
  </si>
  <si>
    <t>10.1016/j.polar.2009.06.001</t>
  </si>
  <si>
    <t>V33OQ</t>
  </si>
  <si>
    <t>WOS:000209028500001</t>
  </si>
  <si>
    <t>Suavet, C; Rochette, P; Kars, M; Gattacceca, J; Folco, L; Harvey, RP</t>
  </si>
  <si>
    <t>Suavet, Clement; Rochette, Pierre; Kars, Myriam; Gattacceca, Jerome; Folco, Luigi; Harvey, Ralph P.</t>
  </si>
  <si>
    <t>Statistical properties of the Transantarctic Mountains (TAM) micrometeorite collection</t>
  </si>
  <si>
    <t>Antarctica; Micrometeorites; Size distribution; Weathering</t>
  </si>
  <si>
    <t>Micrometeorites have been recovered from traps located at the summit of nunataks in the Transantarctic Mountains (TAM), Antarctica. They constitute the TAM micrometeorite collection. Micrometeorites accumulated by direct infall for hundreds of thousands of years. This long collection duration is confirmed by the wide range of weathering by dissolution of olivine in the stony micrometeorites from the TAM collection. A statistical study of the size distribution and frequency by type of this collection, and comparison with other Antarctic micrometeorite collections (the South Pole Water Well collection and the Walcott Neve collection), suggest that the TAM collection is essentially unbiased. Thanks to the very long exposure of the traps, large diameter (&gt; 1000 mu m) micrometeorites are present in sufficiently large numbers to allow a statistically meaningful estimate of their size distribution in this size range for the first time. We found that the slope of the size distribution remains constant in the 100-1600 mu m size range. Therefore, the size distribution of micrometeorites in this size range is controlled by a single process. (C) 2009 Elsevier B.V. and NIPR. All rights reserved.</t>
  </si>
  <si>
    <t>[Suavet, Clement; Rochette, Pierre; Kars, Myriam; Gattacceca, Jerome] Aix Marseille Univ, CEREGE, CNRS, F-13545 Aix En Provence 04, France; [Folco, Luigi] Univ Siena, Museo Nazl Antartide, I-53100 Siena, Italy; [Harvey, Ralph P.] Case Western Reserve Univ, Dept Geol Sci, Cleveland, OH 44106 USA</t>
  </si>
  <si>
    <t>Aix-Marseille Universite; Centre National de la Recherche Scientifique (CNRS); University of Siena; University System of Ohio; Case Western Reserve University</t>
  </si>
  <si>
    <t>Suavet, C (corresponding author), Aix Marseille Univ, CEREGE, CNRS, Europole Mediterrane Arbois,PB 80, F-13545 Aix En Provence 04, France.</t>
  </si>
  <si>
    <t>Folco, Luigi/AAB-8586-2021; Folco, Luigi/AAA-6351-2020; Rochette, Pierre/O-4612-2019; Gattacceca, Jerome/AAG-5651-2019</t>
  </si>
  <si>
    <t>Rochette, Pierre/0000-0002-7362-0660; Gattacceca, Jerome/0000-0002-1639-7140; Folco, Luigi/0000-0002-7276-3483; Kars, Myriam/0000-0002-4984-1412; Suavet, Clement/0000-0001-9970-0864</t>
  </si>
  <si>
    <t>Italian Programma Nazionale delle Ricerche in Antartide; French Institut Polaire Paul Emile Victor; French Institut National des Sciences de l'Univers - Centre National d'Etudes Spatiales Planetology program; European Union through Marie Curie Actions - RTNs ORIGINS [35519]; French Agence Nationale de la Recherche [ANR-05-JCJC-0133]</t>
  </si>
  <si>
    <t>Italian Programma Nazionale delle Ricerche in Antartide; French Institut Polaire Paul Emile Victor; French Institut National des Sciences de l'Univers - Centre National d'Etudes Spatiales Planetology program; European Union through Marie Curie Actions - RTNs ORIGINS(Marie Curie Actions); French Agence Nationale de la Recherche(Agence Nationale de la Recherche (ANR))</t>
  </si>
  <si>
    <t>This work was supported by the Italian Programma Nazionale delle Ricerche in Antartide, the French Institut Polaire Paul Emile Victor, the French Institut National des Sciences de l'Univers - Centre National d'Etudes Spatiales Planetology program, the European Union through the Marie Curie Actions - RTNs ORIGINS (Project ID: 35519), and by the French Agence Nationale de la Recherche (Project ID: ANR-05-JCJC-0133).</t>
  </si>
  <si>
    <t>10.1016/j.polar.2009.06.003</t>
  </si>
  <si>
    <t>WOS:000209028500002</t>
  </si>
  <si>
    <t>Echauri, SAG; Gidekel, M; Moraga, AG; Ordóñez, LG; Contreras, JAR; de la Rosa, APB; Rodríguez, AD</t>
  </si>
  <si>
    <t>Garcia Echauri, Sergio A.; Gidekel, Manuel; Gutierrez Moraga, Ana; Ordonez, Leandro G.; Rojas Contreras, Juan A.; Barba de la Rosa, Ana P.; De Leon Rodriguez, Antonio</t>
  </si>
  <si>
    <t>Heterologous expression of a novel psychrophilic Cu/Zn superoxide dismutase from Deschampsia antarctica</t>
  </si>
  <si>
    <t>PROCESS BIOCHEMISTRY</t>
  </si>
  <si>
    <t>Antioxidant; Plant; Extremophil; Psychrophilic enzyme; Photo-oxidation; Oxidative stress</t>
  </si>
  <si>
    <t>GENE-EXPRESSION; OXYGEN; SEQUENCE; CLONING; STRESS; DAMAGE; CRYSTALLIZATION; ANTIOXIDANTS; BACTERIUM; FUNGAL</t>
  </si>
  <si>
    <t>Superoxide dismutase (SOD) catalyzes the conversion of the superoxide radical (O-center dot(2)-) into oxygen and hydrogen peroxide. Deschampsia antarctica is a plant that grows in Antarctica and survives to extreme low temperature and high UV radiation, thus it is an ideal model to study novel antioxidants. A cDNA Cu/Zn-SOD gene from D. antarctica was cloned into a pET vector and expressed in Escherichia coli BL21-SI. 112 mg/L of recombinant Cu/Zn-SOD was attained in batch cultures in bioreactor. Using Ni-affinity gel chromatography, the recombinant Cu/Zn-SOD was recovered with a purity of 90% and a specific enzyme activity of 749 at 25 degrees C. However, zymogram test showed that the enzyme has more activity at 4 degrees C. This D. antarctica SOD could be used to reduce the oxidation of refrigerated and frozen foods. (C) 2009 Elsevier Ltd. All rights reserved.</t>
  </si>
  <si>
    <t>[Garcia Echauri, Sergio A.; Ordonez, Leandro G.; Rojas Contreras, Juan A.; Barba de la Rosa, Ana P.; De Leon Rodriguez, Antonio] Inst Potosino Invest Cient &amp; Tecnol, Div Mol Biol, San Luis Potosi 78216, Mexico; [Gidekel, Manuel; Gutierrez Moraga, Ana] Univ La Frontera, Appl Plant Mol Biol Lab, Temuco, Chile; [Gidekel, Manuel] Univ Adolfo Ibanez, VentureL B Business Sch, Santiago, Chile</t>
  </si>
  <si>
    <t>Instituto Potosino Investigacion Cientifica y Tecnologica; Universidad de La Frontera; Universidad Adolfo Ibanez</t>
  </si>
  <si>
    <t>Rodríguez, AD (corresponding author), Inst Potosino Invest Cient &amp; Tecnol, Div Mol Biol, Camino Presa San Jose 2055 Col Lomas 4 Secc, San Luis Potosi 78216, Mexico.</t>
  </si>
  <si>
    <t>aleonr@ipicyt.edu.mx</t>
  </si>
  <si>
    <t>Barba de la Rosa, ANA/IWE-1045-2023; De Leon-Rodriguez, Antonio/AAO-4856-2020; De Leon Rodriguez, Antonio/AFV-3188-2022</t>
  </si>
  <si>
    <t>De Leon Rodriguez, Antonio/0000-0003-3347-3499; Garcia, Sergio/0000-0001-8738-7356; Rojas Contreras, Juan Antonio/0000-0002-9632-7555; Gidekel, Manuel/0000-0002-6770-4630</t>
  </si>
  <si>
    <t>Antarctica Des [S-3607]; DIUFRO [D109-0081, D108-2002]; FONDEF [D031-1079]; CONACyT [82010, 79973, 209658]</t>
  </si>
  <si>
    <t>Antarctica Des; DIUFRO; FONDEF; CONACyT(Consejo Nacional de Ciencia y Tecnologia (CONACyT))</t>
  </si>
  <si>
    <t>This work was partially financed by the grant Antarctica Des S-3607, DIUFRO D109-0081, D108-2002, FONDEF Grant D031-1079 and CONACyT Grant 82010. A. De Leon Rodriguez thanks to CONACyT for the sabbatical fellowship 79973 and Sergio A. Garcia thanks to CONACyT for his scholarship 209658. We thank to the Chilean Antarctic Institute (INACH) for the logistic support during the stay in the Scientific Base Prof. Julio Escudero, King George Island, Antarctic.</t>
  </si>
  <si>
    <t>1359-5113</t>
  </si>
  <si>
    <t>1873-3298</t>
  </si>
  <si>
    <t>PROCESS BIOCHEM</t>
  </si>
  <si>
    <t>Process Biochem.</t>
  </si>
  <si>
    <t>10.1016/j.procbio.2009.04.021</t>
  </si>
  <si>
    <t>Biochemistry &amp; Molecular Biology; Biotechnology &amp; Applied Microbiology; Engineering, Chemical</t>
  </si>
  <si>
    <t>Biochemistry &amp; Molecular Biology; Biotechnology &amp; Applied Microbiology; Engineering</t>
  </si>
  <si>
    <t>482VT</t>
  </si>
  <si>
    <t>WOS:000268918300004</t>
  </si>
  <si>
    <t>Macdonald, AM; Mecking, S; Robbins, PE; Toole, JM; Johnson, GC; Talley, L; Cook, M; Wijffels, SE</t>
  </si>
  <si>
    <t>Macdonald, A. M.; Mecking, S.; Robbins, P. E.; Toole, J. M.; Johnson, G. C.; Talley, L.; Cook, M.; Wijffels, S. E.</t>
  </si>
  <si>
    <t>The WOCE-era 3-D Pacific Ocean circulation and heat budget</t>
  </si>
  <si>
    <t>TOTAL GEOSTROPHIC CIRCULATION; TRANSPACIFIC HYDROGRAPHIC SECTIONS; ANTARCTIC CIRCUMPOLAR CURRENT; WESTERN-BOUNDARY CURRENT; 43 DEGREES S; NORTH PACIFIC; FLOW PATTERNS; WORLD OCEAN; VOLUME TRANSPORT; WATER PROPERTIES</t>
  </si>
  <si>
    <t>To address questions concerning the intensity and spatial structure of the three-dimensional circulation within the Pacific Ocean and the associated advective and diffusive property flux divergences, data from approximately 3000 high-quality hydrographic stations collected on 40 zonal and meridional cruises have been merged into a physically consistent model. The majority of the stations were occupied as part of the World Ocean Circulation Experiment (WOCE), which took place in the 1990s. These data are supplemented by a few pre-WOCE surveys of similar quality, and time-averaged direct-velocity and historical hydrographic measurements about the equator. An inverse box model formalism is employed to estimate the absolute along-isopycnal velocity field, the magnitude and spatial distribution of the associated diapycnal flow and the corresponding diapycnal advective and diffusive property flux divergences. The resulting large-scale WOCE Pacific circulation can be described as two shallow overturning cells at mid- to low latitudes, one in each hemisphere, and a single deep cell which brings abyssal waters from the Southern Ocean into the Pacific where they upwell across isopycnals and are returned south as deep waters. Upwelling is seen to occur throughout most of the basin with generally larger dianeutral transport and greater mixing occurring at depth. The derived pattern of ocean heat transport divergence is compared to published results based on air-sea flux estimates. The synthesis suggests a strongly east/west oriented pattern of air-sea heat flux with heat loss to the atmosphere throughout most of the western basins, and a gain of heat throughout the tropics extending poleward through the eastern basins. The calculated meridional heat transport agrees well with previous hydrographic estimates. Consistent with many of the climatologies at a variety of latitudes as well, our meridional heat transport estimates tend toward lower values in both hemispheres. (C) 2009 Elsevier Ltd. All rights reserved.</t>
  </si>
  <si>
    <t>[Macdonald, A. M.; Robbins, P. E.; Toole, J. M.; Cook, M.] WHOI, Woods Hole, MA 02563 USA; [Mecking, S.] Univ Washington, APL, Seattle, WA 98105 USA; [Johnson, G. C.] NOAA, DOC, PMEL, OCRD, Seattle, WA 98115 USA; [Wijffels, S. E.] CSIRO, Hobart, Tas 7000, Australia; [Talley, L.] Univ Calif San Diego, SIO, La Jolla, CA 92093 USA</t>
  </si>
  <si>
    <t>University of Washington; University of Washington Seattle; National Oceanic Atmospheric Admin (NOAA) - USA; Commonwealth Scientific &amp; Industrial Research Organisation (CSIRO); University of California System; University of California San Diego</t>
  </si>
  <si>
    <t>Macdonald, AM (corresponding author), WHOI, Clark 3,MS 21,360 Woods Hole Rd, Woods Hole, MA 02563 USA.</t>
  </si>
  <si>
    <t>amacdonald@whoi.edu; smecking@apl.wa-shington.edu; probbins@whoi.edu; jtoole@whoi.edu; Gregory.C.Johnson@noaa.gov; lynne@gyre.ucsd.edu; mcook@whoi.edu; Susan.Wijffels@csiro.au</t>
  </si>
  <si>
    <t>Wijffels, Susan E/I-8215-2012; Johnson, Gregory C/I-6559-2012</t>
  </si>
  <si>
    <t>Johnson, Gregory C/0000-0002-8023-4020; Wijffels, Susan/0000-0002-4717-0811; Talley, Lynne/0000-0003-1574-729X; Toole, John/0000-0003-2905-0637</t>
  </si>
  <si>
    <t>10.1016/j.pocean.2009.08.002</t>
  </si>
  <si>
    <t>528FR</t>
  </si>
  <si>
    <t>WOS:000272428200005</t>
  </si>
  <si>
    <t>Pattyn, N; De Valck, E; Cortoos, A; Pirrera, S; Neyt, X; Cluydts, R</t>
  </si>
  <si>
    <t>Pattyn, Nathalie; De Valck, Elke; Cortoos, Aisha; Pirrera, Sandra; Neyt, Xavier; Cluydts, Raymond</t>
  </si>
  <si>
    <t>MONITORING AN ANTARCTIC SUMMER EXPEDITION: HOW CONSTANT ILLUMINATION AND PHYSICAL ACTIVITY AFFECT MOOD, COGNITIVE PERFORMANCE AND SLEEP-WAKE REGULATION</t>
  </si>
  <si>
    <t>PSYCHOPHYSIOLOGY</t>
  </si>
  <si>
    <t>49th Annual Meeting of the Society-for-Psychophysiological-Research</t>
  </si>
  <si>
    <t>OCT 21-24, 2009</t>
  </si>
  <si>
    <t>circadian rhythms; antarctica; sleep-wake regulation</t>
  </si>
  <si>
    <t>[Pattyn, Nathalie; De Valck, Elke; Cortoos, Aisha; Pirrera, Sandra; Cluydts, Raymond] Vrije Univ Brussel, Brussels, Belgium; [Pattyn, Nathalie; Neyt, Xavier] Royal Mil Acad Sandhurst, Sandhurst, England</t>
  </si>
  <si>
    <t>Vrije Universiteit Brussel</t>
  </si>
  <si>
    <t>Neyt, Xavier/I-7259-2019</t>
  </si>
  <si>
    <t>Neyt, Xavier/0000-0002-8992-3877; Pattyn, Nathalie/0000-0002-2690-5479</t>
  </si>
  <si>
    <t>0048-5772</t>
  </si>
  <si>
    <t>Psychophysiology</t>
  </si>
  <si>
    <t>S103</t>
  </si>
  <si>
    <t>Psychology, Biological; Neurosciences; Physiology; Psychology; Psychology, Experimental</t>
  </si>
  <si>
    <t>Science Citation Index Expanded (SCI-EXPANDED); Social Science Citation Index (SSCI); Conference Proceedings Citation Index - Science (CPCI-S)</t>
  </si>
  <si>
    <t>Psychology; Neurosciences &amp; Neurology; Physiology</t>
  </si>
  <si>
    <t>493NR</t>
  </si>
  <si>
    <t>WOS:000269744700580</t>
  </si>
  <si>
    <t>Saunders, W; Lawrence, JS; Storey, JWV; Ashley, MCB; Kato, S; Minnis, P; Winker, DM; Liu, GP; Kulesa, C</t>
  </si>
  <si>
    <t>Saunders, Will; Lawrence, Jon S.; Storey, John W. V.; Ashley, Michael C. B.; Kato, Seiji; Minnis, Patrick; Winker, David M.; Liu, Guiping; Kulesa, Craig</t>
  </si>
  <si>
    <t>Where Is the Best Site on Earth? Domes A, B, C, and F, and Ridges A and B</t>
  </si>
  <si>
    <t>PUBLICATIONS OF THE ASTRONOMICAL SOCIETY OF THE PACIFIC</t>
  </si>
  <si>
    <t>HIGH-ANTARCTIC PLATEAU; OPTICAL TURBULENCE; STATISTICAL-MODEL; SOUTH-POLE; ATMOSPHERE; PRECIPITATION; TELESCOPE; ASTRONOMY; CONTINENT</t>
  </si>
  <si>
    <t>The Antarctic plateau contains the best sites on earth for many forms of astronomy, but none of the existing bases was selected with astronomy as the primary motivation. In this article, we try to systematically compare the merits of potential observatory sites. We include South Pole, Domes A, C, and F, and also Ridge B (running northeast from Dome A), and what we call Ridge A (running southwest from Dome A). Our analysis combines satellite data, published results, and atmospheric models, to compare the boundary layer, weather, aurorae, airglow, precipitable water vapor, thermal sky emission, surface temperature, and the free atmosphere, at each site. We find that all Antarctic sites are likely to be compromised for optical work by airglow and aurorae. Of the sites with existing bases, Dome A is easily the best overall; but we find that Ridge A offers an even better site. We also find that Dome F is a remarkably good site. Dome C is less good as a thermal infrared or terahertz site, but would be able to take advantage of a predicted OH hole over Antarctica during spring.</t>
  </si>
  <si>
    <t>[Saunders, Will; Lawrence, Jon S.; Storey, John W. V.; Ashley, Michael C. B.] Univ New S Wales, Sch Phys, Sydney, NSW 2052, Australia; [Saunders, Will; Lawrence, Jon S.] Anglo Australian Observ, Sydney, NSW, Australia; [Lawrence, Jon S.] Macquarie Univ, N Ryde, NSW 2109, Australia; [Kato, Seiji; Minnis, Patrick; Winker, David M.] NASA, Langley Res Ctr, Washington, DC USA; [Liu, Guiping] Univ Calif Berkeley, Space Sci Lab, Berkeley, CA 94720 USA; [Kulesa, Craig] Univ Arizona, Dept Astron, Tucson, AZ 85721 USA; [Kulesa, Craig] Univ Arizona, Steward Observ, Tucson, AZ 85721 USA</t>
  </si>
  <si>
    <t>University of New South Wales Sydney; Macquarie University; National Aeronautics &amp; Space Administration (NASA); NASA Langley Research Center; University of California System; University of California Berkeley; University of Arizona; University of Arizona</t>
  </si>
  <si>
    <t>Saunders, W (corresponding author), Univ New S Wales, Sch Phys, Sydney, NSW 2052, Australia.</t>
  </si>
  <si>
    <t>will@aao.gov.au</t>
  </si>
  <si>
    <t>; Minnis, Patrick/G-1902-2010</t>
  </si>
  <si>
    <t>Ashley, Michael/0000-0003-1412-2028; Lawrence, Jon/0000-0002-6998-6993; Minnis, Patrick/0000-0002-4733-6148</t>
  </si>
  <si>
    <t>Directorate For Geosciences; Office of Polar Programs (OPP) [0914508] Funding Source: National Science Foundation</t>
  </si>
  <si>
    <t>Directorate For Geosciences; Office of Polar Programs (OPP)(National Science Foundation (NSF)NSF - Directorate for Geosciences (GEO))</t>
  </si>
  <si>
    <t>0004-6280</t>
  </si>
  <si>
    <t>1538-3873</t>
  </si>
  <si>
    <t>PUBL ASTRON SOC PAC</t>
  </si>
  <si>
    <t>Publ. Astron. Soc. Pac.</t>
  </si>
  <si>
    <t>10.1086/605780</t>
  </si>
  <si>
    <t>486WV</t>
  </si>
  <si>
    <t>WOS:000269232300005</t>
  </si>
  <si>
    <t>Hughes, T</t>
  </si>
  <si>
    <t>Hughes, T.</t>
  </si>
  <si>
    <t>Modeling ice sheets from the bottom up</t>
  </si>
  <si>
    <t>FORCE-PERTURBATION ANALYSIS; THERMAL ZONES BENEATH; GLACIAL LANDSCAPE; STREAM-B; SHELF; FLOW; RECONSTRUCTION; SURFACE; ACCELERATION; OSCILLATIONS</t>
  </si>
  <si>
    <t>Three facts should guide ice-sheet modeling. (I) Ice height above the bed is controlled by the strength of ice-bed coupling, reducing ice thickness by some 90 percent when coupling vanishes. (2) Ice-bed coupling vanishes along ice streams that end as floating ice shelves and drain up to 90 percent of an ice sheet. (3) Because of(]) and (2), ice sheets can rapidly collapse and disintegrate, thereby removing ice sheets from Earth's climate system and forcing abrupt climate change. The first model of ice-sheet dynamics was developed in Australia and applied to the present Antarctic Ice Sheet in 1970. It treated slow sheet flow, which prevails over some 90 percent of the ice sheet, but is the least dynamic component. The model made top-down calculations of ice velocities and temperatures, based on known surface conditions and an assumed basal geothermal heat flux. In 1972, Joseph Fletcher proposed a six-step research strategy for studying dynamic systems. The first step was identifying the most dynamic components, which for Antarctica are fast ice streams that discharge up to 90 percent of the ice. Ice-sheet models developed at the University of Maine in the 1970s were based on the Fletcher strategy and focused on ice streams, including calving dynamics when ice streams end in water. These models calculated the elevation of ice sheets based in the strength of ice-bed coupling. This was a bottom-up approach that lowered ice elevations some 90 percent when ice-bed coupling vanished. Top-down modeling is able to simulate changes in the size and shape of ice sheets through a whole glaciation cycle, provided the mass balance is treated correctly. Bottom-up modeling is able to produce accurate changes in ice elevations based on changes in ice-bed coupling, provided the force balance is treated correctly. Truly holistic ice-sheet models should synthesize top-down and bottom-up approaches by combining the mass balance with the force balance in ways that merge abrupt changes in stream flow with slow changes in sheet flow. Then discharging 90 percent of the ice by ice streams mobilizes 90 percent of the area so ice sheets can self-destruct, and thereby terminate a glaciation cycle. (C) 2009 Elsevier Ltd. All rights reserved.</t>
  </si>
  <si>
    <t>Univ Maine, Dept Earth Sci, Climate Change Inst, Bryand Global Sci Ctr, Orono, ME 04469 USA</t>
  </si>
  <si>
    <t>University of Maine System; University of Maine Orono</t>
  </si>
  <si>
    <t>Hughes, T (corresponding author), Univ Maine, Dept Earth Sci, Climate Change Inst, Bryand Global Sci Ctr, Grove St Extens, Orono, ME 04469 USA.</t>
  </si>
  <si>
    <t>terry.hughes@maine.edu</t>
  </si>
  <si>
    <t>NSF; NASA through the Center for Remote Sensing of Ice Sheets (CReSIS), University of Kansas</t>
  </si>
  <si>
    <t>NSF(National Science Foundation (NSF)); NASA through the Center for Remote Sensing of Ice Sheets (CReSIS), University of Kansas</t>
  </si>
  <si>
    <t>Extended discussions with James Fastook, Robert Thomas, and Kees van der Veen demonstrated the need for this review. Beverly Hughes processed the manuscript. Johan Kleman provided a very useful review. Support was provided by NSF and NASA through the Center for Remote Sensing of Ice Sheets (CReSIS), University of Kansas.</t>
  </si>
  <si>
    <t>10.1016/j.quascirev.2009.06.004</t>
  </si>
  <si>
    <t>487LS</t>
  </si>
  <si>
    <t>WOS:000269276300004</t>
  </si>
  <si>
    <t>Thorn, VC; Riding, JB; Francis, JE</t>
  </si>
  <si>
    <t>Thorn, Vanessa C.; Riding, James B.; Francis, Jane E.</t>
  </si>
  <si>
    <t>The Late Cretaceous dinoflagellate cyst Manumiella - Biostratigraphy, systematics, and palaeoecological signals in Antarctica</t>
  </si>
  <si>
    <t>Late Cretaceous; Maastrichtian; dinoflagellate cysts; Manumiella; Seymour Island; Antarctic Peninsula</t>
  </si>
  <si>
    <t>LOPEZ-DE-BERTODANO; SEA-LEVEL CHANGES; SEYMOUR-ISLAND; TERTIARY BOUNDARY; CAPE LAMB; STRATIGRAPHY; SEDIMENTOLOGY; MARLBOROUGH; PALYNOLOGY; CHRONOLOGY</t>
  </si>
  <si>
    <t>This study of the Maastrichtian (latest Cretaceous, 71-65 Ma) species of Manumiella Bujak and Davies 1983 in the James Ross Basin, Antarctic Peninsula is focussed on the biostratigraphical and palaeoecological significance of this peridinioid dinoflagellate cyst genus, in particular with reference to oceanic changes associated with the Cretaceous/Tertiary (KT) boundary. New palynological analyses throughout the upper part of the latest Maastrichtian Lopez de Bertodano Formation on Seymour Island has resulted in the emendation of Manumiella to include the presence of a mesophragm, and the formal description of Manumiella bertodano sp. nov. A morphological continuum exists between species of Manumiella, but the apparent biostratigraphical significance of the end-member morphologies emphasises the need for consistent and distinct species concepts. Consequently, a new botanical key has been devised based on the morphological features of Manumiella bertodano sp. nov., Manumiella conorata [Stover, L.E., 1973. Palaeocene and Eocene species of Deflandrea (Dinophyceae) in Victorian coastal and offshore basins, Australia. In: Glover J.E., Playford, G. (Eds.), Mesozoic and Cainozoic Palynology: Essays in Honour of Isabel Cookson. Geological Society of Australia, Special Publication vol. 4,167-188.] Bujak and Davies 1983, Manumiella druggii [Stover, LE., 1973. Palaeocene and Eocene species of Deflandrea (Dinophyceae) in Victorian coastal and offshore basins, Australia. In: Glover, J.E., Playford, G. (Eds.), Mesozoic and Cainozoic Palynology: Essays in Honour of Isabel Cookson. Geological Society of Australia, Special Publication vol. 4,167-188.] Bujak and Davies 1983, Manumiella seelandica (Lange, D., 1969. Mikroplankton aus dem Fischton von Stevns-KIint auf Seeland. Beitrage zur Meereskunde, 24-25, 110-121.) Bujak and Davies emend. Firth 1987 and Manumiella seymourensis Askin 1999. Manumiella druggii and Manumiella seelandica are retained as separate species. The key has been successfully tested on the well-preserved dinoflagellate cyst assemblages from the uppermost Lopez de Bertodano Formation on Seymour Island, resulting in a clear biostratigraphy based on an existing preliminary scheme. Manumiella seymourensis is prominent in the lowermost part of the succession, and the uppermost part of the range of this species overlaps with that of Manumiella bertodano sp. nov. The latter species ranges into the latest Maastrichtian, where it co-occurs with Manumiella conorata and Manumiella seelandica. Manumiella druggii is confined to the uppermost part of the succession examined. Abundance spikes of Manumiella immediately prior to the KT boundary in this succession have also been recognised globally, and may be related to short-term regressions and/or ocean cooling before the KT event. (C) 2009 Published by Elsevier B.V.</t>
  </si>
  <si>
    <t>[Thorn, Vanessa C.; Francis, Jane E.] Univ Leeds, Sch Earth &amp; Environm, Leeds LS2 9JT, W Yorkshire, England; [Riding, James B.] British Geol Survey, Kingsley Dunham Ctr, Nottingham NG12 5GG, England</t>
  </si>
  <si>
    <t>University of Leeds; UK Research &amp; Innovation (UKRI); Natural Environment Research Council (NERC); NERC British Geological Survey</t>
  </si>
  <si>
    <t>Thorn, VC (corresponding author), Univ Leeds, Sch Earth &amp; Environm, Leeds LS2 9JT, W Yorkshire, England.</t>
  </si>
  <si>
    <t>vcbowman@googlemail.com</t>
  </si>
  <si>
    <t>Bowman, Vanessa/0000-0002-4887-3949</t>
  </si>
  <si>
    <t>Natural Environment Research Council Antarctic [NE/C506399/1]; NERC [bgs05002] Funding Source: UKRI; Natural Environment Research Council [NE/C506399/1, bgs05002] Funding Source: researchfish</t>
  </si>
  <si>
    <t>Natural Environment Research Council Antarctic; NERC(UK Research &amp; Innovation (UKRI)Natural Environment Research Council (NERC)); Natural Environment Research Council(UK Research &amp; Innovation (UKRI)Natural Environment Research Council (NERC))</t>
  </si>
  <si>
    <t>The authors acknowledge funding from the Natural Environment Research Council Antarctic Funding Initiative Grant NE/C506399/1 entitled 'Terminal Cretaceous climate change and biotic response in Antarctica'. We thank the British Antarctic Survey and H.M.S. Endurance for support in the field, and the Transantarctic Association and Antarctic Science Bursary for additional funding. Support for palynological processing came from the Climate Change research programme of the British Geological Survey. J.B. Riding publishes with the permission of the Executive Director, British Geological Survey (NERC). We thank other members of the project for discussion and/or support in the field including J.A. Crame, C.S.M. Day, P. Frost, A.M. Haywood, S. Hunter, J.M. Marshall, D. Pirrie, M. Preistman and R. Raiswell. This contribution was considerably improved by the incisive comments of R.A. Askin and an anonymous reviewer.</t>
  </si>
  <si>
    <t>10.1016/j.revpalbo.2009.04.009</t>
  </si>
  <si>
    <t>513PN</t>
  </si>
  <si>
    <t>WOS:000271335300015</t>
  </si>
  <si>
    <t>Nagurnyi, AP</t>
  </si>
  <si>
    <t>Nagurnyi, A. P.</t>
  </si>
  <si>
    <t>Climate tendencies of changes in multiyear sea ice thickness in the Arctic Basin (1970-2005)</t>
  </si>
  <si>
    <t>RUSSIAN METEOROLOGY AND HYDROLOGY</t>
  </si>
  <si>
    <t>The area integral of the sea ice thickness in the Arctic Basin is estimated from the measurements of sea ice surface fluctuations at drift-ice stations. The 1970-1990 linear trend is indicative of an approximately 10-cm reduction in the average sea ice thickness over the entire Arctic Basin, which makes 3% of the average ice thickness (about 3 m). Seasonal changes made 40 cm. The amplitude of variations of the average ice thickness in that period is 20 cm with a period of changes of approximately 6-8 years. The observations were interrupted during 1991-2003 and then resumed in 2004. During 1990-2005, the old ice thickness over the entire Arctic Basin decreased, on average, by 110 cm.</t>
  </si>
  <si>
    <t>Arctic &amp; Antarctic Res Inst, St Petersburg 199397, Russia</t>
  </si>
  <si>
    <t>Arctic &amp; Antarctic Research Institute</t>
  </si>
  <si>
    <t>Nagurnyi, AP (corresponding author), Arctic &amp; Antarctic Res Inst, Ul Beringa 38, St Petersburg 199397, Russia.</t>
  </si>
  <si>
    <t>Russian Foundation for Basic Research [07-05-00073a]</t>
  </si>
  <si>
    <t>The work was supported by the Russian Foundation for Basic Research (grant 07-05-00073a).</t>
  </si>
  <si>
    <t>ALLERTON PRESS INC</t>
  </si>
  <si>
    <t>18 WEST 27TH ST, NEW YORK, NY 10001 USA</t>
  </si>
  <si>
    <t>1068-3739</t>
  </si>
  <si>
    <t>RUSS METEOROL HYDROL</t>
  </si>
  <si>
    <t>Russ. Meteorol. Hydrol.</t>
  </si>
  <si>
    <t>10.3103/S1068373909090064</t>
  </si>
  <si>
    <t>528GO</t>
  </si>
  <si>
    <t>WOS:000272431000006</t>
  </si>
  <si>
    <t>Sun, S; Pu, XM; Zhang, YS</t>
  </si>
  <si>
    <t>Sun Song; Pu XinMing; Zhang YongShan</t>
  </si>
  <si>
    <t>In vitro iron enrichment experiments in the Prydz Bay, the Southern Ocean: A test of the iron hypothesis</t>
  </si>
  <si>
    <t>iron limitation; iron hypothesis; Southern Ocean; Prydz Bay; nutrient consumption ratio</t>
  </si>
  <si>
    <t>ANTARCTIC CIRCUMPOLAR CURRENT; LIMITS PHYTOPLANKTON GROWTH; ROSS SEA; DEFICIENCY; BLOOMS; AVAILABILITY; NUTRITION; MANGANESE; ISLANDS; WEDDELL</t>
  </si>
  <si>
    <t>In high nitrate, low chlorophyll (HNLC) ocean regions, iron has been typically regarded as the limiting factor for phytoplankton production. This iron hypothesis needs to be tested in various oceanic environments to understand the role of iron in marine biological and biogeochemical processes. In this paper, three in vitro iron enrichment experiments were performed in Prydz Bay and at the Polar Front north of the Ross Sea, to study the role of iron on phytoplankton production. At the Polar Front of Ross Sea, iron addition significantly (P &lt; 0.05, Student's t-test) stimulated phytoplankton growth. In Prydz Bay, however, both the iron treatments and the controls showed rapid phytoplankton growth, and no significant effect (P &gt; 0.05, Student's t-test) as a consequence of iron addition was observed. These results confirmed the limiting role of iron in the Ross Sea and indicated that iron was not the primary factor limiting phytoplankton growth in Prydz Bay. Because the light environment for phytoplankton was enhanced in experimental bottles, light was assumed to be responsible for the rapid growth of phytoplankton in all treatments and to be the limiting factor controlling field phytoplankton growth in Prydz Bay. During the incubation experiments, nutrient consumption ratios also changed with the physiological status and the growth phases of phytoplankton cells. When phytoplankton growth was stimulated by iron addition, N was the first and Si was the last nutrient which absorption enhanced. The Si/N and Si/P consumption ratios of phytoplankton in the stationary and decay phases were significantly higher than those of rapidly growing phytoplankton. These findings were helpful for studies of the marine ecosystem and biogeochemistry in Prydz Bay, and were also valuable for biogeochemical studies of carbon and nutrients in various marine environments.</t>
  </si>
  <si>
    <t>[Sun Song; Pu XinMing; Zhang YongShan] Chinese Acad Sci, Inst Oceanol, Key Lab Marine Ecol &amp; Environm Sci, Qingdao 266071, Peoples R China; [Pu XinMing] State Ocean Adm, Inst Oceanog 1, Marine Ecol Res Ctr, Qingdao 266061, Peoples R China</t>
  </si>
  <si>
    <t>Chinese Academy of Sciences; Institute of Oceanology, CAS; First Institute of Oceanography, Ministry of Natural Resources</t>
  </si>
  <si>
    <t>Sun, S (corresponding author), Chinese Acad Sci, Inst Oceanol, Key Lab Marine Ecol &amp; Environm Sci, Qingdao 266071, Peoples R China.</t>
  </si>
  <si>
    <t>sunsong@qdio.ac.cn</t>
  </si>
  <si>
    <t>National Key Technology Research and Development Program [2006BAB18B07]; Polar Year Project of the Department of Science and Technology of China</t>
  </si>
  <si>
    <t>National Key Technology Research and Development Program(National Key Technology R&amp;D Program); Polar Year Project of the Department of Science and Technology of China</t>
  </si>
  <si>
    <t>Supported by National Key Technology Research and Development Program (Grant No. 2006BAB18B07) and the Polar Year Project of the Department of Science and Technology of China</t>
  </si>
  <si>
    <t>10.1007/s11430-009-0141-9</t>
  </si>
  <si>
    <t>496LA</t>
  </si>
  <si>
    <t>WOS:000269974200014</t>
  </si>
  <si>
    <t>Banerjee, M; Verma, V</t>
  </si>
  <si>
    <t>Banerjee, Meenakshi; Verma, Vidhi</t>
  </si>
  <si>
    <t>Nitrogen fixation in endolithic cyanobacterial communities of the McMurdo Dry Valley, Antarctica</t>
  </si>
  <si>
    <t>SCIENCEASIA</t>
  </si>
  <si>
    <t>Chroococcidiopsis; nitrogenase activity; aerobic and anaerobic conditions</t>
  </si>
  <si>
    <t>BLUE-GREEN-ALGAE; TRICHODESMIUM SP; COLD DESERTS; MICROORGANISMS; OXYGEN; ROCKS; LIGHT; HOT</t>
  </si>
  <si>
    <t>Nitrogen is scarce in the sandstones of McMurdo Dry Valley, Antarctica, and the possibility for the input from precipitation is minimal. In endolithic communities dominated by phototrophs, nitrogen availability by nitrogen fixation may therefore be very important. To investigate this, nitrogenase activity of the whole communities (rock plus microorganisms) of Linneus Terrace, McMurdo Dry Valley, was measured by acetylene reduction assay and environmental factors affecting the enzyme activity were Studied. The activity obtained from these Studies presumably came from the dominant phototroph identified, the ancient unicellular cyanobacterium Chroococcidiopsis. We describe a comparative study of nitrogen fixation where one set of experiments was conducted under conditions likely to be present in the Antarctic from where the samples were obtained i.e., 275 lux and 5 degrees C, and the other tinder laboratory conditions with 2500 lux and 20 degrees C. Our studies revealed that there was a distinct diurnal pattern of nitrogenase activity in these endoliths. Nitrogen fixation thus seems to be a very important activity in the Antarctic endoliths where there is a permanently immobilized layer of phototrophic cells exposed to extreme environmental conditions. It is probable that, although there is a drastic reduction in the photosynthesis active radiation of about 1-3% photons reaching the phototrophic region of the endolith for photosynthesis during the day, it is this that provides the energy for nitrogen fixation during the night. Also a heterotrophic mechanism involved in the nitrogen fixation process cannot be ruled out, as osmolytes are abundant in these environments to protect the cells from desiccation.</t>
  </si>
  <si>
    <t>[Banerjee, Meenakshi; Verma, Vidhi] Barkatullah Univ, Dept Biosci, Lab Algal Biotechnol, Bhopal 462026, Madhya Pradesh, India</t>
  </si>
  <si>
    <t>Barkatullah University</t>
  </si>
  <si>
    <t>Banerjee, M (corresponding author), Barkatullah Univ, Dept Biosci, Lab Algal Biotechnol, Bhopal 462026, Madhya Pradesh, India.</t>
  </si>
  <si>
    <t>banerjeemb@yahoo.co.in</t>
  </si>
  <si>
    <t>UGC, of New Delhi</t>
  </si>
  <si>
    <t>UGC, of New Delhi(University Grants Commission, India)</t>
  </si>
  <si>
    <t>MB is grateful to Dr. Charles Cockles and Prof. B.A. Whitton for the rock samples of the Antarctic. MB gratefully acknowledges the financial Support of UGC, of New Delhi as the Career award to her.</t>
  </si>
  <si>
    <t>THAILANDS NATL SCIENCE &amp; TECHNOLOGY DEVELOPMENT AGENCY</t>
  </si>
  <si>
    <t>BANGKOK</t>
  </si>
  <si>
    <t>PUBLIC INFORMATION DEPT, 73/1 RAMA VI RD, RAJDHEVEE, BANGKOK, 00000, THAILAND</t>
  </si>
  <si>
    <t>1513-1874</t>
  </si>
  <si>
    <t>Scienceasia</t>
  </si>
  <si>
    <t>10.2306/scienceasia1513-1874.2009.35.215</t>
  </si>
  <si>
    <t>504YQ</t>
  </si>
  <si>
    <t>WOS:000270654800001</t>
  </si>
  <si>
    <t>Cano, E; López-González, PJ</t>
  </si>
  <si>
    <t>Cano, Esperanza; Lopez-Gonzalez, Pablo J.</t>
  </si>
  <si>
    <t>Novel mode of postembryonic development in Ammothea genus (Pycnogonida: Ammotheidae) from Antarctic waters</t>
  </si>
  <si>
    <t>SCIENTIA MARINA</t>
  </si>
  <si>
    <t>Pycnogonida; Ammotheidae; Ammothea; postembryonic development; protonymphon</t>
  </si>
  <si>
    <t>NYMPHON ARTHROPODA; SEA; CRUISE</t>
  </si>
  <si>
    <t>In this paper the postembryonic development of Ammothea glacialis (family Ammotheidae) is described. The studied material was collected during the Italica XIX cruise to Victoria Land, Ross Sea, Antarctica. The external morphology of three larval instars is described and illustrated. The development of A. glacialis has the following characteristics: (1) protonymphon hatch from the eggs; (2) the larvae have yolk reserves and relatively large size (0.7 mm in length); (3) the larvae remain on the ovigerous legs of males during several MOWN; (4) the larvae have reduced larval II-III appendages and the spinning apparatus is absent; (5) the development of walking legs is sequential. This development is compared with those previously known, especially with Propallene longiceps and Nymphon grossipes.</t>
  </si>
  <si>
    <t>[Cano, Esperanza; Lopez-Gonzalez, Pablo J.] Univ Seville, Dept Fisiol &amp; Zool, Fac Biol, E-41012 Seville, Spain</t>
  </si>
  <si>
    <t>Cano, E (corresponding author), Univ Seville, Dept Fisiol &amp; Zool, Fac Biol, Avda Reina Mercedes 6, E-41012 Seville, Spain.</t>
  </si>
  <si>
    <t>ecano@us.es</t>
  </si>
  <si>
    <t>Lopez-González, Pablo J./Y-6440-2018</t>
  </si>
  <si>
    <t>Lopez-González, Pablo J./0000-0002-7348-6270; Cano Sanchez, Esperanza/0000-0002-8097-1872</t>
  </si>
  <si>
    <t>CONSEJO SUPERIOR INVESTIGACIONES CIENTIFICAS-CSIC</t>
  </si>
  <si>
    <t>VITRUVIO 8, 28006 MADRID, SPAIN</t>
  </si>
  <si>
    <t>0214-8358</t>
  </si>
  <si>
    <t>1886-8134</t>
  </si>
  <si>
    <t>SCI MAR</t>
  </si>
  <si>
    <t>Sci. Mar.</t>
  </si>
  <si>
    <t>10.3989/scimar.2009.73n3541</t>
  </si>
  <si>
    <t>496IY</t>
  </si>
  <si>
    <t>gold, Green Submitted, Green Published</t>
  </si>
  <si>
    <t>WOS:000269965600012</t>
  </si>
  <si>
    <t>Zhou, WZ; Shen, BL; Liu, SB; Chen, B; Zhang, YZ</t>
  </si>
  <si>
    <t>Zhou Wei-zhi; Shen Bo-ling; Liu Sheng-bo; Chen Bo; Zhang Yu-zhong</t>
  </si>
  <si>
    <t>FTIR Spectrum and Coagulation Enhancement of Exopolysaccharide Secreted by an Antarctica Bacterium Pseudoalteromona sp Bsi20310</t>
  </si>
  <si>
    <t>SPECTROSCOPY AND SPECTRAL ANALYSIS</t>
  </si>
  <si>
    <t>Exopolysaccharide; FTIR; Coagulation enhancement</t>
  </si>
  <si>
    <t>POLYSACCHARIDES; PURIFICATION</t>
  </si>
  <si>
    <t>Bsi20310 exopolysaccharide (Bsi20310 EPS) was secreted by a bacteria named Pseudoalteromonas sp. Bsi20310, isolated from Antarctic Sea ice. Crude Bsi20310 EPS was prepared by precipitation of the culture solution with ethanol, with proteins removed by using chloroform and butanol preparatorily. The results showed that Bsi20310 EPS improved the FeCl3 coagulation performance on synthetic water-soluble dye reactive red X-3B dyeing wastewater, obviously. The optimum coagulation enhancement of Bsi20310 EPS expressed by decolorization rate is from 16% to 84%, at pH near 10, Fe(III) concentration of 0.98 mmol . L-1 and Bsi20310 EPS concentration of 150 mg . L-1, respectively. Fourier transform infrared spectroscopy (FTIR) was used to investigate the functional groups of Bsi20310 EPS, Fe(III)-Bsi20310 EPS floc and Fe(III)-Bsi20310 EPS-reactive red X-3B floc. The spectra showed that Bsi20310 EPS contained a large number of functional groups such as -OH, -COOH and glycosidic bond. Some certain functional groups of Bsi20310 EPS changed being combined with Fe(III) hydrolysate. For instance, narrow peaks at 3 429 and 1 650 cm(-1) became wide; the peak at 2 921 cm(-1) weakened or disappeared; the peak at 1242 cm(-1) red-shifted slightly; peaks in the region of 1151-1038 cm(-1) became single and sharp, etc. The change in spectra indicated that -OH, -OOH and glycosidic bond might be the main functional groups. The study suggested a bright prospect of Bsi20310 EPS performing as an approach to safe and effective microbial coagulation enhancement.</t>
  </si>
  <si>
    <t>[Zhou Wei-zhi; Shen Bo-ling] Shandong Univ, Sch Environm Sci &amp; Engn, Jinan 250100, Peoples R China; [Zhou Wei-zhi; Liu Sheng-bo; Zhang Yu-zhong] Shandong Univ, State Key Lab Microbial Technol, Jinan 250100, Peoples R China; [Chen Bo] Polar Res Inst China, State Ocean Adm Peoples Republ China Key Lab Pola, Shanghai 200136, Peoples R China</t>
  </si>
  <si>
    <t>Shandong University; Shandong University; Polar Research Institute of China</t>
  </si>
  <si>
    <t>Zhou, WZ (corresponding author), Shandong Univ, Sch Environm Sci &amp; Engn, Jinan 250100, Peoples R China.</t>
  </si>
  <si>
    <t>wzzhou@sdu.edu.cn</t>
  </si>
  <si>
    <t>OFFICE SPECTROSCOPY &amp; SPECTRAL ANALYSIS</t>
  </si>
  <si>
    <t>NO 76 COLLAGE SOUTH RD BEIJING, BEIJING 100081, PEOPLES R CHINA</t>
  </si>
  <si>
    <t>1000-0593</t>
  </si>
  <si>
    <t>SPECTROSC SPECT ANAL</t>
  </si>
  <si>
    <t>Spectrosc. Spectr. Anal.</t>
  </si>
  <si>
    <t>10.3964/j.issn.1000-0593(2009)09-2405-04</t>
  </si>
  <si>
    <t>505QJ</t>
  </si>
  <si>
    <t>WOS:000270709100024</t>
  </si>
  <si>
    <t>Hart, T; Fitzcharles, E; Trathan, PN; Coulson, T; Rogers, AD</t>
  </si>
  <si>
    <t>Hart, Tom; Fitzcharles, Elaine; Trathan, Philip N.; Coulson, Tim; Rogers, Alex D.</t>
  </si>
  <si>
    <t>Testing and Improving the Accuracy of Discriminant Function Tests: A Comparison between Morphometric and Molecular Sexing in Macaroni Penguins</t>
  </si>
  <si>
    <t>WATERBIRDS</t>
  </si>
  <si>
    <t>discriminant function analysis; Macaroni Penguin; sexing; South Georgia; Bird Island; genotyping</t>
  </si>
  <si>
    <t>FLIPPER-BANDS; BIRDS; AMPLIFICATION</t>
  </si>
  <si>
    <t>Dimorphism in various morphological traits is widely used to sex birds. However, when a threshold is set and there is overlap in the distribution of traits between sexes, there will be an error rate. Macaroni Penguins show limited sexual dimorphism in size, with the distributions of most phenotypic traits overlapping between sexes, making using morphological characters for sexing difficult, although bill depth is used ill one discrimination test. Two existing DNA-based PCR tests that use different primer pairs (P2/P8 and 2550/2781) were adapted for use with fluorescently labelled primers to enable the size of fragments to be accurately measured via genotyping protocols and sex to be determined. The two Molecular tests were applied to the same samples to estimate the error rate within and between tests. Whilst both primer pairs reproducibly identified the sex of the penguins tinder Study With 110 inconsistencies between tests, tire P2/P8 primer pair had a higher Success rate of amplification. To estimate the error rates of morphometric tests, they were compared with molecular tests, revealing areas of disagreement. Structure in the error indicated a bias near the morphometric discrimination threshold. We suggest that larger sample sizes in discriminant function analyses and calibration with molecular data can be used to estimate the likelihood of misidentification for any particular value of the trait. A description of where error lies can then be used to target the more expensive and time-consuming DNA tests to check individuals that are most likely to be mis-assigned. Received 15 September 2008, accepted 9 January 2009.</t>
  </si>
  <si>
    <t>[Hart, Tom; Rogers, Alex D.] Zool Soc London, Inst Zool, London NW1 4RY, England; [Hart, Tom; Fitzcharles, Elaine; Trathan, Philip N.] British Antarctic Survey, Cambridge CB3 0ET, England; [Hart, Tom] Univ London Imperial Coll Sci Technol &amp; Med, Ascot SL5 7PY, Berks, England</t>
  </si>
  <si>
    <t>Zoological Society of London; UK Research &amp; Innovation (UKRI); Natural Environment Research Council (NERC); NERC British Antarctic Survey; Imperial College London</t>
  </si>
  <si>
    <t>Hart, T (corresponding author), Zool Soc London, Inst Zool, Regents Pk, London NW1 4RY, England.</t>
  </si>
  <si>
    <t>tom.hart@ioz.ac.uk</t>
  </si>
  <si>
    <t>Coulson, Tim/AAL-8148-2021</t>
  </si>
  <si>
    <t>Coulson, Tim/0000-0001-9371-9003; Rogers, Alex David/0000-0002-4864-2980</t>
  </si>
  <si>
    <t>British Biological Sciences Research Council; British Antarctic Survey; NERC [bas0100025] Funding Source: UKRI; Natural Environment Research Council [bas0100025] Funding Source: researchfish</t>
  </si>
  <si>
    <t>British Biological Sciences Research Council(UK Research &amp; Innovation (UKRI)Biotechnology and Biological Sciences Research Council (BBSRC)); British Antarctic Survey; NERC(UK Research &amp; Innovation (UKRI)Natural Environment Research Council (NERC)); Natural Environment Research Council(UK Research &amp; Innovation (UKRI)Natural Environment Research Council (NERC))</t>
  </si>
  <si>
    <t>This work was funded by a British Biological Sciences Research Council studentship and by the British Antarctic Survey under the BIOREACH/BIOFLAME and FOODWEBS/DISCOVERY2010 Q4 programs. The authors gratefully acknowledge the advice of H. Taylor for sample collection, M. Clark and C. Sands for help in optimizing the molecular protocols, J. Forcada GAM coding in R and P. Rothery for help with calculating tire confidence intervals around a binary logistic regression. We also thank J. Green, J. Croxall and T Williams for comments on the manuscript, and A. Beresford for proof-reading.</t>
  </si>
  <si>
    <t>WATERBIRD SOC</t>
  </si>
  <si>
    <t>NATL MUSEUM NATURAL HISTORY SMITHSONIAN INST, WASHINGTON, DC 20560 USA</t>
  </si>
  <si>
    <t>1524-4695</t>
  </si>
  <si>
    <t>1938-5390</t>
  </si>
  <si>
    <t>Waterbirds</t>
  </si>
  <si>
    <t>10.1675/063.032.0309</t>
  </si>
  <si>
    <t>491GU</t>
  </si>
  <si>
    <t>WOS:000269567400009</t>
  </si>
  <si>
    <t>Branco, JO; Costa, ES; de Araujo, J; Durigon, E; Alves, MAS</t>
  </si>
  <si>
    <t>Branco, Joaquim O.; Costa, Erli S.; de Araujo, Jansen; Durigon, Edison; Alves, Maria Alice S.</t>
  </si>
  <si>
    <t>Kelp gulls, Larus dominicanus (Aves: Laridae), breeding in Keller Peninsula, King George Island, Antarctic Peninsula</t>
  </si>
  <si>
    <t>ZOOLOGIA</t>
  </si>
  <si>
    <t>Abundance; breeding sites; broods development; density; distribution</t>
  </si>
  <si>
    <t>SOUTH SHETLAND</t>
  </si>
  <si>
    <t>We examined the distribution, abundance and density of the Kelp Gull, Larus dominicanus (Lichtenstein, 1823), at Keller Peninsula on two occasions during the breeding season of 2007-2008 (once for incubation and once for chick stages) and compared our results with previously published data. We present information on the number of eggs, incubation success, and initial development of L. dominicanus chicks in the studied sites. The abundance and density of the species has remained statistically similar in Keller Peninsula over the last 30 years (since 1978-1979). Although the abundance and density were almost unchanged, we recorded alterations in the occupation of the breeding areas by L. dominicanus, mainly the abandonment of breeding sites in the eastern portion of Keller Peninsula. The results of the present study compared with similar previous investigations on the abundance of L. dominicanus indicate that the populations have been in equilibrium over the years.</t>
  </si>
  <si>
    <t>[Branco, Joaquim O.] Univ Vale Itajai, Ctr Ensino Ciencias Tecnol Terra &amp; Mar, BR-88301970 Itajai, SC, Brazil; [Costa, Erli S.] Univ Fed Rio de Janeiro, Programa Posgrad Ecol, BR-21941540 Rio De Janeiro, Brazil; [Costa, Erli S.; Alves, Maria Alice S.] Univ Estado Rio de Janeiro, Inst Biol Roberto Alcantara Gomes, Dept Ecol, Lab Ecol Aves, BR-20550011 Rio De Janeiro, Brazil; [de Araujo, Jansen; Durigon, Edison] Univ Sao Paulo, Inst Ciencias Biomed, Dept Microbiol, Lab Virol Clin &amp; Mol, BR-05508900 Sao Paulo, Brazil</t>
  </si>
  <si>
    <t>Universidade do Vale do Itajai; Universidade Federal do Rio de Janeiro; Universidade do Estado do Rio de Janeiro; Universidade de Sao Paulo</t>
  </si>
  <si>
    <t>Branco, JO (corresponding author), Univ Vale Itajai, Ctr Ensino Ciencias Tecnol Terra &amp; Mar, Caixa Postal 360, BR-88301970 Itajai, SC, Brazil.</t>
  </si>
  <si>
    <t>branco@univali.br; masaal@globo.com</t>
  </si>
  <si>
    <t>Alves, Maria Alice S./B-3548-2013; COSTA, ERLI SCHNEIDER/AAP-2375-2020; de Araujo, Jose Carlos/C-5181-2013</t>
  </si>
  <si>
    <t>COSTA, ERLI SCHNEIDER/0000-0002-3739-1178; de Araujo, Jose Carlos/0000-0003-4418-4289; Araujo, Jansen/0000-0002-7250-3024; Alves, Maria Alice S./0000-0002-0622-270X</t>
  </si>
  <si>
    <t>National Council for Scientific and Technological Development (CNPq) [550040/2007-2, 558837/2005, 141474/2008-4, 3027185/03-6]; Brazilian Antarctic Program (PROANTAR)</t>
  </si>
  <si>
    <t>National Council for Scientific and Technological Development (CNPq)(Conselho Nacional de Desenvolvimento Cientifico e Tecnologico (CNPQ)); Brazilian Antarctic Program (PROANTAR)</t>
  </si>
  <si>
    <t>This work supported by The National Council for Scientific and Technological Development (CNPq) and the Brazilian Antarctic Program (PROANTAR). The data were obtained during, field activities of the Projects CNPq/PROANTAR 550040/2007-2 and 558837/2005. We thank Dr. Vivian H. Pelizari and Cristina Nakayama for the opportunity to join their team (JOB, JA, ED) in the field activities (process 558837/2005), Marion Adeney and Davor Vrcibradic for the English review. We also thank two anonymous reviewers for important Suggestions to improve the paper. ESC received a doctoral CNPq fellowship (process 141474/2008-4) and MASA received a CNPq grant (process 3027185/03-6).</t>
  </si>
  <si>
    <t>SOC BRASILEIRA ZOOLOGIA, UNIV FEDERAL PARANA</t>
  </si>
  <si>
    <t>CURITIBA</t>
  </si>
  <si>
    <t>CAIXA POSTAL 19020, CURITIBA, PARANA 81531-980, BRAZIL</t>
  </si>
  <si>
    <t>1984-4689</t>
  </si>
  <si>
    <t>ZOOLOGIA-CURITIBA</t>
  </si>
  <si>
    <t>Zoologia</t>
  </si>
  <si>
    <t>10.1590/S1984-46702009005000005</t>
  </si>
  <si>
    <t>507EI</t>
  </si>
  <si>
    <t>WOS:000270833900021</t>
  </si>
  <si>
    <t>Singer, BS; Guillou, H; Jicha, BR; Laj, C; Kissel, C; Beard, BL; Johnson, CM</t>
  </si>
  <si>
    <t>Singer, Brad S.; Guillou, Herve; Jicha, Brian R.; Laj, Carlo; Kissel, Catherine; Beard, Brian L.; Johnson, Clark M.</t>
  </si>
  <si>
    <t>40Ar/39Ar, K-Ar and 230Th-238U dating of the Laschamp excursion: A radioisotopic tie-point for ice core and climate chronologies</t>
  </si>
  <si>
    <t>magnetic field; excursion; geochronology; ice core; argon; thorium; lava</t>
  </si>
  <si>
    <t>EARTHS MAGNETIC-FIELD; CURVE SPANNING 0; PAIRED TH-230/U-234/U-238; RADIOCARBON CALIBRATION; GEOMAGNETIC EXCURSIONS; PALEOINTENSITY STACK; CARBON-CYCLE; C-14 DATES; MONO LAKE; AGE</t>
  </si>
  <si>
    <t>A brief period of enhanced Be-10 flux that straddles the interstadial warm period known as Dansgaard-Oeschger event 10 in Greenland and its counterpart in Antarctica, the Antarctic Isotope Maximum 10 is but one consequence of the weakening of Earth's magnetic field associated with the Laschamp excursion. This Be-10 peak measured in the GRIP ice core is dated at 41,250 y b2k (= before year 2000 AD) in the most recent GICC05 age model obtained from the NorthGRIP core via multi-parameter counting of annual layers. Uncertainty in the age of the Be-10 peak is, however, no better than 1630 y at the 95% confidence level, reflecting accumulated error in identifying annual layers. The age of the Laschamp excursion [Guillou, H., Singer, B.S., Laj, C., Kissel, C., Scaillet, S., Jicha, B., 2004. On the age of the Laschamp geomagnetic excursion. Earth Planet. Sci. Lett. 227, 331-343.] is revised on the basis of new 40Ar/39Ar, unspiked K-Ar and U-238/Th-230 data from three lava flows in the Massif Central, France, together with the 40Ar/39Ar age of a transitionally magnetized lava flow at Auckland, New Zealand. Combined, these data yield an age of 40,700 +/- 950 y b2k, where the uncertainty includes both analytical and systematic (K-40 and Th-230 decay constant) errors. Taking the radioisotopic age as a calibration tie point suggests that the layer-counting chronologies for the NorthGRIP and GISP2 ice cores are more accurate and precise than previously thought at depths corresponding to the Laschamp excursion. (C) 2009 Elsevier B.V. All rights reserved.</t>
  </si>
  <si>
    <t>[Singer, Brad S.; Jicha, Brian R.; Beard, Brian L.; Johnson, Clark M.] Univ Wisconsin, Dept Geosci, Madison, WI 53706 USA; [Guillou, Herve; Laj, Carlo; Kissel, Catherine] CEA, CNRS, USVQ, Lab Sci Climat &amp; Environm,IPSL, F-91198 Gif Sur Yvette, France</t>
  </si>
  <si>
    <t>University of Wisconsin System; University of Wisconsin Madison; Universite Paris Saclay; Universite Paris Cite; CEA; Centre National de la Recherche Scientifique (CNRS)</t>
  </si>
  <si>
    <t>Singer, BS (corresponding author), Univ Wisconsin, Dept Geosci, 1215 W Dayton St, Madison, WI 53706 USA.</t>
  </si>
  <si>
    <t>bsinger@geology.wisc.edu</t>
  </si>
  <si>
    <t>Singer, Brad S/HNC-4900-2023; Singer, Bradley/F-4991-2012; Catherine, Kissel/AAH-1647-2019</t>
  </si>
  <si>
    <t>Singer, Brad S/0000-0003-3595-5168; Singer, Bradley/0000-0003-3595-5168; Catherine, Kissel/0000-0002-2572-2742; Guillou, Herve/0000-0002-4811-7668</t>
  </si>
  <si>
    <t>U.S. National Science Foundation [EAR-0337684, EAR-0516760]; French Atomic Energy Commission (CEA); Centre National de la Recherche Scientifique (CNRS)</t>
  </si>
  <si>
    <t>U.S. National Science Foundation(National Science Foundation (NSF)); French Atomic Energy Commission (CEA)(French Atomic Energy Commission); Centre National de la Recherche Scientifique (CNRS)(Centre National de la Recherche Scientifique (CNRS))</t>
  </si>
  <si>
    <t>We thank Lee Powell for his many years of advice on automation of the lab at UW-Madison. Raimund Muscheler and Anders Svensson are thanked for providing ice core data. Discussions with Grant Raisbeck helped stimulate us to make this contribution and are greatly appreciated. Thoughtful review comments by Anders Svensson and Michel Condomines helped us to clarify key points and also are greatly appreciated along with editor Rick Carlson's efficiency. Singer's research on the geomagnetic field was supported by the U.S. National Science Foundation grants EAR-0337684 and EAR-0516760. Analyses at I-SCE were supported by the French Atomic Energy Commission (CEA) and by the Centre National de la Recherche Scientifique (CNRS). This is LSCE contribution no. 4006.</t>
  </si>
  <si>
    <t>AUG 30</t>
  </si>
  <si>
    <t>10.1016/j.epsl.2009.06.030</t>
  </si>
  <si>
    <t>504WB</t>
  </si>
  <si>
    <t>WOS:000270647500009</t>
  </si>
  <si>
    <t>Hein, AS; Hulton, NRJ; Dunai, TJ; Schnabel, C; Kaplan, MR; Naylor, M; Xu, S</t>
  </si>
  <si>
    <t>Hein, Andrew S.; Hulton, Nicholas R. J.; Dunai, Tibor J.; Schnabel, Christoph; Kaplan, Michael R.; Naylor, Mark; Xu, Sheng</t>
  </si>
  <si>
    <t>Middle Pleistocene glaciation in Patagonia dated by cosmogenic-nuclide measurements on outwash gravels</t>
  </si>
  <si>
    <t>cosmogenic nuclide surface exposure dating; Marine Isotope Stage 8; glacial chronology; southern South America; beryllium-10; Last Glacial Maximum</t>
  </si>
  <si>
    <t>LAGO BUENOS-AIRES; SOUTHERNMOST SOUTH-AMERICA; IN-SITU BE-10; PRODUCTION-RATES; EROSION RATES; QUATERNARY GLACIATIONS; FLUVIAL TERRACES; MAXIMUM MORAINES; EXPOSURE AGES; WIND RIVER</t>
  </si>
  <si>
    <t>The well-preserved glacial record in Argentine Patagonia offers a similar to 1 Ma archive of terrestrial climate extremes in southern South America. These glacial deposits remain largely undated beyond the range of radiocarbon dating at ca. 40 ka. Dating old glacial deposits (&gt; several 10(5) a) by cosmogenic surface exposure methods is problematic because of the uncertainty in moraine degradation and boulder erosion rates. Here, we show that cobbles on outwash terraces can reliably date 'old' glacial deposits in the Lago Pueyrredon valley, 47.5 degrees S. Argentina. Favorable environmental conditions (e.g., aridity and strong winds) have enabled continuous surface exposure of cobbles and preservation of outwash terraces. The data demonstrate that nuclide inheritance is negligible and we therefore use the oldest surface cobbles to date the deposit. Be-10 concentrations in outwash cobbles reveal a major glacial advance at ca. 260 ka, concurrent with Marine Isotope Stage 8 (MIS 8) and dust peaks in Antarctic ice cores. A Be-10 concentration depth-profile in the outwash terrace supports the age and suggests a low terrace erosion rate of ca. 0.5 mm ka(-1). We compare these data to exposure ages obtained from associated moraines and find that surface boulders underestimate the age of the glaciation by similar to 100 ka; thus the oldest boulders in this area do not date closely moraine deposition. The Be-10 concentration in moraine cobbles help to constrain moraine degradation rates. These data together with constraints from measured Al-26/Be-10 ratios suggest that all moraine boulders were likely exhumed after original deposition. We determine the local Last Glacial Maximum (LGM) occurred at similar to 27-25 ka, consistent with the maximum LGM in other parts of Patagonia. (C) 2009 Elsevier B.V. All rights reserved.</t>
  </si>
  <si>
    <t>[Hein, Andrew S.; Hulton, Nicholas R. J.; Dunai, Tibor J.; Naylor, Mark] Univ Edinburgh, Sch Geosci, Edinburgh EH8 9XP, Midlothian, Scotland; [Schnabel, Christoph; Xu, Sheng] Scottish Univ, Environm Res Ctr, E Kilbride G75 0QF, Lanark, Scotland; [Kaplan, Michael R.] Columbia Univ, Lamont Doherty Earth Observ, Palisades, NY 10964 USA</t>
  </si>
  <si>
    <t>University of Edinburgh; Scottish Universities Research &amp; Reactor Center; Columbia University</t>
  </si>
  <si>
    <t>Hein, AS (corresponding author), Univ Edinburgh, Sch Geosci, Geog Bldg,Drummond St, Edinburgh EH8 9XP, Midlothian, Scotland.</t>
  </si>
  <si>
    <t>a.s.hein@sms.ed.ac.uk; Nick.Hulton@ed.ac.uk; Tibor.Dunai@ed.ac.uk; C.Schnabel@suerc.gla.ac.uk; mkaplan@ldeo.columbia.edu; s.xu@suerc.gla.ac.uk</t>
  </si>
  <si>
    <t>Dunai, Tibor J/E-9558-2012; Naylor, Mark/B-8460-2008; Kaplan, Michael R/D-4720-2011</t>
  </si>
  <si>
    <t>Naylor, Mark/0000-0002-3761-5522; Hein, Andrew/0000-0003-3397-3813; Dunai, Tibor Janos/0000-0001-8858-2401</t>
  </si>
  <si>
    <t>UK Natural Environment Research Council (NERC); Royal Geographic Society; Royal Scottish Geographic Society; Carnegie Trust for the Universities of Scotland; Scottish Universities Environmental Research Centre (S.U.E.R.C.); NERC [ciaf010001] Funding Source: UKRI; Natural Environment Research Council [ciaf010001] Funding Source: researchfish</t>
  </si>
  <si>
    <t>UK Natural Environment Research Council (NERC)(UK Research &amp; Innovation (UKRI)Natural Environment Research Council (NERC)); Royal Geographic Society; Royal Scottish Geographic Society; Carnegie Trust for the Universities of Scotland; Scottish Universities Environmental Research Centre (S.U.E.R.C.); NERC(UK Research &amp; Innovation (UKRI)Natural Environment Research Council (NERC)); Natural Environment Research Council(UK Research &amp; Innovation (UKRI)Natural Environment Research Council (NERC))</t>
  </si>
  <si>
    <t>We thank C. Risso, P. Alvarez and O. Martinez for logistical support; A-S. Meriaux for fieldwork support; S. Binnie and E. McDougall for assistance with laboratory work and D. Sugden for helpful comments. For financial support we thank the UK Natural Environment Research Council (NERC) for A. Hein's studentship and sample analysis, the Royal Geographic Society (with IBG)-Rio Tinto plc award, the Royal Scottish Geographic Society, the Carnegie Trust for the Universities of Scotland and the Scottish Universities Environmental Research Centre (S.U.E.R.C.) for support of sample analysis. We are grateful for the constructive comments of two anonymous reviewers that greatly improved the manuscript. (This is L-DEO contribution number #7287 - M. Kaplan).</t>
  </si>
  <si>
    <t>10.1016/j.epsl.2009.06.026</t>
  </si>
  <si>
    <t>WOS:000270647500018</t>
  </si>
  <si>
    <t>Thoma, M; Grosfeld, K; Filina, I; Mayer, C</t>
  </si>
  <si>
    <t>Thoma, Malte; Grosfeld, Klaus; Filina, Irina; Mayer, Christoph</t>
  </si>
  <si>
    <t>Modelling flow and accreted ice in subglacial Lake Concordia, Antarctica</t>
  </si>
  <si>
    <t>subglacial lakes; Lake Concordia; numerical modeling; Antarctica</t>
  </si>
  <si>
    <t>VOSTOK; CIRCULATION</t>
  </si>
  <si>
    <t>More than 150 subglacial lakes have been discovered in Antarctica so far. Due to obvious challenges with exploration, numerical modelling remains one of the major tools to acquire information about those hard-to-access objects. Until now only the huge Lake Vostok has been investigated in detail. This paper focuses on Lake Concordia - the second largest subglacial lake in Antarctica over which substantial geophysical data has been collected. This lake is covered by about 4000 m ice and is located near Dome C. In order to apply numerical models to the hard-to-access Antarctic subglacial lakes, decent geometries and boundary conditions are required. In this study we present the results of airborne gravity inversion, suggesting that this lake has an area of 617 km(2), a volume of 31 km(3). and a maximum water column thickness of 126 m. This bathymetry is used as geometry input for an established 3D-numerical lake-flow model to simulate the circulation and basal mass balance. Compared to our model studies of subglacial Lake Vostok, we obtain a general circulation pattern that is significantly weaker (due to the smaller size of the lake) and of reversed orientation (due to the reversed ice surface tilt). The modelled mean horizontal and vertical velocities are in the order of 0.2 mm/s and 0.5 mu m/s, respectively. The larger molecular convective velocity estimations (1.35 +/- 0.13 mm/s and 0.81 +/- 0.08 mm/s) are similar to Lake Vostok's. The modelled average melting and freezing rates are 4.3 +/- 1.1 mm/a and 1.1 +/- 0.3 mm/a, respectively, and the corresponding fresh water gain is 58 +/- 27 dm(3)/s. integration of the modelled freezing and melting along prescribed ice flow lines allows us to calculate the distribution and thickness of accreted ice at the ice sheet bottom. We estimate a volume of 2.6 +/- 2.0 km(3) (8.3 +/- 8.2% of the total take volume) occupying the north-eastern corner of the lake covering an area of 159 +/- 48 km(2) (26 +/- 9% of the total lake area). With about 16,800 +/- 7600 yr, the residence time of the lake's water is significantly shorter than Lake Vostok's. (C) 2009 Elsevier B.V. All rights reserved.</t>
  </si>
  <si>
    <t>[Thoma, Malte; Grosfeld, Klaus] Alfred Wegener Inst Polar &amp; Marine Res, D-27570 Bremerhaven, Germany; [Thoma, Malte; Mayer, Christoph] Bayer Akad Wissensch, Kommiss Glaziol, D-80539 Munich, Germany; [Filina, Irina] Univ Texas Austin, Jackson Sch Geosci, Austin, TX 78712 USA</t>
  </si>
  <si>
    <t>Helmholtz Association; Alfred Wegener Institute, Helmholtz Centre for Polar &amp; Marine Research; University of Texas System; University of Texas Austin</t>
  </si>
  <si>
    <t>Thoma, M (corresponding author), Alfred Wegener Inst Polar &amp; Marine Res, Bussestr 24, D-27570 Bremerhaven, Germany.</t>
  </si>
  <si>
    <t>Malte.Thoma@awi.de</t>
  </si>
  <si>
    <t>Thoma, Malte/0000-0002-4033-3905; Grosfeld, Klaus/0000-0001-5936-179X</t>
  </si>
  <si>
    <t>DFG [MA33471-2]</t>
  </si>
  <si>
    <t>DFG(German Research Foundation (DFG))</t>
  </si>
  <si>
    <t>This work was funded by the DFG through grant MA33471-2. The authors wish to thank Andrea Bleyer for proof reading and three anonymous reviewers for helpful suggestions which improved the manuscript.</t>
  </si>
  <si>
    <t>10.1016/j.epsl.2009.06.037</t>
  </si>
  <si>
    <t>WOS:000270647500026</t>
  </si>
  <si>
    <t>Watanabe, S; Tomikawa, Y; Sato, K; Kawatani, Y; Miyazaki, K; Takahashi, M</t>
  </si>
  <si>
    <t>Watanabe, Shingo; Tomikawa, Yoshihiro; Sato, Kaoru; Kawatani, Yoshio; Miyazaki, Kazuyuki; Takahashi, Masaaki</t>
  </si>
  <si>
    <t>Simulation of the eastward 4-day wave in the Antarctic winter mesosphere using a gravity wave resolving general circulation model</t>
  </si>
  <si>
    <t>RADIOSONDE OBSERVATIONS; ATMOSPHERE; PARAMETERIZATION; INSTABILITY; CONSTRAINTS; DYNAMICS</t>
  </si>
  <si>
    <t>The eastward moving 4-day wave in the Antarctic winter mesosphere is investigated using a high-resolution middle atmosphere general circulation model that directly simulates the spontaneous generation, propagation, and dissipation of gravity waves. The results are also compared with the simulated seasonal march of the meridional structures of the westerly jet streams in the Southern Hemisphere upper stratosphere and mesosphere in order to investigate baroclinic/barotropic instability as a possible excitation mechanism for the 4-day wave. The model successfully reproduces the dynamically unstable double-jet structure of the mesospheric westerly winds. The simulated 4-day wave develops in association with the baroclinic and barotropic instability of the mesospheric mean flows and has similar characteristics to those observed at 50-60 degrees S near the stratopause. The 4-day wave has strong equatorward heat flux associated with strong baroclinicity in the Antarctic winter mesosphere, mainly attributable to poleward overturning circulation driven by gravity wave forcing. Eastward forcing due to the 4-day wave occurs within the double-jet structure and offsets part of the westward forcing due to gravity waves. Such an effect partially acts to stabilize the unstable mean flow structure in the Antarctic winter mesosphere.</t>
  </si>
  <si>
    <t>[Watanabe, Shingo] Japan Agcy Marine Earth Sci &amp; Technol, Frontier Res Ctr Global Change, Kanazawa Ku, Yokohama, Kanagawa 2360001, Japan; [Tomikawa, Yoshihiro] Natl Inst Polar Res, Tokyo 1908518, Japan; [Sato, Kaoru] Univ Tokyo, Dept Earth &amp; Planetary Sci, Grad Sch Sci, Tokyo 1130033, Japan; [Takahashi, Masaaki] Univ Tokyo, Ctr Climate Syst Res, Kashiwa, Chiba 2778568, Japan</t>
  </si>
  <si>
    <t>Japan Agency for Marine-Earth Science &amp; Technology (JAMSTEC); Research Organization of Information &amp; Systems (ROIS); National Institute of Polar Research (NIPR) - Japan; University of Tokyo; University of Tokyo</t>
  </si>
  <si>
    <t>Watanabe, S (corresponding author), Japan Agcy Marine Earth Sci &amp; Technol, Frontier Res Ctr Global Change, Kanazawa Ku, 3173-25 Showa Machi, Yokohama, Kanagawa 2360001, Japan.</t>
  </si>
  <si>
    <t>wnabe@jamstec.go.jp</t>
  </si>
  <si>
    <t>Miyazaki, Kazuyuki/AAL-1785-2021; Tomikawa, Yoshihiro/D-5304-2012; Watanabe, Shingo/L-9689-2014; Watanabe, Shingo/X-2336-2019; Satoh, Kaoru/P-2047-2015; Sato, Kaoru/E-1693-2012; Kawatani, Yoshio/B-1777-2013</t>
  </si>
  <si>
    <t>Miyazaki, Kazuyuki/0000-0002-1466-4655; Tomikawa, Yoshihiro/0000-0002-5652-3017; Watanabe, Shingo/0000-0002-2228-0088; Watanabe, Shingo/0000-0002-2228-0088; Sato, Kaoru/0000-0002-6225-6066; Kawatani, Yoshio/0000-0003-3260-8830</t>
  </si>
  <si>
    <t>Ministry of Education, Culture, Sports, Science, and Technology (MEXT) of Japan [19204047]; Grants-in-Aid for Scientific Research [19204047] Funding Source: KAKEN</t>
  </si>
  <si>
    <t>Ministry of Education, Culture, Sports, Science, and Technology (MEXT)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</si>
  <si>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thank three anonymous reviewers for helpful comments on the original manuscript. The authors are grateful to Isamu Hirota and Takuji Nakamura for fruitful comments and discussions. This work is a contribution to the Innovative Program of Climate Change Projection for the 21st Century supported by the Ministry of Education, Culture, Sports, Science, and Technology (MEXT) of Japan. This work was supported by a Grant-in Aid for Scientific Research (19204047) from MEXT, Japan. Calculations were conducted using the Earth Simulator, and Figures 1-8 were prepared using the GFD-DENNOU library and GTOOL.</t>
  </si>
  <si>
    <t>AUG 28</t>
  </si>
  <si>
    <t>D16111</t>
  </si>
  <si>
    <t>10.1029/2008JD011636</t>
  </si>
  <si>
    <t>488LD</t>
  </si>
  <si>
    <t>WOS:000269350300004</t>
  </si>
  <si>
    <t>Denis, D; Crosta, X; Schmidt, S; Carson, DS; Ganeshram, RS; Renssen, H; Crespin, J; Ther, O; Billy, I; Giraudeau, J</t>
  </si>
  <si>
    <t>Denis, Delphine; Crosta, Xavier; Schmidt, Sabine; Carson, Damien S.; Ganeshram, Raja S.; Renssen, Hans; Crespin, Julien; Ther, Olivier; Billy, Isabelle; Giraudeau, Jacques</t>
  </si>
  <si>
    <t>Holocene productivity changes off Adelie Land (East Antarctica)</t>
  </si>
  <si>
    <t>PHYTOPLANKTON COMMUNITY STRUCTURE; SOUTHERN-OCEAN SEDIMENTS; SEASONAL DIATOM RECORD; SEA-ICE; ROSS SEA; MERTZ GLACIER; CLIMATE VARIABILITY; PLANKTON PRODUCTION; CONTINENTAL-SHELF; IRON DEPOSITION</t>
  </si>
  <si>
    <t>This study presents the first high-resolution multiproxy investigation of primary productivity ( PP) during the Holocene from the Antarctic continental margins. Micropaleontological and geochemical data from the sediment core MD03-2601, associated to sea ice model outputs, give unprecedented insights into the biological pump of the Antarctic coastal area off Adelie Land in response to climatic changes. Plurimillennial and millennial changes of PP are observed in the study area in response to changes in nutrient availability, stratification, and growing season duration, which are linked to sea ice, upwelling, wind, and glacier dynamics. The precessional cycle seems to be responsible in the PP long-term variations, while forcing factors involved at the millennial timescale remain more enigmatic. Our results emphasize enhanced biological pump during warmer and windier Holocene phases because of a longer growing season and greater nutrient input. Antarctic coastal and continental shelf zones may therefore represent a more intense carbon sink in the future.</t>
  </si>
  <si>
    <t>[Denis, Delphine; Crosta, Xavier; Schmidt, Sabine; Ther, Olivier; Billy, Isabelle; Giraudeau, Jacques] Univ Bordeaux 1, CNRS, UMR 5805, EPOC, F-33405 Talence, France; [Carson, Damien S.; Ganeshram, Raja S.] Univ Edinburgh, Grant Inst, Sch Geosci, Edinburgh EH9 3JW, Midlothian, Scotland; [Crespin, Julien] CNRS, UMR 6635, CEREGE, F-13545 Aix En Provence 4, France; [Renssen, Hans] Vrije Univ Amsterdam, Fac Earth &amp; Life Sci, NL-1081 HV Amsterdam, Netherlands</t>
  </si>
  <si>
    <t>Centre National de la Recherche Scientifique (CNRS); CNRS - National Institute for Earth Sciences &amp; Astronomy (INSU); Universite de Bordeaux; University of Edinburgh; Universite PSL; College de France; Aix-Marseille Universite; Centre National de la Recherche Scientifique (CNRS); Institut de Recherche pour le Developpement (IRD); Vrije Universiteit Amsterdam</t>
  </si>
  <si>
    <t>Denis, D (corresponding author), Univ Bordeaux 1, CNRS, UMR 5805, EPOC, Ave Fac, F-33405 Talence, France.</t>
  </si>
  <si>
    <t>delphine.den@voila.fr</t>
  </si>
  <si>
    <t>Renssen, Hans/C-9927-2010; Schmidt, Sabine/G-1193-2013; Giraudeau, Jacques/AAF-5764-2019; Ganeshram, Raja S/JPX-5314-2023</t>
  </si>
  <si>
    <t>Schmidt, Sabine/0000-0002-5985-9747; Giraudeau, Jacques/0000-0002-5069-4667</t>
  </si>
  <si>
    <t>NSF [NBP0101]; national LEFE-EVE and ACI programs (INSU-CNRS)</t>
  </si>
  <si>
    <t>NSF(National Science Foundation (NSF)); national LEFE-EVE and ACI programs (INSU-CNRS)</t>
  </si>
  <si>
    <t>We personally thank people from the Images X (CADO) cruise and from the NSF-funded NBP0101 cruise for data and suggestions concerning the Dumont d'Urville Trough. Financial support for this study was provided by TARDHOL and JC ARTTE projects through the national LEFE-EVE and ACI programs (INSU-CNRS), with the logistic support of the French Institut Paul Emile Victor and the International Marine Past Global Change Study. This is EPOC contribution 1750.</t>
  </si>
  <si>
    <t>PA3207</t>
  </si>
  <si>
    <t>10.1029/2008PA001689</t>
  </si>
  <si>
    <t>488NQ</t>
  </si>
  <si>
    <t>WOS:000269357000001</t>
  </si>
  <si>
    <t>Wilson, DS; Luyendyk, BP</t>
  </si>
  <si>
    <t>Wilson, Douglas S.; Luyendyk, Bruce P.</t>
  </si>
  <si>
    <t>West Antarctic paleotopography estimated at the Eocene-Oligocene climate transition</t>
  </si>
  <si>
    <t>EASTERN ROSS SEA; MARIE-BYRD LAND; RIFT SYSTEM; ICE-SHEET; TRANSANTARCTIC MOUNTAINS; HISTORY; GLACIATION; EXTENSION; RECORDS; MODEL</t>
  </si>
  <si>
    <t>One generally recognized limitation of models for rapid growth of Antarctic ice near the Eocene-Oligocene transition is that they are based on present topography, corrected only for removal of modern ice. For West Antarctica, this results in large areas below sea level that would not readily host ice. In the recently active West Antarctic rift system, other factors may have contributed to significant vertical motions since the Eocene: Additional corrections for thermal contraction resulting from tectonic extension and for erosion and sedimentation since 34 Ma restore most of West Antarctica to above sea level, increasing total Antarctic land area by 10-20%. Because ice sheets have convex slopes, the potential increase in ice volume is larger than the increase in land area. Accounting for large changes in West Antarctic topography may resolve conflicts between ice models and data by demonstrating the possibility of an early, large West Antarctic Ice Sheet. Citation: Wilson, D. S., and B. P. Luyendyk (2009), West Antarctic paleotopography estimated at the Eocene-Oligocene climate transition, Geophys. Res. Lett., 36, L16302, doi:10.1029/2009GL039297.</t>
  </si>
  <si>
    <t>[Wilson, Douglas S.] Univ Calif Santa Barbara, Inst Marine Sci, Santa Barbara, CA 93106 USA; [Wilson, Douglas S.; Luyendyk, Bruce P.] Univ Calif Santa Barbara, Dept Earth Sci, Santa Barbara, CA 93106 USA; [Luyendyk, Bruce P.] Univ Calif Santa Barbara, Inst Crustal Studies, Santa Barbara, CA 93106 USA</t>
  </si>
  <si>
    <t>Wilson, DS (corresponding author), Univ Calif Santa Barbara, Inst Marine Sci, 1006 Webb Hall,Bldg 526, Santa Barbara, CA 93106 USA.</t>
  </si>
  <si>
    <t>dwilson@geol.ucsb.edu</t>
  </si>
  <si>
    <t>National Science Foundation</t>
  </si>
  <si>
    <t>Research supported by the National Science Foundation, Office of Polar Programs. We thank C. Sorlien, R. Decesari, and M. Faulkner for helpful discussions, and two anonymous reviewers for helpful comments. Contribution 0968 of the Institute for Crustal Studies.</t>
  </si>
  <si>
    <t>AUG 25</t>
  </si>
  <si>
    <t>L16302</t>
  </si>
  <si>
    <t>10.1029/2009GL039297</t>
  </si>
  <si>
    <t>488KJ</t>
  </si>
  <si>
    <t>WOS:000269348200003</t>
  </si>
  <si>
    <t>Walkden, GJ; Heywood, KJ; Nicholls, KW; Abrahamsen, P</t>
  </si>
  <si>
    <t>Walkden, Graham J.; Heywood, Karen J.; Nicholls, Keith W.; Abrahamsen, Povl</t>
  </si>
  <si>
    <t>Freshwater transport at Fimbulisen, Antarctica</t>
  </si>
  <si>
    <t>SOUTHEASTERN WEDDELL SEA; SLOPE FRONT; ICE-SHELF; OCEAN; MASSES; CIRCULATION; TIDE; GYRE</t>
  </si>
  <si>
    <t>The intricate near-circumpolar system of fronts and currents surrounding Antarctica isolates much of Earth's freshwater from the saline oceans immediately north. The Antarctic Slope Front sustains bathymetrically steered flow at the shelf break, whereas the shallow Coastal Current travels rapidly alongside the ice front. A hydrographic survey of the southeastern Weddell Sea finds these two features to have merged near the narrow (&lt;40 km wide) continental shelf at Fimbulisen. On the prime meridian, its Trolltunga ice tongue overshoots the shelf break northward into this slope current. Observations on either side of the ice tongue demonstrate its retarding effect on the westward-flowing waters it overhangs and its contribution to the poorly understood freshwater budget. From oxygen isotope ratio measurements and referenced geostrophic shears, we find the combined glacial meltwater and sea ice melt transport upstream of Trolltunga at 0.6 degrees E to account for 18.0 +/- 5.8 mSv of the total 1.6 +/- 0.2 Sv westward transport (Sv = 10(6) m(3) s(-1)). In Trolltunga's lee and downstream at 2.8 degrees W, we find this figure to ultimately increase to 23.8 +/- 15.5 mSv of a total 2.8 +/- 0.4 Sv transport. Each of these sections was impeded by sea ice cover, so these estimates of westward transport are probably lower limits. The westward glacial ice meltwater transport of 10 +/- 3 mSv at 2.8 degrees W highlights the role that Fimbulisen plays in preconditioning shelf waters before they reach broad continental shelves in the southwestern Weddell Sea where they transform to bottom waters.</t>
  </si>
  <si>
    <t>[Walkden, Graham J.; Heywood, Karen J.] Univ E Anglia, Sch Environm Sci, Norwich NR4 7TJ, Norfolk, England; [Nicholls, Keith W.; Abrahamsen, Povl] British Antarctic Survey, Div Phys Sci, Cambridge CB3 0ET, England</t>
  </si>
  <si>
    <t>Walkden, GJ (corresponding author), Univ E Anglia, Sch Environm Sci, Norwich NR4 7TJ, Norfolk, England.</t>
  </si>
  <si>
    <t>k.heywood@uea.ac.uk</t>
  </si>
  <si>
    <t>N, Keith/E-9126-2010; Abrahamsen, Povl/B-2140-2008; Heywood, Karen/L-1757-2016</t>
  </si>
  <si>
    <t>Abrahamsen, Povl/0000-0001-5924-5350; Heywood, Karen/0000-0001-9859-0026</t>
  </si>
  <si>
    <t>UEA [NER/T/S/2000/00991]; BAS [/T/S/2000/00993]; NERC [bas0100028] Funding Source: UKRI; Natural Environment Research Council [NER/T/S/2000/00993, NER/T/S/2000/01412, NER/T/S/2000/00991, bas0100028] Funding Source: researchfish</t>
  </si>
  <si>
    <t>UEA; BAS; NERC(UK Research &amp; Innovation (UKRI)Natural Environment Research Council (NERC)); Natural Environment Research Council(UK Research &amp; Innovation (UKRI)Natural Environment Research Council (NERC))</t>
  </si>
  <si>
    <t>We thank the NERC Autosub Under Ice program for funding of the UEA (grant NER/T/S/2000/00991) and BAS (grant NER/T/S/2000/00993) groups and all those aboard RRS James Clark Ross cruise 97 for their hard work and enthusiasm. Oxygen isotope determinations were undertaken by the NERC Isotope Geosciences Laboratory at Keyworth, United Kingdom.</t>
  </si>
  <si>
    <t>C08014</t>
  </si>
  <si>
    <t>10.1029/2008JC005028</t>
  </si>
  <si>
    <t>488MD</t>
  </si>
  <si>
    <t>WOS:000269353000002</t>
  </si>
  <si>
    <t>Bost, CA; Thiebot, JB; Pinaud, D; Cherel, Y; Trathan, PN</t>
  </si>
  <si>
    <t>Bost, C. A.; Thiebot, J. B.; Pinaud, D.; Cherel, Y.; Trathan, P. N.</t>
  </si>
  <si>
    <t>Where do penguins go during the inter-breeding period? Using geolocation to track the winter dispersion of the macaroni penguin</t>
  </si>
  <si>
    <t>foraging; wintering; penguins; Southern Ocean; stable isotopes; bio-logging</t>
  </si>
  <si>
    <t>Although penguins are key marine predators from the Southern Ocean, their migratory behaviour during the inter-nesting period remains widely unknown. Here, we report for the first time, to our knowledge, the winter foraging movements and feeding habits of a penguin species by using geolocation sensors fitted on penguins with a new attachment method. We focused on the macaroni penguin Eudyptes chrysolophus at Kerguelen, the single largest consumer of marine prey among all seabirds. Overall, macaroni penguins performed very long winter trips, remaining at sea during approximately six months within the limits of the Southern Ocean. They departed from Kerguelen in an eastward direction and distributed widely, over more than 3.10(6) km(2). The penguins spent most of their time in a previously unrecognized foraging area, i.e. a narrow latitudinal band (47-49 degrees S) within the central Indian Ocean (70-110 degrees E), corresponding oceanographically to the Polar Frontal Zone. There, their blood isotopic niche indicated that macaroni penguins preyed mainly upon crustaceans, but not on Antarctic krill Euphausia superba, which does not occur at these northern latitudes. Such winter information is a crucial step for a better integrative approach for the conservation of this species whose world population is known to be declining.</t>
  </si>
  <si>
    <t>[Bost, C. A.; Thiebot, J. B.; Pinaud, D.; Cherel, Y.] CNRS, UPR 1934, Ctr Etud Biol Chize, F-79360 Villiers En Bois, France; [Trathan, P. N.] British Antarctic Survey, Nat Environm Res Council, Cambridge CB3 0ET, England</t>
  </si>
  <si>
    <t>Centre National de la Recherche Scientifique (CNRS); UK Research &amp; Innovation (UKRI); Natural Environment Research Council (NERC); NERC British Antarctic Survey</t>
  </si>
  <si>
    <t>Bost, CA (corresponding author), CNRS, UPR 1934, Ctr Etud Biol Chize, F-79360 Villiers En Bois, France.</t>
  </si>
  <si>
    <t>Pinaud, David/B-6326-2008</t>
  </si>
  <si>
    <t>Pinaud, David/0000-0003-0815-9668</t>
  </si>
  <si>
    <t>Institut Polaire Francais Paul Emile Victor IPEV [394, 109]; ANR; NERC [bas010017] Funding Source: UKRI; Natural Environment Research Council [bas010017] Funding Source: researchfish</t>
  </si>
  <si>
    <t>Institut Polaire Francais Paul Emile Victor IPEV; ANR(Agence Nationale de la Recherche (ANR)); NERC(UK Research &amp; Innovation (UKRI)Natural Environment Research Council (NERC)); Natural Environment Research Council(UK Research &amp; Innovation (UKRI)Natural Environment Research Council (NERC))</t>
  </si>
  <si>
    <t>The authors thank Y. Charbonnier and S. Mortreux for their help in the field, and G. Ballard for his advice about the logger-attachment procedure. The study was supported by Institut Polaire Francais Paul Emile Victor (IPEV, programmes no. 394 (C.A.B.) and 109 (H. Weimerskirch) and by ANR 07 Biodiv 'Glides' and ANR 05 Biodiv-11 'REMIGE'.</t>
  </si>
  <si>
    <t>1744-957X</t>
  </si>
  <si>
    <t>AUG 23</t>
  </si>
  <si>
    <t>10.1098/rsbl.2009.0265</t>
  </si>
  <si>
    <t>469FQ</t>
  </si>
  <si>
    <t>WOS:000267881700011</t>
  </si>
  <si>
    <t>Bauch, D; Dmitrenko, I; Kirillov, S; Wegner, C; Hölemann, J; Pivovarov, S; Timokhov, L; Kassens, H</t>
  </si>
  <si>
    <t>Bauch, D.; Dmitrenko, I.; Kirillov, S.; Wegner, C.; Hoelemann, J.; Pivovarov, S.; Timokhov, L.; Kassens, H.</t>
  </si>
  <si>
    <t>Eurasian Arctic shelf hydrography: Exchange and residence time of southern Laptev Sea waters</t>
  </si>
  <si>
    <t>Polar oceanography; Continental shelves; Residence time; Halocline; Fast ice; Polynyas</t>
  </si>
  <si>
    <t>ICE; FRONTOGENESIS; MODEL</t>
  </si>
  <si>
    <t>The hydrography of the Laptev Sea is significantly influenced by river water and sea-ice processes, which are highly variable over the annual cycle. Despite of an estuarine structure the inner and outer shelf regions are decoupled at times as documented by the stability of a warm intermediate layer formed during summer below the Lena River plume. We demonstrate that a remnant of this warm layer is preserved below the fast ice until the end of winter, while only slightly farther to the north, offshore of the land fast ice in the polynya region, the pycnocline is eroded and no signature of this layer is found. The warm intermediate layer (WIL) formed during summer can be used as tracer for Laptev Sea shelf waters throughout the winter. There by, residence times of southern Laptev Sea waters can be estimated to be at least from summer to the end of winter/spring of the following year. (C) 2009 Elsevier Ltd. All rights reserved.</t>
  </si>
  <si>
    <t>[Bauch, D.; Dmitrenko, I.; Wegner, C.; Kassens, H.] IFM GEOMAR, Leibniz Inst Marine Sci, D-24148 Kiel, Germany; [Hoelemann, J.] Alfred Wegener Inst Polar &amp; Marine Res, D-27568 Bremerhaven, Germany; [Kirillov, S.; Pivovarov, S.; Timokhov, L.] Arctic &amp; Antarctic Res Inst, St Petersburg 199397, Russia</t>
  </si>
  <si>
    <t>Helmholtz Association; GEOMAR Helmholtz Center for Ocean Research Kiel; Helmholtz Association; Alfred Wegener Institute, Helmholtz Centre for Polar &amp; Marine Research; Arctic &amp; Antarctic Research Institute</t>
  </si>
  <si>
    <t>Bauch, D (corresponding author), IFM GEOMAR, Leibniz Inst Marine Sci, Wischhofstr 1-3, D-24148 Kiel, Germany.</t>
  </si>
  <si>
    <t>dbauch@ifm-geomar.de</t>
  </si>
  <si>
    <t>; Hoelemann, Jens/N-3608-2016</t>
  </si>
  <si>
    <t>Dmitrenko, Igor/0000-0001-8388-7839; Hoelemann, Jens/0000-0001-5102-4086; Bauch, Dorothea/0000-0002-1419-9714</t>
  </si>
  <si>
    <t>DFG [SP 526/3, BMBF 03G0639A, WE4206/1-1]</t>
  </si>
  <si>
    <t>We thank all members of the project System Laptev Sea''. DB acknowledges funds through the DFG Grant SP 526/3 and ID through the BMBF 03G0639A project. SK acknowledges funding through the BMBF project Otto-Schmidt-Laboratory for Polar and Marine Sciences'' (03PL038A). CW acknowledges funds through the DFG Grant WE4206/1-1.</t>
  </si>
  <si>
    <t>AUG 20</t>
  </si>
  <si>
    <t>10.1016/j.csr.2009.06.009</t>
  </si>
  <si>
    <t>536RP</t>
  </si>
  <si>
    <t>WOS:000273061800006</t>
  </si>
  <si>
    <t>Fusco, G; Budillon, G; Spezie, G</t>
  </si>
  <si>
    <t>Fusco, Giannetta; Budillon, Giorgio; Spezie, Giancarlo</t>
  </si>
  <si>
    <t>Surface heat fluxes and thermohaline variability in the Ross Sea and in Terra Nova Bay polynya</t>
  </si>
  <si>
    <t>Heat fluxes; Polynya; Ice production; Thermohaline variability; ECMWF</t>
  </si>
  <si>
    <t>NCEP-NCAR REANALYSIS; CIRCULATION; SHELF; ANTARCTICA; OCEAN; MODEL</t>
  </si>
  <si>
    <t>The Ross Sea is an important area for the ventilation of the deeplayers of the Southern Ocean(e. g. [Jacobs, S. S., Fairbanks, R. G., Horibe, Y., 1985. Origin and evolution of water masses near the Antarctic continental margin: evidence from H218O/H216 Oratios in seawater. In: Jacobs, S. S.(Ed.), Oceanology of the Antarctic Continental Shelf. Antarctic Research Series, vol. 43. pp. 59-85; Orsi, A. H., Johnson, G. C., Bullister, J. L., 1999. Circulation, mixing, and the production of Antarctic bottom water. Progress in Oceanography 109, 43-55]). These processes are driven by the atmospheric forcing which, at high latitude, plays a key role in the formation and thickness of seaice. In order to investigate the effect of the atmospheric forcing variability at different time scales, we analysed the surface heat budget over the Ross Sea continental shelf and in Terra Nova Bay (TNB) polynya, using analyses for the period 1990-2006 provided by European Centre for Medium-range Weather Forecast (ECMWF). This study was also performed using thermohaline data collected within the activities of Climatic Long-term Interaction for the mass-balance in Antarctic a project of the Italian National Programme for Antarctic Research for the summer periods from 1994 until 2001. The annual average of the heat budget over the continental shelf of the Ross Sea estimated in the period 1990-2006 shows an inter annual variability ranging between -97 and -123 Wm(-2). Assuming that the heat loss must be compensated by the sensible heat carried by the Circumpolar Deep Water we estimated its transport (3.1 Sv) and its variability (0.2 Sv). Similarly in the TNB polynyathe heat loss reaches its maximum in 2003 (-313 Wm(-2)) and its minimum (-58 Wm(-2)) in 1996. The related production of sea ice and the High Salinity Shelf Water (HSSW) were also estimated. The HSSW production switched from the lowest values during the first 10 years of the investigated period (1990-2000) to the highest values for the remaining period (2001-2006). The thermohaline characteristics of the water column in TNB show a general decrease in salinity with a superimposed variability. Comparison between the estimated HSSW production and the salinity observed within the TNB water column show similar tendency in the last years after 2002, while during the period 1995-1998 the behaviour is different. Our hypothesis concern a possible role of the CDW in flow in the TNB area and our results could be explained by a different contribution of CDW transport and HSSW production to the salt content within the water column. (C) 2009 Elsevier Ltd. All rights reserved.</t>
  </si>
  <si>
    <t>[Fusco, Giannetta; Budillon, Giorgio; Spezie, Giancarlo] Univ Napoli Parthenope, Dipartimento Sci Ambiente, Naples, Italy</t>
  </si>
  <si>
    <t>Parthenope University Naples</t>
  </si>
  <si>
    <t>Fusco, G (corresponding author), Univ Napoli Parthenope, Dipartimento Sci Ambiente, Naples, Italy.</t>
  </si>
  <si>
    <t>giannetta.fusco@uniparthenope.it</t>
  </si>
  <si>
    <t>Budillon, Giorgio/O-5348-2014; Fusco, Giannetta/J-5118-2019</t>
  </si>
  <si>
    <t>Budillon, Giorgio/0000-0003-1756-2221; Fusco, Giannetta/0000-0003-1769-2456</t>
  </si>
  <si>
    <t>10.1016/j.csr.2009.07.006</t>
  </si>
  <si>
    <t>WOS:000273061800012</t>
  </si>
  <si>
    <t>Hansen, SE; Julià, J; Nyblade, AA; Pyle, ML; Wiens, DA; Anandakrishnan, S</t>
  </si>
  <si>
    <t>Hansen, Samantha E.; Julia, Jordi; Nyblade, Andrew A.; Pyle, Moira L.; Wiens, Douglas A.; Anandakrishnan, Sridhar</t>
  </si>
  <si>
    <t>Using S wave receiver functions to estimate crustal structure beneath ice sheets: An application to the Transantarctic Mountains and East Antarctic craton</t>
  </si>
  <si>
    <t>S wave receiver functions; ice sheets; Antarctica; Transantarctic Mountains</t>
  </si>
  <si>
    <t>WESTERN-AUSTRALIA; YILGARN CRATON; LITHOSPHERE; UPLIFT; KAAPVAAL; MODEL; ZONE; SEA</t>
  </si>
  <si>
    <t>For seismic stations deployed on ice sheets, determining crustal structure using P wave receiver functions can be difficult since ice reverberations may mask P-to-S (Ps) conversions from the crust-mantle boundary (Moho). In this study, we assess the usefulness of S wave receiver functions (SRFs), which are not affected by ice multiples, for investigating crustal structure beneath ice sheets by analyzing broadband seismic data recorded across the Transantarctic Mountains (TAMs) and the East Antarctic (EA) craton. Clear S-to-P (Sp) conversions from the Moho are obtained using standard SRF processing methods and are easier to interpret than the corresponding Ps conversion on PRFs. When the Sp-S times are modeled together with 16-20 s Rayleigh wave group velocities, we obtain Moho depth estimates of similar to 40-45 km for the EA craton, consistent with average Precambrian crustal thickness found globally but similar to 9 km thicker than previously reported estimates. A somewhat thinner crust (similar to 35-40 km) is obtained beneath the TAMs, suggesting that crustal buoyancy is at most a minor contributor to the uplift of the mountain range in this region.</t>
  </si>
  <si>
    <t>[Hansen, Samantha E.; Julia, Jordi; Nyblade, Andrew A.; Anandakrishnan, Sridhar] Penn State Univ, Dept Geosci, University Pk, PA 16802 USA; [Pyle, Moira L.; Wiens, Douglas A.] Washington Univ, Dept Earth &amp; Planetary Sci, St Louis, MO 63130 USA</t>
  </si>
  <si>
    <t>Pennsylvania Commonwealth System of Higher Education (PCSHE); Pennsylvania State University; Pennsylvania State University - University Park; Washington University (WUSTL)</t>
  </si>
  <si>
    <t>Hansen, SE (corresponding author), Penn State Univ, Dept Geosci, University Pk, PA 16802 USA.</t>
  </si>
  <si>
    <t>shansen@geosc.psu.edu; jjulia@geosc.psu.edu; andy@geosc.psu.edu; mpyle@artsci.wustl.edu; doug@wustl.edu; sak@essc.psu.edu</t>
  </si>
  <si>
    <t>Anandakrishnan, Sridhar/JCN-5026-2023; Pyle, Moira/L-3642-2016; Wiens, Douglas/J-9259-2016; Julia, Jordi/H-1672-2017</t>
  </si>
  <si>
    <t>Hansen, Samantha/0000-0001-7608-5715; Pyle, Moira/0000-0003-1081-0966; Wiens, Douglas/0000-0002-5169-4386; Julia, Jordi/0000-0002-9232-0938</t>
  </si>
  <si>
    <t>National Science Foundation [OPP 9909603, OPP 9909648]</t>
  </si>
  <si>
    <t>We thank Paul Winberry and the Support Office for Aerogeophysical Research ( SOAR) at the University of Texas for providing the ice-penetrating radar data and Marco Finotello for sharing his H-k stacking results. We also thank Tim Stern and two anonymous reviewers for their thorough critiques of this manuscript. Data were obtained from the IRIS data management center. Funding for this project was provided by National Science Foundation, grants OPP 9909603 and OPP 9909648. Figures 1-5 were prepared using GMT [Wessel and Smith, 1998].</t>
  </si>
  <si>
    <t>Q08014</t>
  </si>
  <si>
    <t>10.1029/2009GC002576</t>
  </si>
  <si>
    <t>487AR</t>
  </si>
  <si>
    <t>WOS:000269243200002</t>
  </si>
  <si>
    <t>van der Merwe, P; Lannuzel, D; Nichols, CAM; Meiners, K; Heil, P; Norman, L; Thomas, DN; Bowie, AR</t>
  </si>
  <si>
    <t>van der Merwe, P.; Lannuzel, D.; Nichols, C. A. Mancuso; Meiners, K.; Heil, P.; Norman, L.; Thomas, D. N.; Bowie, A. R.</t>
  </si>
  <si>
    <t>Biogeochemical observations during the winter-spring transition in East Antarctic sea ice: Evidence of iron and exopolysaccharide controls</t>
  </si>
  <si>
    <t>MARINE CHEMISTRY</t>
  </si>
  <si>
    <t>Antarctica; Sea ice; Biogeochemistry; Exopolysaccharide; Iron</t>
  </si>
  <si>
    <t>FLOW-INJECTION ANALYSIS; EXOPOLYMER PARTICLES; SOUTHERN-OCEAN; ORGANIC COMPLEXATION; GROWTH-RATES; ROSS SEA; CARBON; SUBSTANCES; DISTRIBUTIONS; AVAILABILITY</t>
  </si>
  <si>
    <t>This paper documents the spatial distribution and concentration of exopolysaccharides at 9 discrete sea ice sites, consisting of first year sea ice, and relates this information to physical (ice temperature, texture) and biogeochemical (oxygen stable isotopic composition of the ice, salinity, macronutrients, dissolved iron, particulate organic carbon, dissolved organic carbon and Chlorophyll a) variables. The sampling was carried out over a transition from austral winter to early spring conditions as part of the Sea Ice Physics and Ecosystems experiment (SIPEX), during September/October 2007 in the 110 degrees-130 degrees E region off East Antarctica. Exopolysaccharide concentrations in sea ice varied by 3 orders of magnitude from 2.8 to 2690 mu g xanthan equivalent (xeq.)l(-1): basal ice mean 493 mu g xeq.l(-1). Exopolysaccharides correlated significantly with particulate organic carbon and Chlorophyll a but not with dissolved iron, dissolved organic carbon or macronutrient data, indicating that exopolysaccharides are most likely produced in situ by autotrophic sea ice biota, superimposed over fossil organics. We observed increased exopolysaccharide per unit biomass in the colder surface to intermediate ice at three stations, supporting the theory that exopolysaccharides may be used as a cryoprotectant. Mean bulk ice dissolved iron (depth integrated) across all ice cores was 2.37 nM (range 0.23 to 14.4 nM). Sea ice dissolved iron concentration was always elevated relative to seawater. Apparent dissolved iron and estimates of cellular carbon to iron ratios suggest that the sea ice microbial biota was not limited by dissolved iron but may have been by NO2 + NO3 or Si(OH)(4). Conversely, under ice seawater algal communities may have been limited by dissolved iron and/or light and grazing at the time of sampling. We observed a significant inverse correlation between dissolved Fe and Chlorophyll a in the basal layers of the ice, most likely indicating the active drawdown of dissolved Fe by the sea ice biota, combined with some fraction lost to the water column or converted to the particulate fraction. (C) 2009 Elsevier B.V. All rights reserved.</t>
  </si>
  <si>
    <t>[van der Merwe, P.] Univ Tasmania, Inst Antarctic &amp; So Ocean Studies, Hobart, Tas 7001, Australia; [van der Merwe, P.; Lannuzel, D.; Nichols, C. A. Mancuso; Meiners, K.; Heil, P.; Bowie, A. R.] Univ Tasmania, Antarctic Climate &amp; Ecosyst CRC, Hobart, Tas 7001, Australia; [Lannuzel, D.] Ctr Marine Sci, Hobart, Tas 7001, Australia; [Nichols, C. A. Mancuso] Commonwealth Sci &amp; Ind Res Org, Mol &amp; Hlth Technol, Hobart, Tas 7000, Australia; [Heil, P.] Australian Antarctic Div, Dept Environm Water Heritage &amp; Arts, Kingston, Tas 7050, Australia; [Norman, L.; Thomas, D. N.] Bangor Univ, Coll Nat Sci, Menai Bridge LL59 5AB, Anglesey, Wales</t>
  </si>
  <si>
    <t>University of Tasmania; University of Tasmania; Commonwealth Scientific &amp; Industrial Research Organisation (CSIRO); Australian Antarctic Division; Bangor University</t>
  </si>
  <si>
    <t>van der Merwe, P (corresponding author), Univ Tasmania, Inst Antarctic &amp; So Ocean Studies, Private Bag 50, Hobart, Tas 7001, Australia.</t>
  </si>
  <si>
    <t>pvander@utas.edu.au</t>
  </si>
  <si>
    <t>Thomas, David Neville/B-1448-2010; Nichols, Carol/C-2290-2008; Bowie, Andrew/C-8677-2013; van der Merwe, Pier/C-9210-2015; lannuzel, delphine/J-7937-2014</t>
  </si>
  <si>
    <t>Thomas, David Neville/0000-0001-8832-5907; Nichols, Carol/0000-0002-2739-4690; Bowie, Andrew/0000-0002-5144-7799; van der Merwe, Pier/0000-0002-7428-8030; lannuzel, delphine/0000-0001-6154-1837; Heil, Petra/0000-0003-2078-0342</t>
  </si>
  <si>
    <t>Australian Government's Cooperative Research Centres Programme through the Antarctic Climate and Ecosystems Cooperative Research Centre (ACE CRC); Australian Antarctic Science projects [2767, 3026]; Natural Environment Research Council, U.K; Natural Environment Research Council [NER/A/S/2003/00340] Funding Source: researchfish</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</si>
  <si>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Science projects; Natural Environment Research Council, U.K(UK Research &amp; Innovation (UKRI)Natural Environment Research Council (NERC)); Natural Environment Research Council(UK Research &amp; Innovation (UKRI)Natural Environment Research Council (NERC))</t>
  </si>
  <si>
    <t>We gratefully acknowledge the officers and crew of R.S.V. Aurora Australis, as well as colleagues and support personnel involved in the SIPEX expedition. This work was funded by the Australian Government's Cooperative Research Centres Programme through the Antarctic Climate and Ecosystems Cooperative Research Centre (ACE CRC). This work was sponsored by the Australian Antarctic Science projects (#2767 and #3026). The participation of D.N.T. and L.N. was funded by the Natural Environment Research Council, U.K. We would like to thank Dr. Tony Worby for his support and training during SIPEX. We are indebted to the Commonwealth Scientific and Industrial Research Organization, Marine Research division for providing a clean container for iron concentration enumeration during SIPEX. We are greatly indebted to Dr. Christopher Krembs for providing valuable insight during the method development stage of this project. Many thanks to four anonymous reviewers, and internal ACE CRC reviewers Dr. Tom Trull and Dr. Benedict Pasquer for their valuable input, and to Dianna Davis for her training in processing the POC samples. The analysis for total nitrogen, carbon and hydrogen was determined by Dr. Thomas Rodemann at the Central Science Laboratory, University of Tasmania.</t>
  </si>
  <si>
    <t>0304-4203</t>
  </si>
  <si>
    <t>1872-7581</t>
  </si>
  <si>
    <t>MAR CHEM</t>
  </si>
  <si>
    <t>Mar. Chem.</t>
  </si>
  <si>
    <t>10.1016/j.marchem.2009.08.001</t>
  </si>
  <si>
    <t>Chemistry, Multidisciplinary; Oceanography</t>
  </si>
  <si>
    <t>Chemistry; Oceanography</t>
  </si>
  <si>
    <t>521ZI</t>
  </si>
  <si>
    <t>WOS:000271965000003</t>
  </si>
  <si>
    <t>McNeil, BI; Tilbrook, B</t>
  </si>
  <si>
    <t>McNeil, B. I.; Tilbrook, B.</t>
  </si>
  <si>
    <t>A seasonal carbon budget for the sub-Antarctic Ocean, South of Australia</t>
  </si>
  <si>
    <t>Carbon budget; Southern Ocean; Carbon isotopes; Oceanic biogeochemistry</t>
  </si>
  <si>
    <t>POLAR FRONTAL ZONES; PARTICULATE ORGANIC-MATTER; AIR-SEA FLUXES; INTERANNUAL VARIABILITY; ROSS SEA; CO2 FLUX; EXPORT; DIOXIDE; RATIOS; CYCLE</t>
  </si>
  <si>
    <t>Changes from winter (July) to summer (February) in mixed layer carbon tracers and nutrients measured in the sub-Antarctic zone (SAZ), south of Australia, were used to derive a seasonal carbon budget. The region showed a strong winter to summer decrease in dissolved inorganic carbon (DIC; similar to 45 mu mol/kg) and fugacity of carbon dioxide (fCO(2); similar to 25 mu atm), and an increase in stable carbon isotopic composition of DIC (delta C-13(DIC); similar to 0.5 parts per thousand), based on data collected between November 1997 and July 1999. The observed mixed layer changes are due to a combination of ocean mixing, air-sea exchange of CO2, and biological carbon production and export. After correction for mixing, we find that DIC decreases by up to 42 +/- 3 mu mol/kg from winter (July) to summer (February), with delta C-13(DIC) enriched by up to 0.45 +/- 0.05 parts per thousand for the same period. The enrichment of delta C-13(DIC) between winter and summer is due to the preferential uptake Of (CO2)-C-12 by marine phytoplankton during photosynthesis. Biological processes dominate the seasonal carbon budget (approximate to 80%), while air-sea exchange of CO2 (approximate to 10%) and mixing (approximate to 10%) have smaller effects. We found the seasonal amplitude of fCO(2) to be about half that of a study undertaken during 1991-1995 [Metzl, N., Tilbrook, B. and Poisson, A., 1999. The annual fCO(2) cycle and the air-sea CO2 flux in the sub-Antarctic Ocean. Tellus Series B-Chemical and Physical Meteorology, 51(4): 849-861.] for the same region, indicating that SAZ may undergo significant inter-annual variations in surface fCO(2). The seasonal DIC depletion implies a minimum biological carbon export of 3400 mmolC/m(2) from July to February. A comparison with nutrient changes indicates that organic carbon export occurs close to Redfield values (Delta P:Delta N:Delta C = 1:16:119). Extrapolating our estimates to the circumpolar sub-Antarctic Ocean implies a minimum organic carbon export of 0.65 GtC from the July to February period, about 5-7% of estimates of global export flux. Our estimate for biological carbon export is an order of magnitude greater than anthropogenic CO2 uptake in the same region and suggests that changes in biological export in the region may have large implications for future CO2 uptake by the ocean. (C) 2009 Elsevier B.V. All rights reserved.</t>
  </si>
  <si>
    <t>[McNeil, B. I.] Univ New S Wales, Climate Change Res Ctr, Fac Sci, Sydney, NSW, Australia; [Tilbrook, B.] CSIRO Wealth Oceans Natl Res Flagship &amp; Antarctic, Hobart, Tas, Australia</t>
  </si>
  <si>
    <t>McNeil, BI (corresponding author), Univ New S Wales, Climate Change Res Ctr, Fac Sci, Sydney, NSW, Australia.</t>
  </si>
  <si>
    <t>b.mcneil@unsw.edu.au</t>
  </si>
  <si>
    <t>Tilbrook, Bronte/W-4007-2019</t>
  </si>
  <si>
    <t>Tilbrook, Bronte/0000-0001-9385-3827; McNeil, Ben/0000-0001-5765-7087</t>
  </si>
  <si>
    <t>10.1016/j.marchem.2009.08.006</t>
  </si>
  <si>
    <t>WOS:000271965000005</t>
  </si>
  <si>
    <t>Jackman, CM; Lamy, L; Freeman, MP; Zarka, P; Cecconi, B; Kurth, WS; Cowley, SWH; Dougherty, MK</t>
  </si>
  <si>
    <t>Jackman, C. M.; Lamy, L.; Freeman, M. P.; Zarka, P.; Cecconi, B.; Kurth, W. S.; Cowley, S. W. H.; Dougherty, M. K.</t>
  </si>
  <si>
    <t>On the character and distribution of lower-frequency radio emissions at Saturn and their relationship to substorm-like events</t>
  </si>
  <si>
    <t>KILOMETRIC RADIATION; SOLAR-WIND; EARTH; GALILEO; REGIONS; TAIL</t>
  </si>
  <si>
    <t>With the arrival of the Cassini spacecraft at Saturn in July 2004, there have been quasi-continuous observations of Saturn kilometric radiation (SKR) emissions. Exploration of the nightside magnetosphere has revealed evidence of plasmoid-like magnetic structures and other phenomena indicative of the Kronian equivalent of terrestrial substorms. In general, there is a good correlation between the timing of reconnection events and enhancements in the auroral SKR emission. Eight of nine reconnection events studied occur at SKR phases where the SKR power would be expected to be rising with time. Thus, while the recurrence rate of substorm-like events at Saturn is likely much longer than the planetary rotation timescale, the events are favored to occur at a particular phase of the rotation. We show three examples in each of which the SKR spectrum extends to lower frequencies than usual. This can be interpreted as an expansion of the auroral particle acceleration region to higher altitudes along magnetic field lines as a direct consequence of an increase in the magnetosphere-ionosphere current density driven by substorm-like events. We then conduct a survey of such low-frequency extensions during the equatorial orbits of 2005-2006 and place some constraints on visibility of these radio emissions.</t>
  </si>
  <si>
    <t>[Jackman, C. M.; Dougherty, M. K.] Univ London Imperial Coll Sci Technol &amp; Med, Blackett Lab, London SW7 2BW, England; [Lamy, L.; Zarka, P.; Cecconi, B.] Univ Paris Diderot, CNRS, Observ Paris, UPMC,LESIA, Meudon, France; [Freeman, M. P.] British Antarctic Survey, Cambridge CB3 0ET, England; [Kurth, W. S.] Univ Iowa, Dept Phys &amp; Astron, Iowa City, IA 52242 USA; [Cowley, S. W. H.] Univ Leicester, Dept Phys &amp; Astron, Leicester LE1 7RH, Leics, England</t>
  </si>
  <si>
    <t>Imperial College London; Universite PSL; Observatoire de Paris; Universite Paris Cite; Centre National de la Recherche Scientifique (CNRS); Sorbonne Universite; UK Research &amp; Innovation (UKRI); Natural Environment Research Council (NERC); NERC British Antarctic Survey; University of Iowa; University of Leicester</t>
  </si>
  <si>
    <t>Jackman, CM (corresponding author), Univ London Imperial Coll Sci Technol &amp; Med, Blackett Lab, London SW7 2BW, England.</t>
  </si>
  <si>
    <t>Cecconi, Baptiste/ABF-3912-2020; Zarka, Philippe/JSL-2437-2023; Kurth, William/AAA-7334-2019; Freeman, Mervyn/E-5687-2019</t>
  </si>
  <si>
    <t>Cecconi, Baptiste/0000-0001-7915-5571; Kurth, William/0000-0002-5471-6202; Cowley, Stanley/0000-0002-4041-0034; Freeman, Mervyn/0000-0002-8653-8279; Jackman, Caitriona/0000-0003-0635-7361</t>
  </si>
  <si>
    <t>STFC; NASA [1279973]; Natural Environment Research Council [bas010021, bas0100026] Funding Source: researchfish; Science and Technology Facilities Council [PP/D000912/1, PP/E001076/1, PP/E000983/1] Funding Source: researchfish; NERC [bas010021, bas0100026] Funding Source: UKRI; STFC [PP/E001076/1, PP/D000912/1, PP/E000983/1] Funding Source: UKRI</t>
  </si>
  <si>
    <t>STFC(UK Research &amp; Innovation (UKRI)Science &amp; Technology Facilities Council (STFC)); NASA(National Aeronautics &amp; Space Administration (NASA));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</si>
  <si>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Work at Imperial was supported by STFC. The research at the University of Iowa was funded by NASA through contract 1279973 with the Jet Propulsion Laboratory.</t>
  </si>
  <si>
    <t>AUG 18</t>
  </si>
  <si>
    <t>A08211</t>
  </si>
  <si>
    <t>10.1029/2008JA013997</t>
  </si>
  <si>
    <t>487CB</t>
  </si>
  <si>
    <t>Green Published, Green Accepted</t>
  </si>
  <si>
    <t>WOS:000269247000003</t>
  </si>
  <si>
    <t>Amakawa, H; Sasaki, K; Ebihara, M</t>
  </si>
  <si>
    <t>Amakawa, Hiroshi; Sasaki, Kazunori; Ebihara, Mitsuru</t>
  </si>
  <si>
    <t>Nd isotopic composition in the central North Pacific</t>
  </si>
  <si>
    <t>PRECISE DETERMINATION; INTERMEDIATE WATER; NEODYMIUM ISOTOPES; SURFACE WATERS; OCEAN; CIRCULATION; SEAWATER; RATIOS; EVOLUTION; INPUTS</t>
  </si>
  <si>
    <t>Three vertical profiles of seawater concentration and isotopic composition of Nd were determined for the western to central North Pacific Ocean. In the Subarctic oceanic region, at depths greater than 500 m, one vertical profile of Nd isotopic composition was indistinguishable from most previously reported profiles from here. The data indicate a rather homogeneous Nd isotopic composition in the subarctic oceanic region at middle to deep depths (&gt;500 m). Two stations in the subtropical oceanic region exhibited similar Nd isotopic composition profiles to those previously reported. The maxima epsilon(Nd) values at depths of 800-1000 m (epsilon(Nd) = -3.4 to -2.7), which correspond to the North Pacific Intermediate Water (NPIW), are found at both subtropical stations. This implies a ubiquitous distribution of NPIW showing a radiogenic epsilon(Nd) value in the North Pacific. The sub-surface minimum at a depth of similar to 200 m, which indicates the penetration of the North Pacific Tropical Water (NPTW) with an unradiogenic Nd isotopic signal, was observed at one station in the western Pacific. This station had much lower epsilon(Nd) than the central station at depths around 5000 m, suggesting the greater prominence of Antarctic Bottom Water (AABW) in the western Subtropical Pacific than in the central to eastern Subtropical Pacific. Results of a model calculation assuming boundary exchange indicate that the Hawaiian Islands play an important role in supplying radiogenic Nd to the central Pacific, similar to some continental margins. We show that Nd isotopic composition is a versatile tracer for ocean Circulation and the geochemical cycle of Nd in the North Pacific. Further studies oil the distribution of Nd isotopic composition in the Pacific Ocean, including the Southern Pacific, will better elucidate the circulation and geochemical cycle of Nd in the Pacific. (C) 2009 Elsevier Ltd. All rights reserved.</t>
  </si>
  <si>
    <t>[Amakawa, Hiroshi] Univ Tokyo, Ctr Adv Marine Res, Ocean Res Inst, Nakano Ku, Tokyo 1648639, Japan; [Sasaki, Kazunori; Ebihara, Mitsuru] Tokyo Metropolitan Univ, Fac Sci, Dept Chem, Tokyo 1920397, Japan</t>
  </si>
  <si>
    <t>University of Tokyo; Tokyo Metropolitan University</t>
  </si>
  <si>
    <t>Amakawa, H (corresponding author), Univ Tokyo, Ctr Adv Marine Res, Ocean Res Inst, Nakano Ku, Tokyo 1648639, Japan.</t>
  </si>
  <si>
    <t>amakawah@ori.u-tokyo.ac.jp</t>
  </si>
  <si>
    <t>AUG 15</t>
  </si>
  <si>
    <t>10.1016/j.gca.2009.05.058</t>
  </si>
  <si>
    <t>474TP</t>
  </si>
  <si>
    <t>WOS:000268307300007</t>
  </si>
  <si>
    <t>McCubbin, FM; Tosca, NJ; Smirnov, A; Nekvasil, H; Steele, A; Fries, M; Lindsley, DH</t>
  </si>
  <si>
    <t>McCubbin, Francis M.; Tosca, Nicholas J.; Smirnov, Alexander; Nekvasil, Hanna; Steele, Andrew; Fries, Marc; Lindsley, Donald H.</t>
  </si>
  <si>
    <t>Hydrothermal jarosite and hematite in a pyroxene-hosted melt inclusion in martian meteorite Miller Range (MIL) 03346: Implications for magmatic-hydrothermal fluids on Mars</t>
  </si>
  <si>
    <t>STILLWATER COMPLEX; MERIDIANI-PLANUM; CL-AMPHIBOLE; CHLORINE; EVOLUTION; NAKHLITE; MINERALIZATION; MIL-03346; ROCKS; NATROJAROSITE</t>
  </si>
  <si>
    <t>Low-temperature aqueous processes have been implicated in the generation of jarosite and hematite Oil the martian surface, but little is known regarding the role that high-temperature magmatic fluids may have played in production, Similar assemblages on Mars. We have identified jarosite and hematite in a clinopyroxene-hosted melt inclusion in martian meteorite M I L 03346 that shows evidence of having been hydrothermally precipitated. In addition to jarosite and hematite, the melt inclusion contains titanomagnetite, pyrrhotite, potassic-chlorohastingsite, all iron-rich silicate glass and possibly goethite, These phases were identified and characterized using scanning electron microscopy (SEM), con-focal Raman-spectroscopy and electron probe microanalysis (EPMA). Based oil observed textural relationships and the compositions of the hosted phases, we report that the jarosite-bearing melt inclusion in MIL 03346 has recorded a fluid-rich history that began in the magmatic stage and Continued to low-temperatures. This history begins at entrapment of a volatile-rich silicate melt that likely reached fluid-saturation after only minor crystallization within the melt inclusion. This fluid, rich in chlorine, reacted with Surrounding silicate material to produce the potassic-chlorohastingsite. As cooling proceeded, the liquid phase eventually became more oxidized and reacted with the pyrrhotite. Sulfide oxidation resulted in SO42- formation and concomitant acid production, setting the stage for jarosite formation once the fluid cooled beyond the upper thermal stability of jarosite (similar to 200 degrees C). As the fluid cooled below 200 degrees C, jarosite Continued to precipitate with hematite and/or goethite until equilibrium was established or reactions became kinetically unfavorable. This work suggests all additional jarosite-hematite formation pathway oil Mars; one that may be important wherever magmatic-hydrothermal fluids come into contact with primary sulfide grains at the martian Surface or subsurface. Moreover. hydrothermal fluids rich in chlorine, sulfur, and iron are important for ore-forming processes on Earth, and their indirect identification on Mars may have important implications for ore-formulation oil Mars. (C) 2009 Elsevier Ltd. All rights reserved.</t>
  </si>
  <si>
    <t>[McCubbin, Francis M.; Smirnov, Alexander; Steele, Andrew; Fries, Marc] Carnegie Inst Sci, Geophys Lab, Washington, DC 20015 USA; [McCubbin, Francis M.; Nekvasil, Hanna; Lindsley, Donald H.] SUNY Stony Brook, Dept Geosci, Stony Brook, NY 11794 USA; [Tosca, Nicholas J.] Harvard Univ, Dept Organism &amp; Evolutionary Biol, Cambridge, MA 02138 USA</t>
  </si>
  <si>
    <t>Carnegie Institution for Science; State University of New York (SUNY) System; State University of New York (SUNY) Stony Brook; Harvard University</t>
  </si>
  <si>
    <t>McCubbin, FM (corresponding author), Carnegie Inst Sci, Geophys Lab, 5251 Broad Branch Rd NW, Washington, DC 20015 USA.</t>
  </si>
  <si>
    <t>fmccubbin@ciw.edu</t>
  </si>
  <si>
    <t>McCubbin, Francis/AAG-1095-2020; McCubbin, Francis M/D-1698-2009; Smirnov, Alexander/D-4672-2009; Steele, Andrew/A-3573-2013</t>
  </si>
  <si>
    <t>Tosca, Nicholas/0000-0003-4415-4231; Smirnov, Alexander/0000-0001-8665-5187; Steele, Andrew/0000-0001-9643-2841</t>
  </si>
  <si>
    <t>NASA [NNX08AN14G]; NASA SERLIDA; Graduate Assistance in Areas of National Need (GAANN) Fellowship; Origins Postdoctoral Fellowship; Carnegie Institution of Washington; Geophysical Laboratory and NASA Astrobiology Institute; NASA [NNX08AN14G, 96898] Funding Source: Federal RePORTER</t>
  </si>
  <si>
    <t>NASA(National Aeronautics &amp; Space Administration (NASA)); NASA SERLIDA; Graduate Assistance in Areas of National Need (GAANN) Fellowship(US Department of Education); Origins Postdoctoral Fellowship; Carnegie Institution of Washington; Geophysical Laboratory and NASA Astrobiology Institute; NASA(National Aeronautics &amp; Space Administration (NASA))</t>
  </si>
  <si>
    <t>We thank the Antarctic Meteorite Working Group and the Meteorite curatorial staff at the Lyndon B. Johnson Space Center in Houston, TX for approving our request and allocating a thin section of MIL 03346 (#114). We would also like to thank Christopher Herd, Harry McSween, and one anonymous reviewer for helpful and insightful reviews of the manuscript. We are grateful to Alan Brandon for the editorial handling of the paper. Financial support for this work was provided by NASA grant NNX08AN14G from the Mars Fundamental Research Program awarded to Hanna Nekvasil and Andrew Steele acknowledges financial Support from the NASA SERLIDA program. Francis McCubbin is grateful for a Graduate Assistance in Areas of National Need (GAANN) Fellowship. Nicholas Tosca was supported by an Origins Postdoctoral Fellowship. Alexander Smirnov acknowledges fellowship support from the Carnegie Institution of Washington. Geophysical Laboratory and NASA Astrobiology Institute during this Study.</t>
  </si>
  <si>
    <t>10.1016/j.gca.2009.05.031</t>
  </si>
  <si>
    <t>WOS:000268307300020</t>
  </si>
  <si>
    <t>Hill, KJ; Santoso, A; England, MH</t>
  </si>
  <si>
    <t>Hill, Khalia J.; Santoso, Agus; England, Matthew H.</t>
  </si>
  <si>
    <t>Interannual Tasmanian Rainfall Variability Associated with Large-Scale Climate Modes</t>
  </si>
  <si>
    <t>SOUTHERN-HEMISPHERE CIRCULATION; LOW-FREQUENCY VARIABILITY; LOW LATITUDE INFLUENCE; AUSTRALIAN RAINFALL; ANNULAR MODE; EL-NINO; SOUTHEASTERN AUSTRALIA; ANTARCTIC OSCILLATION; GLOBAL ATMOSPHERE; WINTER RAINFALL</t>
  </si>
  <si>
    <t>Interannual rainfall variability over Tasmania is examined using observations and reanalysis data. Tasmanian rainfall is dominated by an east-west gradient of mean rainfall and variability. The Pacific-South American mode (PSA), El Nino-Southern Oscillation (ENSO), and the southern annular mode (SAM) each show clear influences on the interannual variability of Tasmanian rainfall. Composites of rainfall during each phase of ENSO and the PSA suggest a notable islandwide influence of these climate modes on Tasmanian rainfall. In contrast, the positive phase of the SAM is associated with drier conditions over the west of the island. The PSA and the SAM project most prominently over the southwest of the island, whereas the ENSO signature is strongest in the north. Empirical orthogonal functions (EOFs) of rainfall over Tasmania show a leading mode (explaining 72% of total variance) of coherent islandwide in-phase anomalies with dominant periods of 2 and 5 yr. The second EOF accounts for; similar to 14% of total variation, characterized by out-of-phase east-west anomalies, which is likely a combination of all three modes. The EOF1 mode can be attributed to ENSO, the PSA, and to a lesser extent the SAM.</t>
  </si>
  <si>
    <t>[Hill, Khalia J.] Univ New S Wales, Fac Sci, Climate Change Res Ctr, Sydney, NSW 2052, Australia</t>
  </si>
  <si>
    <t>Hill, KJ (corresponding author), Univ New S Wales, Fac Sci, Climate Change Res Ctr, Sydney, NSW 2052, Australia.</t>
  </si>
  <si>
    <t>khalia@unsw.edu.au</t>
  </si>
  <si>
    <t>Santoso, Agus/P-1918-2019; Santoso, Agus/J-7350-2012; England, Matthew/A-7539-2011</t>
  </si>
  <si>
    <t>Santoso, Agus/0000-0001-7749-8124; England, Matthew/0000-0001-9696-2930</t>
  </si>
  <si>
    <t>Australian Research Council</t>
  </si>
  <si>
    <t>Australian Research Council(Australian Research Council)</t>
  </si>
  <si>
    <t>This work was supported by the Australian Research Council. Use of the rainfall data from the Australian Bureau of Meteorology is gratefully acknowledged. Use of reanalysis data from the National Center for Atmospheric Research, jointly developed with the National Centers for Environmental Prediction and provided through the NOAA Climate Diagnostics Center (http://www.cdc.noaa.gov), is gratefully acknowledged. Comments from the four anonymous reviewers helped improve the original manuscript.</t>
  </si>
  <si>
    <t>10.1175/2009JCLI2769.1</t>
  </si>
  <si>
    <t>481IW</t>
  </si>
  <si>
    <t>WOS:000268802600010</t>
  </si>
  <si>
    <t>Prokopenko, AA; Kuzmin, MI; Li, HC; Woo, KS; Catto, NR</t>
  </si>
  <si>
    <t>Prokopenko, Alexander A.; Kuzmin, Mikhail I.; Li, Hong-Chun; Woo, Kyung-Sik; Catto, Norm R.</t>
  </si>
  <si>
    <t>Lake Hovsgol basin as a new study site for long continental paleoclimate records in continental interior Asia: General context and current status Introduction</t>
  </si>
  <si>
    <t>QUATERNARY INTERNATIONAL</t>
  </si>
  <si>
    <t>HDP-04 DRILL CORE; LAST 1 MA; NORTHERN MONGOLIA; CLIMATE RESPONSE; AGE MODEL; BAIKAL; SEDIMENTS; HOLOCENE; PLEISTOCENE; KHUBSUGUL</t>
  </si>
  <si>
    <t>Lacustrine sedimentary strata in the Lake Hovsgol rift basin, NW Mongolia, preserved an important regional archive with new powerful proxies for climate change in continental interior Asia. Two scientific drilling campaigns of the Hovsgol Drilling Project (HDP) recovered the most complete and best resolved mid-late Pleistocene paleoclimate archive in Mongolia. With the basal age of ca. 1 Ma, Lake Hovsgol drill core section complements those obtained previously in the neighboring Lake Baikal, and contains regional paleoclimate proxy records on a timescale comparable to that of marine sedimentary records and the longest Antarctic ice core record. Works in this volume discuss changes in lake chemistry, biota and environment, closely linked with drill core lithology and depositional trends apparent from sediment facies. The current collection of works illustrates the potential of proxy signals in the Hovsgol record and highlights new important constraints on their interpretation. Because of a nearly continuous record of endogenic carbonate accumulation in Lake Hovsgol, a wealth of paleoclimate proxy data is preserved in carbonate mineralogy, elemental geochemistry and stable isotope composition; such a unique long record was not previously available in this part of the world. The repetitive pattern of changes in the lake's water budget in response to the climatic cycles of the Pleistocene is established and constrained by absolute dating and the robust paleomagnetic event/reversal timescale. The new proxy records from the HDP sediment sections are both relevant and timely contributions to the discussion of the nature of paleoclimate changes in continental interior Asia during prior glacial and interglacial intervals of the Pleistocene. These records help establish the early timing of the post-glacial changes in atmospheric circulation and effective moisture budget in the region and resolve the previously proposed scenarios of extreme precipitation gradients during glacial periods. The key primary data presented in this volume make a compelling case for further in-depth studies of the available records and for future deeper drilling into the early Pleistocene and the Pliocene strata in this basin. (C) 2009 Elsevier Ltd and INQUA. All rights reserved.</t>
  </si>
  <si>
    <t>[Prokopenko, Alexander A.] Univ S Carolina, Dept Geol Sci, Columbia, SC 29208 USA; [Kuzmin, Mikhail I.] Russian Acad Sci, Inst Geochem, Siberian Branch, Irkutsk 664003, Russia; [Li, Hong-Chun] Natl Cheng Kung Univ Taiwan, Dept Earth Sci, Tainan 701, Taiwan; [Woo, Kyung-Sik] Kangwon Natl Univ, Dept Geol, Chunchon 200701, Kangwon Do, South Korea; [Catto, Norm R.] Mem Univ Newfoundland, Dept Geog, St John, NF A1B 3X9, Canada</t>
  </si>
  <si>
    <t>University of South Carolina System; University of South Carolina Columbia; Russian Academy of Sciences; Irkutsk Science Centre of the Russian Academy of Sciences; A.P. Vinogradov Institute of Geochemistry of the Siberian Branch of the RAS; National Cheng Kung University; Kangwon National University; Memorial University Newfoundland</t>
  </si>
  <si>
    <t>Prokopenko, AA (corresponding author), Univ S Carolina, Dept Geol Sci, Columbia, SC 29208 USA.</t>
  </si>
  <si>
    <t>sasha@geol.sc.edu</t>
  </si>
  <si>
    <t>Li, HongChun/AAJ-4053-2021; Kuzmin, Mikhail I/O-9118-2015</t>
  </si>
  <si>
    <t>Li, HongChun/0000-0001-9614-7119;</t>
  </si>
  <si>
    <t>1040-6182</t>
  </si>
  <si>
    <t>1873-4553</t>
  </si>
  <si>
    <t>QUATERN INT</t>
  </si>
  <si>
    <t>Quat. Int.</t>
  </si>
  <si>
    <t>10.1016/j.quaint.2009.02.031</t>
  </si>
  <si>
    <t>496AQ</t>
  </si>
  <si>
    <t>WOS:000269940600001</t>
  </si>
  <si>
    <t>Matthiä, D; Heber, B; Reitz, G; Meier, M; Sihver, L; Berger, T; Herbst, K</t>
  </si>
  <si>
    <t>Matthiae, D.; Heber, B.; Reitz, G.; Meier, M.; Sihver, L.; Berger, T.; Herbst, K.</t>
  </si>
  <si>
    <t>Temporal and spatial evolution of the solar energetic particle event on 20 January 2005 and resulting radiation doses in aviation</t>
  </si>
  <si>
    <t>CONVERSION COEFFICIENTS; FLUENCE; FLARE; ACCELERATION; NEUTRONS; SPECTRUM; PROTONS; MODEL</t>
  </si>
  <si>
    <t>The solar energetic particle event on 20 January 2005 was one of the largest ground level events ever observed. Neutron monitor stations in the Antarctic recorded count rate increases of several thousand percent caused by secondary energetic particles, and it took more than 36 h to return to background level. Such huge increases in high energetic solar cosmic radiation on the ground are obviously accompanied by considerable changes in the radiation environment at aviation altitudes. Measurements of 28 neutron monitor stations were used in this work to numerically approximate the primary solar proton spectra during the first 12 h of the event by minimizing the differences between measurements and the results of Monte-Carlo calculated count rate increases. The primary spectrum of solar energetic protons was approximated by a power law in rigidity and a linear angular distribution. The incoming direction of the solar energetic particles was determined and compared to the interplanetary magnetic field direction during the event. The effects on the radiation exposure at altitudes of about 12 km during that time were estimated to range from none at low latitudes up to almost 2 mSv/h for a very short time in the Antarctic region and about 0.1 mSv/h at high latitudes on the Northern Hemisphere. After 12 h, dose rates were still increased by 50% at latitudes above 60 degrees whereas no increases at all occurred at latitudes below 40 degrees during the whole event.</t>
  </si>
  <si>
    <t>[Matthiae, D.; Reitz, G.; Meier, M.; Berger, T.] German Aerosp Ctr, Radiat Biol Dept, D-51147 Cologne, Germany; [Matthiae, D.; Heber, B.; Herbst, K.] Univ Kiel, Inst Expt &amp; Angew Phys, D-24118 Kiel, Germany; [Sihver, L.] Chalmers Univ Technol, Dept Nucl Engn, S-41296 Gothenburg, Sweden</t>
  </si>
  <si>
    <t>Helmholtz Association; German Aerospace Centre (DLR); University of Kiel; Chalmers University of Technology</t>
  </si>
  <si>
    <t>Matthiä, D (corresponding author), German Aerosp Ctr, Radiat Biol Dept, D-51147 Cologne, Germany.</t>
  </si>
  <si>
    <t>Daniel.Matthiae@dlr.de; heber@physik.uni-kiel.de; Guenther.Reitz@dlr.de; Matthias.Meier@dlr.de; sihver@chalmers.se; Thomas.Berger@dlr.de; herbst@physik.uni-kiel.de</t>
  </si>
  <si>
    <t>Sihver, Lembit/AAO-1794-2021; Herbst, Konstantin/AAH-6772-2021; Berger, Thomas/E-8495-2010; Reitz, Guenther/ABC-8921-2021</t>
  </si>
  <si>
    <t>Herbst, Konstantin/0000-0001-5622-4829; Meier, Matthias/0000-0003-0918-6473; Berger, Thomas/0000-0003-3319-5740; Matthia, Daniel/0000-0003-1507-0143</t>
  </si>
  <si>
    <t>German Bundesminister fur Wirtschaft through the Deutsches Zentrum fur Luft-und Raumfahrt (DLR) [50 OC 0902]</t>
  </si>
  <si>
    <t>German Bundesminister fur Wirtschaft through the Deutsches Zentrum fur Luft-und Raumfahrt (DLR)(Helmholtz AssociationGerman Aerospace Centre (DLR))</t>
  </si>
  <si>
    <t>We thank all researchers for providing the neutron monitor data used in this work: Athens, Alma-Ata, Apatity, Baksan, Barentsburg, CapeSchmidt, Erevan, Herrmanus, Inuvik, Kerguelen, Kiel, Kingston, Larc, Lomnicky, Magdan, Mawson, McMurdo, Mexico, Moscow, Nain, Novosibirsk, Oulu, TerreAdelie, Thule, TixieBay, Tsumeb, Yakutsk, and South Pole. The SOHO/EPHIN project is supported under grant 50 OC 0902 by the German Bundesminister fur Wirtschaft through the Deutsches Zentrum fur Luft-und Raumfahrt (DLR). We thank the ACE MAG/SWE-PAM instrument team and the ACE Science Center for providing the ACE data.</t>
  </si>
  <si>
    <t>AUG 14</t>
  </si>
  <si>
    <t>A08104</t>
  </si>
  <si>
    <t>10.1029/2009JA014125</t>
  </si>
  <si>
    <t>484HP</t>
  </si>
  <si>
    <t>WOS:000269035300004</t>
  </si>
  <si>
    <t>O'Loughlin, PM</t>
  </si>
  <si>
    <t>O'Loughlin, P. Mark</t>
  </si>
  <si>
    <t>BANZARE holothuroids (Echinodermata: Holothuroidea)</t>
  </si>
  <si>
    <t>Antarctica; Kerguelen; Macquarie; Marion; Tasmania; new species; synonymies; generic re-assignments</t>
  </si>
  <si>
    <t>LUDWIG</t>
  </si>
  <si>
    <t>The holothuroid species collected by The British, Australian and New Zealand Antarctic Research Expedition (BANZARE) are listed, with some systematic annotations. A previous report by O'Loughlin on some BANZARE holothuroids is revised and incorporated. Four new species are described: the Antarctic dactylochirotid Echinocucumis kirrilyae sp. nov.; the Kerguelen dendrochirotid Clarkiella deichmannae sp. nov.; the Antarctic dendrochirotids Trachythyone cynthiae sp. nov. and Trachythyone mackenzieae sp. nov. Cucumaria serrata var. intermedia Theel from Heard and Kerguelen, and Cucumaria serrata var. marionensis Theel from Marion, are raised to species status, and assigned to Pseudocnus Panning. Cucumaria (Semperia) ekmani Ludwig &amp; Heding is a junior synonym of Cucumaria kerguelensis Theel. Cucumaria kerguelensis is re-assigned to Neopsolidium Pawson. Thyone recurvata Theel and Cucumaria squamata Ludwig are junior synonyms of Trachythyone muricata Studer. Cucumaria (Semperia) bouvetensis Ludwig &amp; Heding is formally re-assigned to Trachythyone. Trachythyone baja Hernandez is a junior synonym of Trachythyone bouvetensis (Ludwig &amp; Heding). Molecular genetic data indicate possible allopatric cryptic Antarctic forms for the morpho-species Laetmogone wyvillethomsoni Theel. A table with all species and station data is provided.</t>
  </si>
  <si>
    <t>Museum Victoria, Dept Marine Sci, Melbourne, Vic 3001, Australia</t>
  </si>
  <si>
    <t>Museum Victoria</t>
  </si>
  <si>
    <t>O'Loughlin, PM (corresponding author), Museum Victoria, Dept Marine Sci, GPO Box 666, Melbourne, Vic 3001, Australia.</t>
  </si>
  <si>
    <t>pmo@bigpond.net.au</t>
  </si>
  <si>
    <t>AUG 13</t>
  </si>
  <si>
    <t>482RI</t>
  </si>
  <si>
    <t>WOS:000268906000001</t>
  </si>
  <si>
    <t>Liu, YH; Fraser, BJ; Ables, ST; Zhang, BC; Liu, RY; Dunlop, MW; Waterman, J</t>
  </si>
  <si>
    <t>Liu, Y. H.; Fraser, B. J.; Ables, S. T.; Zhang, B. C.; Liu, R. Y.; Dunlop, M. W.; Waterman, J.</t>
  </si>
  <si>
    <t>Transverse-scale size of Pc3 ULF waves near the exterior cusp</t>
  </si>
  <si>
    <t>MAGNETIC-FIELD; GEOMAGNETIC-PULSATIONS; EARTHS MAGNETOSPHERE; MICROPULSATIONS; RESONANCES; LATITUDES; COHERENCE; UPSTREAM; CIS</t>
  </si>
  <si>
    <t>The concept of a geomagnetic field line has been widely used in the study of magnetospheric physical phenomena. For example, the mode in which ULF waves propagate relates to the direction of the field, with the Alfven wave mode propagating along the field direction. Very little is known about the perpendicular extent of the propagating wave. In this paper, wave coherency methods are utilized to analyze ULF waves in the Pc3 band that were simultaneously observed by the Cluster satellites near the exterior cusp and by ground stations at local magnetic noon near the footprint of the cusp. The results show that the coherency of waves observed at the ground on the H component is much larger than that on the D component, which is opposite to that seen by Cluster in space. The coherency between the H component on the ground and the y component in space was higher than the other combination of pairs, with the coherency between the satellite and the Daneborg (DNB) station having the maximum value. These results suggest that the polarization of the waves are rotated by 90 degrees after propagating through the ionosphere, and the magnetic footprint of Cluster is closest to the DNB station at this time. The coherency of the Pc3 waves between the satellites is highly related to the alignment of satellite pairs with respect to the geomagnetic field direction. This alignment may provide a transverse-scale size of the geomagnetic Pc3 ULF waves near the exterior cusp at similar to 900 km with a coherency of 0.65.</t>
  </si>
  <si>
    <t>[Liu, Y. H.; Fraser, B. J.; Ables, S. T.] Univ Newcastle, Ctr Space Phys, Callaghan, NSW 2308, Australia; [Dunlop, M. W.] Rutherford Appleton Lab, Didcot OX11 0QX, Oxon, England; [Liu, Y. H.; Zhang, B. C.; Liu, R. Y.] Polar Res Inst China, Shanghai 200129, Peoples R China; [Waterman, J.] Danish Meteorol Inst, DK-2100 Copenhagen, Denmark</t>
  </si>
  <si>
    <t>University of Newcastle; UK Research &amp; Innovation (UKRI); Science &amp; Technology Facilities Council (STFC); STFC Rutherford Appleton Laboratory; Polar Research Institute of China; Danish Meteorological Institute DMI</t>
  </si>
  <si>
    <t>Liu, YH (corresponding author), Univ Newcastle, Ctr Space Phys, Callaghan, NSW 2308, Australia.</t>
  </si>
  <si>
    <t>liuyonghua@hotmail.com; brian.fraser@newcastle.edu.au; bczhang@pric.gov.cn; m.w.dunlop@rl.ac.uk; jfw@dmi.dk</t>
  </si>
  <si>
    <t>dunlop, malcolm w/F-1347-2010</t>
  </si>
  <si>
    <t>dunlop, malcolm w/0000-0002-8195-5137; Zhang, Beichen/0000-0002-0927-9568</t>
  </si>
  <si>
    <t>People's Republic of China through the National Scientific Fund program [40574076, 40390154, 40890164]; Australia Antarctic Science Advisory Committee</t>
  </si>
  <si>
    <t>People's Republic of China through the National Scientific Fund program; Australia Antarctic Science Advisory Committee</t>
  </si>
  <si>
    <t>The magnetometer data from ZHS were obtained by the 20th Chinese Antarctic Expedition team with the support of the Chinese Arctic and Antarctic Administration (CAA) under the State Oceanic Administration of China and in cooperation with the Polar Research Institute of China and the University of Newcastle, Australia. Data from DAV and MAW were provided by the Australia Antarctic Expedition team with the support of the Australia Antarctic Division and the University of Newcastle, Australia. Data from the East Greenland Magnetometer Chain were provided by the Danish Meteorological Institute. This research was carried out with financial support from the People's Republic of China through the National Scientific Fund program (40574076, 40390154, and 40890164) and the Australia Antarctic Science Advisory Committee. The ACE satellite data from the Coordinated Data Analysis of NSSDC included the IMF data provided by R. Lepping from NASA/GSFC and the solar wind data provided by K. Ogilvie from NASA/ GSFC. Dst index was provided by the WDC- 2 for Magnetism at Kyoto University, Japan.</t>
  </si>
  <si>
    <t>AUG 12</t>
  </si>
  <si>
    <t>A08208</t>
  </si>
  <si>
    <t>10.1029/2008JA013971</t>
  </si>
  <si>
    <t>484HL</t>
  </si>
  <si>
    <t>WOS:000269034900002</t>
  </si>
  <si>
    <t>Tozzi, R; De Michelis, P; Meloni, A</t>
  </si>
  <si>
    <t>Tozzi, R.; De Michelis, P.; Meloni, A.</t>
  </si>
  <si>
    <t>Geomagnetic jerks in the polar regions</t>
  </si>
  <si>
    <t>EARTHS MAGNETIC-FIELD; COMPREHENSIVE MODELS; WAVELET ANALYSIS; SATELLITE DATA; TIME; CHAMP; CORE</t>
  </si>
  <si>
    <t>The occurrence of geomagnetic jerks over the Arctic and Antarctic regions is here investigated. Maps of geomagnetic secular acceleration over the polar regions are produced from the CM4 and CHAOS models and the occurrence of geomagnetic jerks is associated with jumps in secular acceleration. The obtained results confirm that in Antarctica geomagnetic jerks systematically follow geomagnetic jerks in the Arctic region with a time delay from one to three years. Evidence is found of an abrupt change in secular acceleration in both polar regions around 1985, suggesting that the 1985 local jerk could actually be a worldwide event. Combining our results with the results previously obtained on the occurrence of a geomagnetic jerk at low-mid latitudes around 2003, we support the hypothesis of a global extension of an event occurred at the beginning of the 21st century. Citation: Tozzi, R., P. De Michelis, and A. Meloni (2009), Geomagnetic jerks in the polar regions, Geophys. Res. Lett., 36, L15304, doi: 10.1029/2009GL039359.</t>
  </si>
  <si>
    <t>[Tozzi, R.; De Michelis, P.; Meloni, A.] Ist Nazl Geofis &amp; Vulcanol, I-00143 Rome, Italy</t>
  </si>
  <si>
    <t>Istituto Nazionale Geofisica e Vulcanologia (INGV)</t>
  </si>
  <si>
    <t>Tozzi, R (corresponding author), Ist Nazl Geofis &amp; Vulcanol, Via Vigna Murata 605, I-00143 Rome, Italy.</t>
  </si>
  <si>
    <t>roberta.tozzi@ingv.it; paola.demichelis@ingv.it; antonio.meloni@ingv.it</t>
  </si>
  <si>
    <t>Tozzi, Roberta/ABP-8925-2022</t>
  </si>
  <si>
    <t>Tozzi, Roberta/0000-0002-1836-4078</t>
  </si>
  <si>
    <t>Programma Nazionale Ricerche in Antartide (PNRA)</t>
  </si>
  <si>
    <t>We acknowledge the Authors of the CM4 and CHAOS models for making the relative Fortran source codes available on the web. Precisely CM4 codes have been downloaded from http://denali.gsfc.nasa.gov/cm/CM4_.html, while the CHAOS codes at http://www.spacecenter.dk/files/magnetic-models/CHAOS/. The authors thank Programma Nazionale Ricerche in Antartide (PNRA) for supporting this study. All figures were produced with GMT [Wessel and Smith, 1991].</t>
  </si>
  <si>
    <t>AUG 8</t>
  </si>
  <si>
    <t>L15304</t>
  </si>
  <si>
    <t>10.1029/2009GL039359</t>
  </si>
  <si>
    <t>481OF</t>
  </si>
  <si>
    <t>WOS:000268820300004</t>
  </si>
  <si>
    <t>Clark, PU; Dyke, AS; Shakun, JD; Carlson, AE; Clark, J; Wohlfarth, B; Mitrovica, JX; Hostetler, SW; McCabe, AM</t>
  </si>
  <si>
    <t>Clark, Peter U.; Dyke, Arthur S.; Shakun, Jeremy D.; Carlson, Anders E.; Clark, Jorie; Wohlfarth, Barbara; Mitrovica, Jerry X.; Hostetler, Steven W.; McCabe, A. Marshall</t>
  </si>
  <si>
    <t>The Last Glacial Maximum</t>
  </si>
  <si>
    <t>MILLENNIAL TIME SCALES; SEA-LEVEL HISTORIES; ICE-SHEET; SOUTHERN-HEMISPHERE; CLIMATE-CHANGE; ATMOSPHERIC CO2; TEMPERATURE; ANTARCTICA; PERIOD; GREENLAND</t>
  </si>
  <si>
    <t>We used 5704 C-14, Be-10, and He-3 ages that span the interval from 10,000 to 50,000 years ago (10 to 50 ka) to constrain the timing of the Last Glacial Maximum (LGM) in terms of global ice-sheet and mountain-glacier extent. Growth of the ice sheets to their maximum positions occurred between 33.0 and 26.5 ka in response to climate forcing from decreases in northern summer insolation, tropical Pacific sea surface temperatures, and atmospheric CO2. Nearly all ice sheets were at their LGM positions from 26.5 ka to 19 to 20 ka, corresponding to minima in these forcings. The onset of Northern Hemisphere deglaciation 19 to 20 ka was induced by an increase in northern summer insolation, providing the source for an abrupt rise in sea level. The onset of deglaciation of the West Antarctic Ice Sheet occurred between 14 and 15 ka, consistent with evidence that this was the primary source for an abrupt rise in sea level similar to 14.5 ka.</t>
  </si>
  <si>
    <t>[Clark, Peter U.; Shakun, Jeremy D.; Clark, Jorie] Oregon State Univ, Dept Geosci, Corvallis, OR 97331 USA; [Dyke, Arthur S.] Geol Survey Canada, Ottawa, ON K1A 0E8, Canada; [Carlson, Anders E.] Univ Wisconsin, Dept Geol &amp; Geophys, Madison, WI 53706 USA; [Wohlfarth, Barbara] Stockholm Univ, Dept Geol &amp; Geochem, SE-10691 Stockholm, Sweden; [Mitrovica, Jerry X.] Harvard Univ, Dept Earth &amp; Planetary Sci, Cambridge, MA 02138 USA; [Hostetler, Steven W.] Oregon State Univ, Dept Geosci, US Geol Survey, Corvallis, OR 97331 USA; [McCabe, A. Marshall] Univ Ulster, Sch Environm Sci, Coleraine BT52 1SA, Londonderry, North Ireland</t>
  </si>
  <si>
    <t>Oregon State University; Natural Resources Canada; Lands &amp; Minerals Sector - Natural Resources Canada; Geological Survey of Canada; University of Wisconsin System; University of Wisconsin Madison; Stockholm University; Harvard University; Oregon State University; United States Department of the Interior; United States Geological Survey; Ulster University</t>
  </si>
  <si>
    <t>clarkp@onid.orst.edu</t>
  </si>
  <si>
    <t>Wong, Yuk Fai/0000-0002-3756-1237</t>
  </si>
  <si>
    <t>NSF; Geological Survey of Canada Climate Change Program; University of Wisconsin; Swedish Nuclear Fuel and Waste Management Co.; Canadian Institute for Advanced Research</t>
  </si>
  <si>
    <t>NSF(National Science Foundation (NSF)); Geological Survey of Canada Climate Change Program; University of Wisconsin; Swedish Nuclear Fuel and Waste Management Co.; Canadian Institute for Advanced Research(Canadian Institute for Advanced Research (CIFAR))</t>
  </si>
  <si>
    <t>This work was supported by NSF (P.U.C., J.D.S., A.E.C., and S.W.H.), the Geological Survey of Canada Climate Change Program (A.S.D.), the University of Wisconsin (A.E.C.), the Swedish Nuclear Fuel and Waste Management Co. (B.W.), and the Canadian Institute for Advanced Research (J.X.M.).</t>
  </si>
  <si>
    <t>AUG 7</t>
  </si>
  <si>
    <t>10.1126/science.1172873</t>
  </si>
  <si>
    <t>480HF</t>
  </si>
  <si>
    <t>WOS:000268723700039</t>
  </si>
  <si>
    <t>Steig, EJ; Schneider, DP; Rutherford, SD; Mann, ME; Comiso, JC; Shindell, DT</t>
  </si>
  <si>
    <t>Steig, Eric J.; Schneider, David P.; Rutherford, Scott D.; Mann, Michael E.; Comiso, Josefino C.; Shindell, Drew T.</t>
  </si>
  <si>
    <t>Warming of the Antarctic ice-sheet surface since the 1957 International Geophysical Year (vol 457, pg 459, 2009)</t>
  </si>
  <si>
    <t>Shindell, Drew/D-4636-2012; Mann, Michael E/B-8472-2017; /G-9088-2015; Schneider, David/E-2726-2010</t>
  </si>
  <si>
    <t>Shindell, Drew/0000-0003-1552-4715; Mann, Michael E/0000-0003-3067-296X; /0000-0002-8191-5549; Schneider, David/0000-0001-5308-1834</t>
  </si>
  <si>
    <t>AUG 6</t>
  </si>
  <si>
    <t>10.1038/nature08286</t>
  </si>
  <si>
    <t>479OO</t>
  </si>
  <si>
    <t>WOS:000268670300045</t>
  </si>
  <si>
    <t>Di Iorio, O; Turienzo, P</t>
  </si>
  <si>
    <t>Di Iorio, Osvaldo; Turienzo, Paola</t>
  </si>
  <si>
    <t>Insects found in birds' nests from the Neotropical Region (except Argentina) and immigrant species of Neotropical origin in the Nearctic Region</t>
  </si>
  <si>
    <t>Insects; birds' nests; Neotropical Region; immigrants; Nearctic Region</t>
  </si>
  <si>
    <t>RIO-DE-JANEIRO; RUFOUS-FRONTED THORNBIRD; CHAGAS-DISEASE VECTORS; PEARLY-EYED THRASHERS; TRIATOMA-PSEUDOMACULATA CORREA; SOUTH-AMERICAN TRYPANOSOMIASIS; MITOCHONDRIAL-DNA VARIATION; GREAT CRESTED FLYCATCHER; BRAZIL HEMIPTERA; FLEAS SIPHONAPTERA</t>
  </si>
  <si>
    <t>Neotropical birds' nests have received a great deal of attention because sylvatic species of Triatominae (Hemiptera: Reduviidae) and parasitic flies of the genus Philornis (Diptera: Muscidae) were discovered inside them. Those insects known in birds' nests from Argentina, the chacoan region of Bolivia, and the southern portion of Brazil and Uruguay were extensively but not completely summarized by Turienzo &amp; Di Iorio (2007). The present contribution summarizes all insects known to occur in birds' nests from the Neotropical Region (except for Argentina and the Antarctic Region of adjacent countries), updating Hicks' catalogues for this part of the world. Regarding birds, the list comprises 172 taxa identified to species (in 38 families), 8 to genus (in 6 families), 6 to family (in 4 families), and 27 birds' nests not identified. Regarding insects of the Neotropical region, 123 were identified to species (13 Blattaria; 5 Coleoptera; 26 Diptera; 34 Hemiptera; 15 Hymenoptera; 23 Psocoptera; 6 Siphonaptera; 1 Thysanura), 96 to genus (5 Blattaria; 8 Coleoptera; 48 Diptera; 4 Hemiptera; 6 Hymenoptera; 25 Psocoptera), 63 to superfamily, family or subfamily (1 Blattaria; 21 Coleoptera; 10 Diptera; 7 Hemiptera; 14 Hymenoptera; 1 Isoptera; 3 Orthoptera; 5 Psocoptera; 1 Thysanoptera), and 34 to order (6 Blattaria [ including 1 Mantodea]; 6 Coleoptera; 3 Diptera; 3 Embioptera; 2 Hemiptera; 3 Hymenoptera; 1 Thysanoptera; 2 Isoptera; 4 Lepidoptera; 1 Orthoptera; 1 Phthiraptera; 2 Psocoptera). Associations of Neotropical insects with birds' nests were extracted from 392 references including original and posterior citations. Some North American species of insects that are neotropical immigrants are discussed, while a few other had been accidentally introduced in both directions. Synonymies, old combinations, misidentifications, original localities, amounts of insects, and repositories when they were stated, are provided.</t>
  </si>
  <si>
    <t>Turienzo, Paola/AAY-5817-2020</t>
  </si>
  <si>
    <t>480WA</t>
  </si>
  <si>
    <t>WOS:000268766500001</t>
  </si>
  <si>
    <t>Vergara, A; Franzese, M; Merlino, A; Bonomi, G; Verde, C; Giordano, D; di Prisco, G; Lee, HC; Peisach, J; Mazzarella, L</t>
  </si>
  <si>
    <t>Vergara, Alessandro; Franzese, Marisa; Merlino, Antonello; Bonomi, Giovanna; Verde, Cinzia; Giordano, Daniela; di Prisco, Guido; Lee, H. Caroline; Peisach, Jack; Mazzarella, Lelio</t>
  </si>
  <si>
    <t>Correlation between Hemichrome Stability and the Root Effect in Tetrameric Hemoglobins</t>
  </si>
  <si>
    <t>BIOPHYSICAL JOURNAL</t>
  </si>
  <si>
    <t>FISH PAGOTHENIA-BERNACCHII; AMINO-ACID-SEQUENCE; CRYSTAL-STRUCTURE; STRUCTURAL-CHARACTERIZATION; TREMATOMUS-BERNACCHII; BINDING PROPERTIES; PH; METMYOGLOBIN; PEROXIDATION; REDUCTION</t>
  </si>
  <si>
    <t>Oxidation of Hbs leads to the formation of different forms of Fe(III) that are relevant to a range of biochemical and physiological functions. Here we report a combined EPR/x-ray crystallography study performed at acidic pH on six ferric tetrameric Hbs. Five of the Hbs were isolated from the high-Antarctic notothenioid fishes Trematomus bernacchii, Trematomus newnesi, and Gymnodraco acuticeps, and one was isolated from the sub-Antarctic notothenioid Cottoperca gobio. Our EPR analysis reveals that 1), in all of these Hbs, at acidic pH the aquomet form and two hemichromes coexist; and 2), only in the three Hbs that exhibit the Root effect is a significant amount of the pentacoordinate (5C) high-spin Fe(III) form found. The crystal structure at acidic pH of the ferric form of the Root-effect Hb from T. bernacchii is also reported at 1.7 angstrom resolution. This structure reveals a 5C state of the heme iron for both the alpha- and beta-chains within a T quaternary structure. Altogether, the spectroscopic and crystallographic results indicate that the Root effect and hemichrome stability at acidic pH are correlated in tetrameric Hbs. Furthermore, Antarctic fish Hbs exhibit higher peroxidase activity than mammalian and temperate fish Hbs, suggesting that a partial hemichrome state in tetrameric Hbs, unlike in monomeric Hbs, does not remove the need for protection from peroxide attack, in contrast to previous results from monomeric Hbs.</t>
  </si>
  <si>
    <t>[Vergara, Alessandro; Franzese, Marisa; Merlino, Antonello; Bonomi, Giovanna; Mazzarella, Lelio] Complesso Univ Monte S Angelo, Univ Naples Federico II, Dept Chem, Naples, Italy; [Vergara, Alessandro; Merlino, Antonello; Mazzarella, Lelio] CNR, Inst Biostrutture &amp; Bioimmagini, I-80125 Naples, Italy; [Verde, Cinzia; Giordano, Daniela; di Prisco, Guido] CNR, Inst Prot Biochem, I-80125 Naples, Italy; [Lee, H. Caroline; Peisach, Jack] Yeshiva Univ, Albert Einstein Coll Med, Dept Physiol &amp; Biophys, New York, NY 10033 USA</t>
  </si>
  <si>
    <t>University of Naples Federico II; Consiglio Nazionale delle Ricerche (CNR); Istituto di Biostrutture e Bioimmagini (IBB-CNR); Consiglio Nazionale delle Ricerche (CNR); Istituto di Biochimica delle Proteine (IBP-CNR); Yeshiva University</t>
  </si>
  <si>
    <t>Mazzarella, L (corresponding author), Complesso Univ Monte S Angelo, Univ Naples Federico II, Dept Chem, Naples, Italy.</t>
  </si>
  <si>
    <t>lelio.mazzarella@unina.it</t>
  </si>
  <si>
    <t>Giordano, Daniela/AFK-7772-2022; Vergara, Alessandro/C-4435-2013; Merlino, Antonello/AAI-2114-2020</t>
  </si>
  <si>
    <t>Giordano, Daniela/0000-0002-8891-6245; Merlino, Antonello/0000-0002-1045-7720; VERDE, Cinzia/0000-0001-6185-282X; Vergara, Alessandro/0000-0003-4135-0245</t>
  </si>
  <si>
    <t>Italian National Programme for Antarctic Research; Scientific Committee for Antarctic Research; Ministero Italiano dell'Universita a delta Ricerca Scientifica; University of Naples; Albert Einstein College of Medicine; National Institutes of Health [GM040168, HL071064-03004]</t>
  </si>
  <si>
    <t>Italian National Programme for Antarctic Research; Scientific Committee for Antarctic Research; Ministero Italiano dell'Universita a delta Ricerca Scientifica; University of Naples; Albert Einstein College of Medicine; National Institutes of Health(United States Department of Health &amp; Human ServicesNational Institutes of Health (NIH) - USA)</t>
  </si>
  <si>
    <t>This work was supported financially by the Italian National Programme for Antarctic Research, within the framework of the Evolution and Biodiversity in the Antarctic program sponsored by the Scientific Committee for Antarctic Research, and by the Ministero Italiano dell'Universita a delta Ricerca Scientifica (PRIN 2007 Struttura, funzione ed evoluzione di emo-proteine da organismi marini artici ed antartici: meccanismi di adattamento al freddo e acquisizione di nuove funzioni). A.V. received travel grants from the University of Naples and the Albert Einstein College of Medicine. Work carried out at the Albert Einstein College of Medicine was supported by the National Institutes of Health (grants GM040168 and HL071064-03004 to J.P.).</t>
  </si>
  <si>
    <t>CELL PRESS</t>
  </si>
  <si>
    <t>50 HAMPSHIRE ST, FLOOR 5, CAMBRIDGE, MA 02139 USA</t>
  </si>
  <si>
    <t>0006-3495</t>
  </si>
  <si>
    <t>1542-0086</t>
  </si>
  <si>
    <t>BIOPHYS J</t>
  </si>
  <si>
    <t>Biophys. J.</t>
  </si>
  <si>
    <t>AUG 5</t>
  </si>
  <si>
    <t>10.1016/j.bpj.2009.04.056</t>
  </si>
  <si>
    <t>Biophysics</t>
  </si>
  <si>
    <t>482YK</t>
  </si>
  <si>
    <t>WOS:000268926500021</t>
  </si>
  <si>
    <t>Pereira, BK; Rosa, RM; da Silva, J; Guecheva, TN; de Oliveira, IM; Ianistcki, M; Benvegnú, VC; Furtado, GV; Ferraz, A; Richter, MF; Schroder, N; Pereira, AB; Henriques, JAP</t>
  </si>
  <si>
    <t>Pereira, Betina Kappel; Rosa, Renato Moreira; da Silva, Juliana; Guecheva, Temenouga Nikolova; de Oliveira, Iuri Marques; Ianistcki, Martus; Benvegnu, Vinicius Cosmos; Furtado, Gabriel Vasata; Ferraz, Alexandre; Richter, Marc Francois; Schroder, Nadia; Pereira, Antonio Batista; Pegas Henriques, Joao Antonio</t>
  </si>
  <si>
    <t>Protective effects of three extracts from Antarctic plants against ultraviolet radiation in several biological models</t>
  </si>
  <si>
    <t>JOURNAL OF PHOTOCHEMISTRY AND PHOTOBIOLOGY B-BIOLOGY</t>
  </si>
  <si>
    <t>Deschampsia antarctica Desv; Colobanthus quitensis Bartl; Polytrichum juniperinum; Photoprotection; Ultraviolet radiation</t>
  </si>
  <si>
    <t>SPRINGTIME OZONE DEPLETION; ENHANCED UV-B; DNA-DAMAGE; SACCHAROMYCES-CEREVISIAE; DESCHAMPSIA-ANTARCTICA; SPONTANEOUS MUTABILITY; COLOBANTHUS-QUITENSIS; PHENOLIC-COMPOUNDS; COMET ASSAY; FLAVONOIDS</t>
  </si>
  <si>
    <t>The photoprotective effect of the methanolic extracts of three Antarctic plant species - Deschampsia antarctica Desv., Colobanthus quitensis (Kunth) Bartl., and Polytrichum juniperinum Hedw. against UV-induced DNA damage was investigated in hamster lung fibroblasts (V79 cells) and in a biomonitor organism Helix aspersas, using comet assay. The protective, mutagenic, and antimutagenic profiles of these extracts were also evaluated using haploid strains of the simple eukaryote Saccharomyces cerevisiae, and antioxidant activity were investigated using the 2,2-diphenyl-1-picrylhydrazyl (DPPH) scavenging assay, as well as the hypoxanthine/xanthine oxidase assay. At the concentration range employed, the extracts were not cytotoxic or mutagenic to S. cerevisiae. In addition, the treatment with these extracts enhanced survival, and decreased induced reverse, frameshift, and forward mutations in a dose-response manner in all UVC doses employed. The plants extracts did not generate DNA strand breaks in V79 cells, and the treatment significantly decreased DNA damage induced by UVC. Extracts significantly decreased UVC-induced lipid peroxidation in V79 cells, showing a clear antioxidant property. Moreover, results of comet assay in V79 cells, employing Fpg, Endo III, and Endo V enzymes, demonstrated significant reduction of UVC-induced DNA damage after pre-incubation with these extracts. The treatment with all tested extracts were much less efficient against UVC-induced cytotoxicity in the yeast strain defective in photolyase as compared to the wild type strain, suggesting that this DNA repair pathway is stimulated by substances present in the extracts. All extracts showed a significant inhibitory effect in the hypoxanthine/xanthine oxidase assay, and they had the ability to scavenge DPPH. In H. aspersas, the treatment was able to protect against UVC-induced damage. In conclusion, D. antarctica, C. quitensis, and A juniperinum extracts present photoprotective properties, which can be attributed to molecules, such as flavonoids and carotenoids, which act as UV-absorbing molecules and as antioxidants, as well as stimulate DNA-repair processes. (C) 2009 Elsevier B.V. All rights reserved.</t>
  </si>
  <si>
    <t>[Pereira, Betina Kappel; Guecheva, Temenouga Nikolova; de Oliveira, Iuri Marques; Furtado, Gabriel Vasata; Pegas Henriques, Joao Antonio] Univ Fed Rio Grande do Sul, Ctr Biotecnol, BR-91501970 Porto Alegre, RS, Brazil; [Pereira, Betina Kappel; Guecheva, Temenouga Nikolova; de Oliveira, Iuri Marques; Furtado, Gabriel Vasata; Pegas Henriques, Joao Antonio] Univ Fed Rio Grande do Sul, Dept Biofis, BR-91501970 Porto Alegre, RS, Brazil; [Rosa, Renato Moreira; da Silva, Juliana; Ianistcki, Martus; Benvegnu, Vinicius Cosmos; Ferraz, Alexandre; Richter, Marc Francois; Schroder, Nadia; Pegas Henriques, Joao Antonio] Univ Luterana Brasil, Programa Posgrad Genet &amp; Toxicol Aplicada, Lab Genet Toxicol, BR-92425900 Canoas, RS, Brazil; [Pereira, Antonio Batista] Univ Fed Pampa, Inst Nacl Ciencia &amp; Tecnol Antart Pesquisas Ambie, Sao Gabriel, RS, Brazil</t>
  </si>
  <si>
    <t>Universidade Federal do Rio Grande do Sul; Universidade Federal do Rio Grande do Sul; Universidade Luterana do Brasil; Instituto Nacional de Pesquisas Espaciais (INPE); Universidade Federal do Pampa</t>
  </si>
  <si>
    <t>Henriques, JAP (corresponding author), Univ Fed Rio Grande do Sul, Ctr Biotecnol, Predio 43422,Lab 210,Campus Vale,Ave Bento Goncal, BR-91501970 Porto Alegre, RS, Brazil.</t>
  </si>
  <si>
    <t>pegas@cbiot.ufrgs.br</t>
  </si>
  <si>
    <t>de Olveira, Iuri/AAV-2953-2020; Ferraz, Alexandre/AAG-9661-2019; Guecheva, Temenouga Nikolova/C-3495-2009; Richter, Marc François/AAC-6105-2020; Pereira, Antonio B/I-8201-2014; marques de oliveira, Iuri/L-7585-2015; Da Silva, Juliana/J-8996-2012</t>
  </si>
  <si>
    <t>Ferraz, Alexandre/0000-0003-2665-5200; Guecheva, Temenouga Nikolova/0000-0001-8671-7317; Richter, Marc François/0000-0002-0868-9127; Pereira, Antonio B/0000-0003-0368-4594; Da Silva, Juliana/0000-0002-1089-6766</t>
  </si>
  <si>
    <t>Conselho Nacional de Desenvolvimento Cientifico e Tecnologico (CNPq); Fundacao de Amparo a Pesquisa do Rio Grande do Sul (FAPERGS); Coordenacao de Aperfeicoamento e Formacao de Pessoal de Nivel Superior (CAPES); GENOTOX - Genotoxicity Laboratory Royal Institute; Ministerio do Meio ambiente - Brasil</t>
  </si>
  <si>
    <t>Conselho Nacional de Desenvolvimento Cientifico e Tecnologico (CNPq)(Conselho Nacional de Desenvolvimento Cientifico e Tecnologico (CNPQ)); Fundacao de Amparo a Pesquisa do Rio Grande do Sul (FAPERGS)(Fundacao de Amparo a Ciencia e Tecnologia do Estado do Rio Grande do Sul (FAPERGS)); Coordenacao de Aperfeicoamento e Formacao de Pessoal de Nivel Superior (CAPES)(Coordenacao de Aperfeicoamento de Pessoal de Nivel Superior (CAPES)); GENOTOX - Genotoxicity Laboratory Royal Institute; Ministerio do Meio ambiente - Brasil</t>
  </si>
  <si>
    <t>This work was supported by grants from the Brazilian Agencies Conselho Nacional de Desenvolvimento Cientifico e Tecnologico (CNPq), Fundacao de Amparo a Pesquisa do Rio Grande do Sul (FAPERGS), Coordenacao de Aperfeicoamento e Formacao de Pessoal de Nivel Superior (CAPES), GENOTOX - Genotoxicity Laboratory Royal Institute and Ministerio do Meio ambiente - Brasil.</t>
  </si>
  <si>
    <t>ELSEVIER SCIENCE SA</t>
  </si>
  <si>
    <t>LAUSANNE</t>
  </si>
  <si>
    <t>PO BOX 564, 1001 LAUSANNE, SWITZERLAND</t>
  </si>
  <si>
    <t>1011-1344</t>
  </si>
  <si>
    <t>J PHOTOCH PHOTOBIO B</t>
  </si>
  <si>
    <t>J. Photochem. Photobiol. B-Biol.</t>
  </si>
  <si>
    <t>AUG 3</t>
  </si>
  <si>
    <t>10.1016/j.jphotobiol.2009.04.011</t>
  </si>
  <si>
    <t>475ZO</t>
  </si>
  <si>
    <t>WOS:000268406700005</t>
  </si>
  <si>
    <t>Bonner, CS; Ashley, MCB; Lawrence, JS; Luong-Van, DM; Storey, JWV</t>
  </si>
  <si>
    <t>Bonner, C. S.; Ashley, M. C. B.; Lawrence, J. S.; Luong-Van, D. M.; Storey, J. W. V.</t>
  </si>
  <si>
    <t>SNODAR: AN ACOUSTIC RADAR FOR ATMOSPHERIC TURBULENCE PROFILING WITH 1m RESOLUTION</t>
  </si>
  <si>
    <t>ACOUSTICS AUSTRALIA</t>
  </si>
  <si>
    <t>DOME-C; CALIBRATION</t>
  </si>
  <si>
    <t>Snodar is a 5 kHz monostatic acoustic radar designed to measure the atmospheric turbulence within the first 200 ill of the atmosphere with a vertical resolution of 1 m. An in situ calibration target is used to give absolute intensity calibration. The primary motivation for building Snodar is to quantify the site conditions for a future astronomical observatory in Antarctica. Two Snodar instruments are operating at Dome A. Antarctica, during 2009 as part of the completely robotic PLATO facility. The instruments are separated by 20 m and sample from 8 m to 200 m with a resolution Of I ill allowing the spatial and temporal characteristics of the atmospheric boundary layer to be investigated. We present here the acoustic design of Snodar and example data demonstrating the performance of the instrument.</t>
  </si>
  <si>
    <t>[Bonner, C. S.; Ashley, M. C. B.; Lawrence, J. S.; Luong-Van, D. M.; Storey, J. W. V.] Univ New S Wales, Sch Phys, Sydney, NSW 2052, Australia; [Lawrence, J. S.] Macquarie Univ, Dept Phys &amp; Engn, N Ryde, NSW 2109, Australia; [Lawrence, J. S.] Anglo Australian Observ, Coonabarabran, NSW 1710, Australia</t>
  </si>
  <si>
    <t>University of New South Wales Sydney; Macquarie University</t>
  </si>
  <si>
    <t>Bonner, CS (corresponding author), Univ New S Wales, Sch Phys, Sydney, NSW 2052, Australia.</t>
  </si>
  <si>
    <t>cbonner@phys.unsw.edu.au</t>
  </si>
  <si>
    <t>Ashley, Michael/0000-0003-1412-2028; Lawrence, Jon/0000-0002-6998-6993</t>
  </si>
  <si>
    <t>University of New South Wales; Australian Research Council</t>
  </si>
  <si>
    <t>University of New South Wales; Australian Research Council(Australian Research Council)</t>
  </si>
  <si>
    <t>This research is financially supported by the University of New South Wales and the Australian Research Council. The authors thank the Chinese Center for Antarctic Astronomy and the 2008 and 2009 Polar Research Institute of China traverse teams, with particular mention of Xu Zhou, Zhenxi Zhu and Xuefei Gong for installing and commissioning Snodar at Dome A. We also thank Stuart Bradley for helpful advice.</t>
  </si>
  <si>
    <t>SPRINGER SINGAPORE PTE LTD</t>
  </si>
  <si>
    <t>SINGAPORE</t>
  </si>
  <si>
    <t>#04-01 CENCON I, 1 TANNERY RD, SINGAPORE 347719, SINGAPORE</t>
  </si>
  <si>
    <t>0814-6039</t>
  </si>
  <si>
    <t>1839-2571</t>
  </si>
  <si>
    <t>ACOUST AUST</t>
  </si>
  <si>
    <t>Acoust. Aust.</t>
  </si>
  <si>
    <t>AUG</t>
  </si>
  <si>
    <t>Acoustics</t>
  </si>
  <si>
    <t>492JZ</t>
  </si>
  <si>
    <t>WOS:000269652900003</t>
  </si>
  <si>
    <t>Liu, XC</t>
  </si>
  <si>
    <t>Liu XiaoChun</t>
  </si>
  <si>
    <t>Polymetamorphism of the Prydz Belt, East Antarctica: Implications for the reconstruction of the Rodinia and Gondwana supercontinents.</t>
  </si>
  <si>
    <t>ACTA PETROLOGICA SINICA</t>
  </si>
  <si>
    <t>Grenvillian; Pan-African; High-grade metamorphism; Prydz Belt; East Antarctica; Supercontinent</t>
  </si>
  <si>
    <t>PRINCE-CHARLES MOUNTAINS; CAMBRIAN OROGENIC BELT; LARSEMANN-HILLS AREA; HIGH-GRADE GNEISSES; DRONNING MAUD LAND; T-T PATH; RAUER-GROUP; U-PB; GROVE MOUNTAINS; METAPELITIC GRANULITES</t>
  </si>
  <si>
    <t>The Prydz Belt in East Antarctica is a typical polymetmorphic belt that experienced Grenvillian and Pan-African high-grade metamorphism. The tectonic evolution of the belt is closely related to the formation of the supercontinents Rodinia and Gondwana. New petrological and geochronological data suggest that the Grenvillian metamorphism involving two episodes at &gt; 970Ma and 930 similar to 900Ma spreads over the main part of the Prydz Belt. Metamorphic peak during this peroid reaches relatively high temperature and high pressure granulite facies conditions. The Grenvillian orogenesis underwent long-term magmatic accretion along an active continental margin or arc and the final collision of Indian, Kalahari craton and the western portion of East Antarctica, which forms an important part of the Rodinia supercontinent. The Pan-African metamorphism in the Prydz Belt reaches high-pressure granulite facies conditions, accompaning a near isothermal decompressional P-T path, rather than low-to medium-pressure granulite facies conditions as previously thought. The widespread Grenvillian metamorphism in the Prydz Belt indicates that the Pan-African tectonothermal event may have developed on the eastern margin of the Indo-Antarctica continental block, and the real suture should be located southeastwards of the present Prydz Belt. Further to the Antarctic inland, it might pass through the Gamburtsev Subglacial Mountains. The precise dating for different rock types reveals that the Pan-African orogenesis of the Prydz Belt commenced at 570Ma and lasted to 490Ma, which is roughly contemporaneous with the late collisional stage in the East African Orogen. Therefore, the final assembly of Gondwana may have been completed by the collision of West Gondwana, Indo-Antarctica and Australo-Antarctica continental blocks during the same time.</t>
  </si>
  <si>
    <t>Chinese Acad Geol Sci, Inst Geomech, Beijing 100081, Peoples R China</t>
  </si>
  <si>
    <t>China Geological Survey; Chinese Academy of Geological Sciences; Institute of Geomechanics, Chinese Academy of Geological Sciences</t>
  </si>
  <si>
    <t>Liu, XC (corresponding author), Chinese Acad Geol Sci, Inst Geomech, Beijing 100081, Peoples R China.</t>
  </si>
  <si>
    <t>1000-0569</t>
  </si>
  <si>
    <t>2095-8927</t>
  </si>
  <si>
    <t>ACTA PETROL SIN</t>
  </si>
  <si>
    <t>Acta Petrol. Sin.</t>
  </si>
  <si>
    <t>494KZ</t>
  </si>
  <si>
    <t>WOS:000269813000006</t>
  </si>
  <si>
    <t>Chown, SL</t>
  </si>
  <si>
    <t>Chown, Steven L.</t>
  </si>
  <si>
    <t>Unpredictable change in Antarctic terrestrial systems: a consequence of science and policy priorities?</t>
  </si>
  <si>
    <t>Univ Stellenbosch, Ctr Invas Biol, ZA-7600 Stellenbosch, South Africa</t>
  </si>
  <si>
    <t>Chown, SL (corresponding author), Univ Stellenbosch, Ctr Invas Biol, ZA-7600 Stellenbosch, South Africa.</t>
  </si>
  <si>
    <t>10.1017/S0954102009990216</t>
  </si>
  <si>
    <t>471TM</t>
  </si>
  <si>
    <t>WOS:000268081200001</t>
  </si>
  <si>
    <t>Ainley, DG; Siniff, DB</t>
  </si>
  <si>
    <t>Ainley, David G.; Siniff, Donald B.</t>
  </si>
  <si>
    <t>The importance of Antarctic toothfish as prey of Weddell seals in the Ross Sea</t>
  </si>
  <si>
    <t>CCAMLR; fishery depletion; top-down forcing</t>
  </si>
  <si>
    <t>C KILLER WHALES; MCMURDO-SOUND; TROPHIC CASCADES; LEPTONYCHOTES-WEDDELLI; DISSOSTICHUS-MAWSONI; DIET; ECOSYSTEM; PREDATOR; PENGUINS; POPULATION</t>
  </si>
  <si>
    <t>Uncertainty exists over the: importance of Antarctic toothfish (Dissostichus mawsoni) as prey of top predators in the Ross Sea. In this paper we assess relative weight given to direct, observational evidence of prey taken, as opposed to indirect evidence from seat and biochemical analysis, and conclude that toothfish are important to Weddell seats (Leptonychotes weddellii). The seals eat only the flesh of large toothfish and therefore they are not detected in seat or stomach samples; biochemical samples have been taken from seal sub-populations where toothfish seldom Occur. Using direct observations of non-breeding seals away from breeding haulouts in McMurdo Sound, 0.8-1.3 tootlifish were taken per day. Based on these and other data, the non-breeding portion of the McMurdo Sound seal population, during spring and summer, consume about 52 tonnes of toothfish. Too many unknowns exist to estimate the non-trivial amount consumed by breeders. We discuss why reduced toothfish availability to Weddell seals, for energetic reasons, cannot be compensated by a switch to silverfish (Pleuragramma antarcticum) or squid. The Ross Sea toothfish fishery should be reduced including greater spatial management, with monitoring of Weddell seal populations by CCAMLR. Otherwise, probable cascades will lead to dramatic changes in the populations of charismatic megafauna.</t>
  </si>
  <si>
    <t>[Ainley, David G.] HT Harvey &amp; Assoc, Los Gatos, CA 95032 USA; [Siniff, Donald B.] Univ Minnesota, Dept Ecol Evolut &amp; Behav Biol, St Paul, MN 55108 USA</t>
  </si>
  <si>
    <t>University of Minnesota System; University of Minnesota Twin Cities</t>
  </si>
  <si>
    <t>Ainley, DG (corresponding author), HT Harvey &amp; Assoc, Los Gatos, CA 95032 USA.</t>
  </si>
  <si>
    <t>dainley@penguinscience.com</t>
  </si>
  <si>
    <t>U.S. National Science Foundation; DGA [OPP 0440643]; DBS [OPP 0635739]</t>
  </si>
  <si>
    <t>U.S. National Science Foundation(National Science Foundation (NSF)); DGA; DBS</t>
  </si>
  <si>
    <t>Most of the research reported on here, at least that in the southern Ross Sea, was funded by the Office of Polar Programs, U.S. National Science Foundation; DGA's contribution was supported specifically by grant OPP 0440643 and that of DBS by OPP 0635739. The conclusions are not those of NSF. We thank R Davis, A. DeVries, J. Eastman, G.L. Kooyman, L. Fuiman, M. Pinkerton, R Pitman, W. Testa and an anonymous reviewer for comments; and H. Kaiser, S. Kim, J. Meir, J. Thomas and J. Weller for discussions. Thanks to J. Meir and R. Robbins for use of their photos, and to V. Toniolo for drawing Fig. 3.</t>
  </si>
  <si>
    <t>10.1017/S0954102009001953</t>
  </si>
  <si>
    <t>WOS:000268081200002</t>
  </si>
  <si>
    <t>Curtosi, A; Pelletier, E; Vodopivez, CL; Mac Cormack, WP</t>
  </si>
  <si>
    <t>Curtosi, Antonio; Pelletier, Emilien; Vodopivez, Cristian L.; Mac Cormack, Walter P.</t>
  </si>
  <si>
    <t>Distribution of PAHs in the water column, sediments and biota of Potter Cove, South Shetland Islands, Antarctica</t>
  </si>
  <si>
    <t>aromatic hydrocarbons; Jubany Station; marine pollution; PAHs in biota; sediment contamination</t>
  </si>
  <si>
    <t>POLYCYCLIC AROMATIC-HYDROCARBONS; KING-GEORGE ISLAND; MARINE-ENVIRONMENT; ANTHROPOGENIC HYDROCARBONS; NACELLA-CONCINNA; ARTHUR HARBOR; CONTAMINATION; STATION; SOIL; SEA</t>
  </si>
  <si>
    <t>In order to establish the environmental status of areas close to Antarctic stations it is necessary to document levels of contaminants present in these sites. Several petrogenic and pyrogenic sources have been reported for polycyclic aromatic hydrocarbons (PAHs) in Antarctica. In this work, levels of 25 PAHs were measured in suspended particulate matter (SPM), surface sediment and marine organisms (fish Notothenia coriiceps, bivalve Laternula elliptica and gastropod Nacella concinna) from Potter Cove. Total PAH levels from SPM were low and similar in all sites studied (30-82 ng g(-1) dw), phenanthrene being the dominant compound (68-84%). The exception was an area close to the wharf where significantly higher values of light PAHs such as naphthalene, acenaphthylene, 2,3,5-trimethylnaphthalene and fluorene were detected, indicating the influence of recent fuel spills. PAH concentrations ill Surface sediments were generally low (37-252 ng g(-1) dw) except for two sites (1762 and 1908 ng g(-1) dw) which suggested an accumulation process associated with the water circulation. pattern. Liver tissue of N coriiceps presented significantly higher PAH levels (257 ng g(-1) dw) compared with gonads. The pattern of individual compounds from Substrates and organisms suggests a petrogenic and low-temperature combustion origin.</t>
  </si>
  <si>
    <t>[Curtosi, Antonio; Vodopivez, Cristian L.; Mac Cormack, Walter P.] Inst Antartico Argentino, Buenos Aires, DF, Argentina; [Curtosi, Antonio; Pelletier, Emilien] Univ Quebec, Inst Sci Mer Rimouski ISMER, Rimouski, PQ G5L 3A1, Canada; [Mac Cormack, Walter P.] Univ Buenos Aires, Fac Farm &amp; Bioquim, Catedra Biotecnol, RA-1113 Buenos Aires, DF, Argentina</t>
  </si>
  <si>
    <t>Instituto Antartico Argentino; University of Quebec; University of Buenos Aires</t>
  </si>
  <si>
    <t>Curtosi, A (corresponding author), Inst Antartico Argentino, Cerrito 1248 C1010AAZ, Buenos Aires, DF, Argentina.</t>
  </si>
  <si>
    <t>Mac Cormack, Walter/0000-0002-5280-5463</t>
  </si>
  <si>
    <t>Instituto Antartico Argentino; Universidad de Buenos Aires [UBACyT U007]; Agencia Nacional de Investigaciones Cientificas y Tecnicas [Picto 11555]; Canadian Research Chair in Ecotoxicology of High Latitude Ecosystems; Quebec-Ocean Strategic Network (FQRNT); Institut des Sciences de la Mer A Rimouski (ISMER/UQAR)</t>
  </si>
  <si>
    <t>Instituto Antartico Argentino; Universidad de Buenos Aires(University of Buenos Aires); Agencia Nacional de Investigaciones Cientificas y Tecnicas; Canadian Research Chair in Ecotoxicology of High Latitude Ecosystems; Quebec-Ocean Strategic Network (FQRNT)(FQRNT); Institut des Sciences de la Mer A Rimouski (ISMER/UQAR)</t>
  </si>
  <si>
    <t>We thank Jubany Station crew and especially Oscar Gonzalez, Julio Naboni and Denis Brion for the logistical support during field samplings. This work was carried out under an agreement between the Instituto Antartico Argentino and the Facultad de Farmacia y Bioquimica of the Universidad de Buenos Aires. Field and laboratory works were supported by the Universidad de Buenos Aires (UBACyT U007), the Agencia Nacional de Investigaciones Cientificas y Tecnicas (Picto 11555), the Canadian Research Chair in Ecotoxicology of High Latitude Ecosystems and the Quebec-Ocean Strategic Network (FQRNT). Many thanks go to personnel of the Institut des Sciences de la Mer A Rimouski (ISMER/UQAR) for technical and professional assistance in chemical analysis and to Cecilia Ferreiro for assistance in the correction of the English. We thank the three referees for their rigorous reviews.</t>
  </si>
  <si>
    <t>10.1017/S0954102009002004</t>
  </si>
  <si>
    <t>WOS:000268081200003</t>
  </si>
  <si>
    <t>Aldea, C; Olabarria, C; Troncoso, JS</t>
  </si>
  <si>
    <t>Aldea, Cristian; Olabarria, Celia; Troncoso, Jesus S.</t>
  </si>
  <si>
    <t>Spatial patterns of benthic diversity in molluscs from West Antarctica</t>
  </si>
  <si>
    <t>alpha; beta and gamma diversity; Bellingshausen Sea; bivalves; gastropods; rare species; South Shetland Islands</t>
  </si>
  <si>
    <t>SOUTH-SHETLAND ISLANDS; NORWEGIAN CONTINENTAL-SHELF; DEEP-SEA BENTHOS; SPECIES RICHNESS; BATHYMETRIC ZONATION; COMMUNITY STRUCTURE; BELLINGSHAUSEN SEA; BRANSFIELD STRAIT; NORTH-ATLANTIC; ROSS SEA</t>
  </si>
  <si>
    <t>Despite several works that have documented patterns of diversity in deep sea organisms, trends of diversity and the processes responsible for such trends still remain unclear. To date very few studies have documented the effects of variables such as latitude and longitude in deep-sea organisms in the Antarctic region. We explored the spatial patterns of diversity of benthic gastropods and bivalves in an extensive region about 2200 kin long and 500 km wide from the South Shetland Islands to the Bellingshausen Sea in West Antarctica. A total of 134 species from 54 sites was recorded. Alpha diversity and beta diversity (measured as Whittaker's and Bray-Curtis similarity indices) were highly variable among areas. None of the species richness estimators measured as S(obs), Chao2, Jacknife1 and Jacknife2, stabilized towards asymptotic values in any area. The number of rare species was large with almost half of species represented by I or 2 individuals (41%) and most species (62%) restricted to 1 or 2 sites. The partial Mantel test revealed that similarity between sites increased with the decrease of depth differences, but not with horizontal separation.</t>
  </si>
  <si>
    <t>[Aldea, Cristian; Olabarria, Celia; Troncoso, Jesus S.] Univ Vigo, Dept Ecol &amp; Biol Anim, Fac Ciencias Mar, Vigo 36310, Spain; [Aldea, Cristian] Fdn Ctr Estudios Cuaternario Fuego Patagonia &amp; An, Punta Arenas 01890, Chile</t>
  </si>
  <si>
    <t>Aldea, C (corresponding author), Univ Vigo, Dept Ecol &amp; Biol Anim, Fac Ciencias Mar, Campus Lagoas Marcosende, Vigo 36310, Spain.</t>
  </si>
  <si>
    <t>cristian-aldea@uvigo.es</t>
  </si>
  <si>
    <t>Olabarria, Celia/ABB-5554-2020; Aldea, Cristian/J-5391-2013; Troncoso, Jesus/L-1823-2017</t>
  </si>
  <si>
    <t>Olabarria, Celia/0000-0001-8332-5924; Aldea, Cristian/0000-0002-4473-6509; Troncoso, Jesus/0000-0002-7305-6879</t>
  </si>
  <si>
    <t>Spanish Government [REN2001-1074/ANT]; Ministry of Education and Science (MEC) [GLC2004-01856/ANT]</t>
  </si>
  <si>
    <t>Spanish Government(Spanish Government); Ministry of Education and Science (MEC)(Spanish Government)</t>
  </si>
  <si>
    <t>We would like thank the officers and crews of RV Hesperides, as well as the colleagues who have been supportive in collecting the samples used in this study. The BENTART cruises were carried out under the auspices of the Spanish Government through the Antarctic Programmes REN2001-1074/ANT and GLC2004-01856/ANT of the Ministry of Education and Science (MEC). We also thank Professor Andrew Clarke and one anonymous referee for comments which improved the manuscript.</t>
  </si>
  <si>
    <t>10.1017/S0954102009002016</t>
  </si>
  <si>
    <t>WOS:000268081200004</t>
  </si>
  <si>
    <t>McLeod, M; Bockheim, J; Balks, M; Aislabie, J</t>
  </si>
  <si>
    <t>McLeod, Malcolm; Bockheim, James; Balks, Megan; Aislabie, Jackie</t>
  </si>
  <si>
    <t>Soils of western Wright Valley, Antarctica</t>
  </si>
  <si>
    <t>Dais; Gelisols; Labyrinth; soil chemical properties; soil map</t>
  </si>
  <si>
    <t>SOUTHERN VICTORIA LAND; DRY VALLEYS; ICE-SHEET; TRANSANTARCTIC MOUNTAINS; DEVELOPMENT RATES; GLACIAL HISTORY; LABYRINTH; MIOCENE; REGION; ORIGIN</t>
  </si>
  <si>
    <t>Western Wright Valley, from Wright Upper Glacier to the western end of the Dais, can be divided into three broad geomorphic regions: the elevated Labyrinth, the narrow Dais which is connected to the Labyrinth, and the North and South forks which are bifurcated by the Dais. Soil associations of Typic Haplorthels/Haploturbels with ice-cemented permafrost at &lt;70 cm are most common in each of these geomorphic regions. Amongst the Haplo Great Groups are patches of Salic and Typic Anhyorthels with ice-cemented permafrost at &gt; 70 cm. They are developed in situ in strongly weathered drift with very low Surface boulder frequency and occur on the upper erosion surface of the Labyrinth and on the Dais. Typic Anhyorthels also occur at lower elevation on sinuous and patchy Wright Upper III drift within the forks. Salic Aquorthels exist only in. the South Fork marginal to Don Juan Pond, whereas Salic Haplorthels occur in low areas of both South and North forks where any water table is&gt; 50 cm. Most soils within the study area have an alkaline pH dominated by Na+ and Cl- ions. The low salt accumulation within Haplorthels/Haploturbels may be due to limited depth of soil development and possibly leaching.</t>
  </si>
  <si>
    <t>[McLeod, Malcolm; Aislabie, Jackie] Landcare Res, Hamilton, New Zealand; [Bockheim, James] Univ Wisconsin, Dept Soil Sci, Madison, WI 53706 USA; [Balks, Megan] Univ Waikato, Dept Earth Sci, Hamilton, New Zealand</t>
  </si>
  <si>
    <t>Landcare Research - New Zealand; University of Wisconsin System; University of Wisconsin Madison; University of Waikato</t>
  </si>
  <si>
    <t>McLeod, M (corresponding author), Landcare Res, Private Bag 3127, Hamilton, New Zealand.</t>
  </si>
  <si>
    <t>mcleodm@landcareresearch.co.nz</t>
  </si>
  <si>
    <t>New Zealand Foundation for Research, Science and Technology [C09X0307]; Landcare Research NZ Ltd Capability Development Grant</t>
  </si>
  <si>
    <t>New Zealand Foundation for Research, Science and Technology(New Zealand Foundation for Research, Science and Technology); Landcare Research NZ Ltd Capability Development Grant</t>
  </si>
  <si>
    <t>This work was partially funded by the New Zealand Foundation for Research, Science and Technology under contract C09X0307 Antarctica New Zealand provided full logistical support. One author (MM) was also supported by a Landcare Research NZ Ltd Capability Development Grant. ALOS PRISM images were captured by JAXA and supplied through America's ALOS Data Node.</t>
  </si>
  <si>
    <t>10.1017/S0954102009001965</t>
  </si>
  <si>
    <t>WOS:000268081200005</t>
  </si>
  <si>
    <t>Wilson, GS; Tinto, KJ</t>
  </si>
  <si>
    <t>Wilson, G. S.; Tinto, K. J.</t>
  </si>
  <si>
    <t>Calibration values for gravity base stations, McMurdo Station and Scott Base, Ross Island, Antarctica</t>
  </si>
  <si>
    <t>gravity surveys; La Coste &amp; Romberg gravity meter</t>
  </si>
  <si>
    <t>New reference gravity values are provided for gravity base stations at McMurdo Station and Scott Base. The new values are obtained by a relative survey including the Hut Point base station (an International Satellite Triangulation station; 77.8448 degrees S, 166.6418 degrees E; 982975.65 mGal) located I 10 m north of Scott's 1901 Discovery Hut at McMurdo Station. This site is the only remaining station tied by previous surveys to the now defunct SATGRAV base Station located in the former Building 57, which was, in turn, measured by an absolute meter in 1995. New values are 982970.41 mGal for the THIEL-1 Station (77.8490 degrees S, 166.6794 degrees E) at McMurdo Station, 982973.40 mGal for the MMD-N Station (77.8491 degrees S, 166.7567 degrees E) at Scott Base, and 982977.83 mGal for the newly established SBG-1 Station (77.8499 degrees S, 166.7667 degrees E) under the flagpole at Scott Base. Our difference values are very consistent with previous surveys, including Nakagawa's value for MMD-N at Scott Base, which is within 0.2 mGal of our new value.</t>
  </si>
  <si>
    <t>[Wilson, G. S.] Univ Otago, Dept Marine Sci, Dunedin, New Zealand; [Wilson, G. S.; Tinto, K. J.] Univ Otago, Dept Geol, Dunedin, New Zealand</t>
  </si>
  <si>
    <t>Wilson, GS (corresponding author), Univ Otago, Dept Marine Sci, POB 56, Dunedin, New Zealand.</t>
  </si>
  <si>
    <t>gary.wilson@otago.ac.nz</t>
  </si>
  <si>
    <t>Wilson, Gary S/B-3803-2010</t>
  </si>
  <si>
    <t>Wilson, Gary/0000-0003-0025-3641</t>
  </si>
  <si>
    <t>10.1017/S0954102009001977</t>
  </si>
  <si>
    <t>WOS:000268081200006</t>
  </si>
  <si>
    <t>Kiernan, K; Gore, DB; Fink, D; White, DA; McConnell, A; Sigurdsson, IA</t>
  </si>
  <si>
    <t>Kiernan, Kevin; Gore, Damian B.; Fink, David; White, Duanne A.; McConnell, Anne; Sigurdsson, Ingvar A.</t>
  </si>
  <si>
    <t>Deglaciation and weathering of Larsemann Hills, East Antarctica</t>
  </si>
  <si>
    <t>Broknes; cosmogenic nuclide exposure age; mumiyo; salt geochemistry; Stornes</t>
  </si>
  <si>
    <t>LAST GLACIAL MAXIMUM; ENVIRONMENTAL-CHANGE; PRYDZ BAY; HISTORY; RATES; LAKE; PRESSURE; EROSION; ANTARES; LAND</t>
  </si>
  <si>
    <t>In situ cosmogenic (10)Be exposure dating, radiocarbon determinations, salt and sediment geochemistry, and rock weathering observations indicate that parts of Larsemann Hills, East Antarctica have been subaerially exposed throughout much of the last glacial cycle, with the last glaciation occurring prior to 100ka BP. Salt-enhanced subaerial weathering, coupled with a paucity of glacial erratics, made exposure age dating challenging. Rapid subaerial surface lowering in some places means that some exposure ages may underestimate the true age of deglaciation. Despite this uncertainty, the data are consistent with the absence of overriding by a thick ice sheet during the Last Glacial Maximum similar to 20-18 ka BP.</t>
  </si>
  <si>
    <t>[Kiernan, Kevin; McConnell, Anne] Univ Tasmania, Sch Geog &amp; Environm Studies, Hobart, Tas 7001, Australia; [Gore, Damian B.; White, Duanne A.] Macquarie Univ, Dept Geog &amp; Environm, N Ryde, NSW 2109, Australia; [Fink, David] Australian Nucl Sci &amp; Technol Org, Environm Div, Menai, NSW 2234, Australia; [Sigurdsson, Ingvar A.] S Iceland Nat Ctr, IS-900 Vestmannaeyjar, Iceland</t>
  </si>
  <si>
    <t>University of Tasmania; Macquarie University; Australian Nuclear Science &amp; Technology Organisation</t>
  </si>
  <si>
    <t>Kiernan, K (corresponding author), Univ Tasmania, Sch Geog &amp; Environm Studies, Private Bag 78, Hobart, Tas 7001, Australia.</t>
  </si>
  <si>
    <t>kevin.kiernan@utas.edu.au</t>
  </si>
  <si>
    <t>fink, David/A-9518-2012; White, Duanne A/E-6919-2012</t>
  </si>
  <si>
    <t>fink, David/0000-0001-7156-4602; White, Duanne/0000-0003-0740-2072; Gore, Damian/0000-0002-0377-8518</t>
  </si>
  <si>
    <t>Australian Antarctic Division [ASAC 1118]; Australian Research Council [DP0556728]; Australian Nuclear Science and Technology Organisation [0203v]; Australian Research Council [DP0556728] Funding Source: Australian Research Council</t>
  </si>
  <si>
    <t>Australian Antarctic Division; Australian Research Council(Australian Research Council); Australian Nuclear Science and Technology Organisation; Australian Research Council(Australian Research Council)</t>
  </si>
  <si>
    <t>We thank the Australian Antarctic Division (ASAC 1118), Australian Research Council (DP0556728) and Australian Nuclear Science and Technology Organisation (CcASH Project 0203v) for logistic and financial support. For helpful discussion or assistance in the field or laboratory, we thank Andrew Baird, Dennis Branch, Jim Burgess, Eric Colhoun, Peter Corcoran, Dudley Creagh, Jessica Lawrence and Andy Spate. We thank the referees, Prof W.B. Lyons and Dr E. Colhoun for comments which improved the manuscript.</t>
  </si>
  <si>
    <t>10.1017/S0954102009002028</t>
  </si>
  <si>
    <t>WOS:000268081200007</t>
  </si>
  <si>
    <t>Kerr, R; Mata, MM; Garcia, CAE</t>
  </si>
  <si>
    <t>Kerr, Rodrigo; Mata, Mauricio M.; Garcia, Carlos A. E.</t>
  </si>
  <si>
    <t>On the temporal variability of the Weddell Sea Deep Water masses</t>
  </si>
  <si>
    <t>Antarctica; OMP analysis; Southern Annular Mode; Southern Ocean</t>
  </si>
  <si>
    <t>OPTIMUM MULTIPARAMETER ANALYSIS; SOUTHERN-HEMISPHERE ATMOSPHERE; ANNULAR MODE; BOTTOM-WATER; SYNCHRONOUS VARIABILITY; NUMERICAL-MODEL; OCEAN; CIRCULATION; ICE; TRANSPORT</t>
  </si>
  <si>
    <t>The Weddell Sea is one of the key regions of the Southern Ocean with respect to climate as most of the Antarctic Bottom Water (AABW) that occupies the world ocean deepest layers is likely to originate from this region. This study applies the Optimum Multiparameter water mass analysis to the Weddell deep waters in order to investigate their distribution and variability. The dataset used is based on the WOCE repeat sections in the area (SR04 and A12) from 1984 to 1998. The mean water mass distribution is consistent with previous knowledge of the region, along with high interannual variability. Regarding the temporal variability, it seems that the years of maximum Weddell Sea Deep Water (WSDW) contribution correspond to the lowest levels of Weddell Sea Bottom Water (WSBW), and vice versa. In order to identify possible forcing mechanisms for such variability, the water mass temporal anomalies were compared with oceanic and atmospheric modes of variability in that region such as the Southern Annular Mode (SAM). An apparent correlation between the SAM index temporal gradients and WSBW anomalies indicate that the Weddell Sea export of dense waters to the world ocean may be linked to that index on several time scales.</t>
  </si>
  <si>
    <t>[Kerr, Rodrigo; Mata, Mauricio M.; Garcia, Carlos A. E.] Univ Fed Rio Grande FURG, Inst Oceanog, Lab Estudos Oceanos &amp; Clima, BR-96201900 Rio Grande, RS, Brazil</t>
  </si>
  <si>
    <t>Kerr, R (corresponding author), Univ Fed Rio Grande FURG, Inst Oceanog, Lab Estudos Oceanos &amp; Clima, BR-96201900 Rio Grande, RS, Brazil.</t>
  </si>
  <si>
    <t>pgofkerr@furg.br</t>
  </si>
  <si>
    <t>Garcia, Carlos A. E./K-7382-2012; Criosfera, Inct/J-8639-2013; Kerr, Rodrigo/I-2494-2012; Mata, Mauricio/H-4605-2011</t>
  </si>
  <si>
    <t>Kerr, Rodrigo/0000-0002-2632-3137; Mata, Mauricio/0000-0002-9028-8284</t>
  </si>
  <si>
    <t>Brazilian Antarctic Survey (CNPq/PROANTAR/MMA) [55.0370/02-1, 52.0189/06-0]; Federal University of Rio Grande (FURG); CNPq Pq [304699/2008-0, 300163/2006-6]; CAPES Foundation</t>
  </si>
  <si>
    <t>Brazilian Antarctic Survey (CNPq/PROANTAR/MMA)(Conselho Nacional de Desenvolvimento Cientifico e Tecnologico (CNPQ)); Federal University of Rio Grande (FURG); CNPq Pq(Conselho Nacional de Desenvolvimento Cientifico e Tecnologico (CNPQ)); CAPES Foundation(Coordenacao de Aperfeicoamento de Pessoal de Nivel Superior (CAPES))</t>
  </si>
  <si>
    <t>M.E.C. Bemardes is acknowledged for his early suggestions to the manuscript. We also thank H.H. Hellmer and O. Huhn for their substantial comments that greatly improved the manuscript during the Winter Weddell Outflow Study (ANTXXIII/7 Polarstern Expedition). J. Karstensen and anonymous reviewers are acknowledged for their comments and suggestions that add value to the manuscript. Resources for this study have been provided by the GOAL Project, part of the Brazilian Antarctic Survey (CNPq/PROANTAR/MMA, grants: 55.0370/02-1; 52.0189/06-0) and by the Federal University of Rio Grande (FURG). C. A. E. Garcia and M. M. Mata acknowledge CNPq Pq grants 304699/2008-0 and 300163/2006-6, respectively. R. Kerr was supported by CAPES Foundation.</t>
  </si>
  <si>
    <t>10.1017/S0954102009001990</t>
  </si>
  <si>
    <t>WOS:000268081200008</t>
  </si>
  <si>
    <t>Gusain, HS; Singh, KK; Mishra, VD; Srivastava, PK; Ganju, A</t>
  </si>
  <si>
    <t>Gusain, H. S.; Singh, K. K.; Mishra, V. D.; Srivastava, P. K.; Ganju, A.</t>
  </si>
  <si>
    <t>Study of surface energy and mass balance at the edge of the Antarctic ice sheet during summer in Dronning Maud Land, East Antarctica</t>
  </si>
  <si>
    <t>net radiative flux; non-glaciated area; Schirmacher Oasis; turbulent fluxes</t>
  </si>
  <si>
    <t>HAUT-GLACIER-DAROLLA; KING-GEORGE-ISLAND; TAYLOR VALLEY; RADIATION; CYCLE; AREA; SNOW</t>
  </si>
  <si>
    <t>This study estimates energy and mass balance at the edge of the Antarctic ice sheet close to a non-glaciated area. An automatic weather station was installed on the ice sheet, near all ice free area of Schirmacher Oasis in Dronning Maud Land, East Antarctica. Hourly snow-meteorological parameters were recorded and observed during the summer of the year 2007-08. Hourly radiative and turbulent energy fluxes were estimated at the ice surface. An ultrasonic sensor was used to measure accumulation or ablation at the glacier Surface. Ground Penetrating Radar was also used to measure the changes in ice thickness at the observation point. The net radiative flux was the main heat source and the latent heat flux was the main heat sink for the ice sheet with seasonal average values Of 98 W m(-2) and -86.7 W m(-2) respectively. There was a high ablation rate for the ice sheet near the non-glaciated area with a seasonal mean of 0.0172 m w.e. per day. Over the period 10 November 2007-7 February 2008 the mass balance was -1.53 in w.e. Good correlation (r(2) = 0.97) was observed between estimated and observed hourly ablation of the glacier. Sublimation and melt processes contributed 16.5% and 83.5% respectively to the net summer ablation.</t>
  </si>
  <si>
    <t>[Gusain, H. S.; Singh, K. K.; Mishra, V. D.; Srivastava, P. K.; Ganju, A.] Snow &amp; Avalanche Study Estab, Manali, India</t>
  </si>
  <si>
    <t>Defence Research &amp; Development Organisation (DRDO); Snow &amp; Avalanche Study Establishment (SASE)</t>
  </si>
  <si>
    <t>Gusain, HS (corresponding author), Snow &amp; Avalanche Study Estab, Manali, India.</t>
  </si>
  <si>
    <t>gusain_hs@yahoo.co.in</t>
  </si>
  <si>
    <t>GUSAIN, HEMENDRA SINGH/I-8599-2019</t>
  </si>
  <si>
    <t>GUSAIN, HEMENDRA SINGH/0000-0001-8562-731X</t>
  </si>
  <si>
    <t>Defence Research and Development Organisation (DRDO); NCAOR (National Centre for Antarctic and Ocean Research)</t>
  </si>
  <si>
    <t>Defence Research and Development Organisation (DRDO)(Defence Research &amp; Development Organisation (DRDO)); NCAOR (National Centre for Antarctic and Ocean Research)</t>
  </si>
  <si>
    <t>Authors are grateful to Dr R.N. Sarwade, Director Snow and Avalanche Study Establishment for permission to publish this paper. We are also thank the Defence Research and Development Organisation (DRDO) for funding the project. We express our sincere gratitude to NCAOR (National Centre for Antarctic and Ocean Research) and all the members of 26th Indian Scientific Expedition to Antarctica (especially H.S. Negi, SASE, S. Sownbowne, IITM and K. Jeeva, IIG) for extensive support during study. We would also like to thank Dr Timo Vihma, senior scientist of the Finnish Meteorological Institute, Finland for his valuable suggestions during the study. Comments by reviewers and the editorial team helped LIS immensely in improving the manuscript.</t>
  </si>
  <si>
    <t>10.1017/S0954102009001989</t>
  </si>
  <si>
    <t>WOS:000268081200009</t>
  </si>
  <si>
    <t>Cottrell, MT; Kirchman, DL</t>
  </si>
  <si>
    <t>Cottrell, Matthew T.; Kirchman, David L.</t>
  </si>
  <si>
    <t>Photoheterotrophic Microbes in the Arctic Ocean in Summer and Winter</t>
  </si>
  <si>
    <t>ANOXYGENIC PHOTOTROPHIC BACTERIA; RIBOSOMAL-RNA GENES; LEUCINE INCORPORATION; COMMUNITY COMPOSITION; SEASONAL OCCURRENCE; BIOMASS PRODUCTION; MARINE; ATLANTIC; LIGHT; PROTEORHODOPSIN</t>
  </si>
  <si>
    <t>Photoheterotrophic microbes, which are capable of utilizing dissolved organic materials and harvesting light energy, include coccoid cyanobacteria ( Synechococcus and Prochlorococcus), aerobic anoxygenic phototrophic (AAP) bacteria, and proteorhodopsin (PR)-containing bacteria. Our knowledge of photoheterotrophic microbes is largely incomplete, especially for high-latitude waters such as the Arctic Ocean, where photoheterotrophs may have special ecological relationships and distinct biogeochemical impacts due to extremes in day length and seasonal ice cover. These microbes were examined by epifluorescence microscopy, flow cytometry, and quantitative PCR (QPCR) assays for PR and a gene diagnostic of AAP bacteria ( pufM). The abundance of AAP bacteria and PR-containing bacteria decreased from summer to winter, in parallel with a threefold decrease in the total prokaryotic community. In contrast, the abundance of Synechococcus organisms did not decrease in winter, suggesting that their growth was supported by organic substrates. Results from QPCR assays revealed no substantial shifts in the community structure of AAP bacteria and PR-containing bacteria. However, Arctic PR genes were different from those found at lower latitudes, and surprisingly, they were not similar to those in Antarctic coastal waters. Photoheterotrophic microbes appear to compete successfully with strict heterotrophs during winter darkness below the ice, but AAP bacteria and PR-containing bacteria do not behave as superior competitors during the summer.</t>
  </si>
  <si>
    <t>[Cottrell, Matthew T.; Kirchman, David L.] Univ Delaware, Coll Earth Ocean &amp; Environm, Lewes, DE 19958 USA</t>
  </si>
  <si>
    <t>Kirchman, DL (corresponding author), Univ Delaware, Coll Earth Ocean &amp; Environm, 700 Pilottown Rd, Lewes, DE 19958 USA.</t>
  </si>
  <si>
    <t>kirchman@udel.edu</t>
  </si>
  <si>
    <t>Cottrell, Matthew T/C-3266-2009</t>
  </si>
  <si>
    <t>Cottrell, Matthew/0000-0003-0449-9999</t>
  </si>
  <si>
    <t>NSF [OPP0632233]</t>
  </si>
  <si>
    <t>This work was supported by an NSF grant (OPP0632233).</t>
  </si>
  <si>
    <t>AUG 1</t>
  </si>
  <si>
    <t>10.1128/AEM.00117-09</t>
  </si>
  <si>
    <t>474VE</t>
  </si>
  <si>
    <t>WOS:000268311600004</t>
  </si>
  <si>
    <t>Bocchiola, D; Medagliani, M; Rosso, R</t>
  </si>
  <si>
    <t>Bocchiola, Daniele; Medagliani, Michele; Rosso, Renzo</t>
  </si>
  <si>
    <t>Use of a Regional Approach for Long-Term Simulation of Snow Avalanche Regime: a Case Study in the Italian Alps</t>
  </si>
  <si>
    <t>NATIONAL-PARK; MASS-BALANCE; SPATIAL-DISTRIBUTION; WATER EQUIVALENT; FREQUENCY CURVES; GRIZZLY BEARS; BAVARIAN ALPS; MODEL; EROSION; DEBRIS</t>
  </si>
  <si>
    <t>A method for long-term simulation of snow avalanches is developed. based oil Coupling statistical interpretation of triggering snowfall process and regional avalanche data. The case stud), area is the Alta Valtellina region, in the northern Italian Alps. Therein. it 21-year-long series of daily snowfall data From 21 Snow stations is used to calibrate a daily point snowfall statistical model. Then, a data set including 68 avalanche events from six historical avalanche sites are used to evaluate regionally valid features of avalanche release probability, geometry. and runout. These findings are then used to Set LIP it model for the Occurrence of avalanches. One particular case Study site is considered, the Vallecetta Mountain, of interest because of the considerable number of avalanche events occurring there. Long-term Simulation of daily snowfall is performed, which is then fed into it model of snow avalanche occurrence. Snow avalanche simulations are then carried Out, resulting in synthetic statistics of avalanche geometry, volume, and runout for a return period of 300 years. These are compared with regionally observed statistics in the considered area, resulting in acceptable agreement. The proposed model allows long-term simulations of avalanche Occurrences for evaluation of Snow avalanche volume and runout, usable for ecological and geomorphologic Purposes. Integration with an avalanche dynamics model would provide long-term avalanche hazard assessment for land use planning purposes.</t>
  </si>
  <si>
    <t>[Bocchiola, Daniele; Medagliani, Michele; Rosso, Renzo] Politecn Milan, Dept Hydraul Rd Environm &amp; Surveying Engn, I-20133 Milan, Italy</t>
  </si>
  <si>
    <t>Polytechnic University of Milan</t>
  </si>
  <si>
    <t>Bocchiola, D (corresponding author), Politecn Milan, Dept Hydraul Rd Environm &amp; Surveying Engn, L Da Vinci Sq 32, I-20133 Milan, Italy.</t>
  </si>
  <si>
    <t>daniele.bocchiola@polimi.it; m.medagliani@diiar-idra.polimi.it; renzo.rosso@polimi.it</t>
  </si>
  <si>
    <t>Rosso, Renzo/0000-0003-1062-1911</t>
  </si>
  <si>
    <t>European Community [012257, 018412]; CARIPLO foundation of Italy</t>
  </si>
  <si>
    <t>European Community; CARIPLO foundation of Italy(Fondazione Cariplo)</t>
  </si>
  <si>
    <t>The authors kindly acknowledge Eng. Alice Pagani and Eng. Giovanni Sala for their contribution to the present research. developed during their MS thesis. The authors kindly acknowledge the personnel of AINEVA, in Bormio, and the Rangers of Sondrio City (Corpo Forestale dello Stato) for providing the snow and avalanche data from their archives and for helpful suggestions. ARPA Lombardia is acknowledged for providing snow data. Funding for the research presented in the present paper was granted by the European Community. through the EU projects AWARE (EC contract 012257) and IRASMOS (EC Contract 018412) and by the CARIPLO foundation of Italy through the project CARIPANDA.</t>
  </si>
  <si>
    <t>10.1657/1938-4246-41.3.285</t>
  </si>
  <si>
    <t>484BU</t>
  </si>
  <si>
    <t>WOS:000269019100001</t>
  </si>
  <si>
    <t>Forbis, TA</t>
  </si>
  <si>
    <t>Forbis, Tara A.</t>
  </si>
  <si>
    <t>Negative Associations between Seedlings and Adult Plants in Two Alpine Plant Communities</t>
  </si>
  <si>
    <t>SPECIES-RICHNESS; POSITIVE INTERACTIONS; SEXUAL REPRODUCTION; SEED DISPERSAL; CENTRAL CHILE; HIGH ANDES; FACILITATION; ESTABLISHMENT; PATTERNS; COMPETITION</t>
  </si>
  <si>
    <t>Plant species' requirements at seed and seedling stages are critical in determining their distributions. Proximity to adult plants, as well as the presence of litter or rocks Oil the Soil surface call influence seedling Success. By comparing the microsite characteristics of points Occupied by naturally occurring seedlings to the characteristics Of unoccupied points in fellfield and dry, moist, and wet meadow alpine plant communities oil Niwot Ridge, Colorado, U.S.A., this study addresses the following questions: Arc seedlings more likely to be near all adult plant or ill litter than are unoccupied points'? Does the proximity of seedlings to adult plants vary among communities? In the fellfield community, are seedlings more likely to be located next to a rock than are unoccupied points'? I found that seedlings were farther from adult plants than were unoccupied points in the wet meadow. it community with dense vegetation cover and wet soils. Contrary to expectation. I also found that seedlings were farther from adult plants than were unoccupied points in the fellfield, the driest. most barren community. Seedlings were not more likely than unoccupied points to be located in areas of litter buildup, and fellfield seedlings did]lot Occur disproportionately within the protection of it rock. This study suggests that competition between adult plants and seedlings may be taking place both in highly productive and in very unproductive alpine Plant communities.</t>
  </si>
  <si>
    <t>[Forbis, Tara A.] ARS, USDA, Exot &amp; Invas Weeds Res Unit, Reno, NV 89512 USA</t>
  </si>
  <si>
    <t>United States Department of Agriculture (USDA)</t>
  </si>
  <si>
    <t>tforbis@unr.edu</t>
  </si>
  <si>
    <t>de Queiroz, Tara/AAG-1467-2019</t>
  </si>
  <si>
    <t>Niwot Ridge LTER Program (NSF) [DEB-9810218]; University of Colorado Department of Environmental, Populational and Organismic Biology</t>
  </si>
  <si>
    <t>Niwot Ridge LTER Program (NSF); University of Colorado Department of Environmental, Populational and Organismic Biology</t>
  </si>
  <si>
    <t>I thank J. sKrieger and R. Marlin for assistance with field work and A. de Queiroz for discussions. A de Queiroz, W. Longland, L. Turner, and W. D. Bowman provided comments on the manuscript. Funding came from the Niwot Ridge LTER Program (NSF DEB-9810218) and a fellowship from the University of Colorado Department of Environmental, Populational and Organismic Biology.</t>
  </si>
  <si>
    <t>10.1657/1938-4246-41.3.301</t>
  </si>
  <si>
    <t>WOS:000269019100002</t>
  </si>
  <si>
    <t>Jones, BM; Kolden, CA; Jandt, R; Abatzoglou, JT; Urban, F; Arp, CD</t>
  </si>
  <si>
    <t>Jones, Benjamin M.; Kolden, Crystal A.; Jandt, Randi; Abatzoglou, John T.; Urban, Frank; Arp, Christopher D.</t>
  </si>
  <si>
    <t>Fire Behavior, Weather, and Burn Severity of the 2007 Anaktuvuk River Tundra Fire, North Slope, Alaska</t>
  </si>
  <si>
    <t>SEWARD PENINSULA; VEGETATION; FOREST</t>
  </si>
  <si>
    <t>In 2007, the Anaktuvuk River Fire (ARF) became the largest recorded tundra fire Oil the North Slope of Alaska. The ARF burned for nearly three months. consuming more than 100,000 ha. At its peak in early September, the ARF burned at a rate of 7000 ha d(-1). The conditions potentially responsible for this large tundra fire include modeled record high summer temperature and record low summer precipitation, I late-season high-pressure system located over the Beaufort Sea, extremely dry soil conditions throughout the summer, and Sustained Southerly winds during the period of vegetation senescence. Burn severity mapping revealed that more than 80% of the ARF burned at moderate to extreme severity, while the nearby Kuparuk River Fire remained small and burned at predominantly (80%) low severity. While this study provides information that may aid in the prediction of Future large tundra Fires in northern Alaska, the fact that three other tundra fires that occurred in 2007 combined to burn less than 1000 ha Suggests site specific complexities associated with tundra fires on the North Slope, which may hamper the development Of tundra fire forecasting models.</t>
  </si>
  <si>
    <t>[Jones, Benjamin M.; Kolden, Crystal A.; Arp, Christopher D.] US Geol Survey, Alaska Sci Ctr, Anchorage, AK 99508 USA; [Jandt, Randi] Bur Land Management, Alaska Fire Serv, Ft Wainwright, AK 99703 USA; [Abatzoglou, John T.] San Jose State Univ, Dept Meteorol, San Jose, CA 95192 USA; [Urban, Frank] US Geol Survey, Denver Fed Ctr, Earth Surface Proc Team, Lakewood, CO 80225 USA; [Jones, Benjamin M.] Univ Alaska Fairbanks, Inst Geophys, Fairbanks, AK 99775 USA</t>
  </si>
  <si>
    <t>United States Department of the Interior; United States Geological Survey; California State University System; San Jose State University; United States Department of the Interior; United States Geological Survey; University of Alaska System; University of Alaska Fairbanks</t>
  </si>
  <si>
    <t>Jones, BM (corresponding author), US Geol Survey, Alaska Sci Ctr, 4210 Univ Dr, Anchorage, AK 99508 USA.</t>
  </si>
  <si>
    <t>bjones@usgs.gov</t>
  </si>
  <si>
    <t>Jandt, Randi R/E-9018-2013; Abatzoglou, John T/C-7635-2012; Abatzoglou, John T/ABE-6134-2020</t>
  </si>
  <si>
    <t>Abatzoglou, John T/0000-0001-7599-9750; Abatzoglou, John T/0000-0001-7599-9750; Jones, Benjamin/0000-0002-1517-4711; Arp, Christopher/0000-0002-6485-6225; Jandt, Randi/0000-0001-8471-792X; Kolden, Crystal/0000-0001-7093-4552</t>
  </si>
  <si>
    <t>U.S. Geological Survey Alaska Science Center; Bureau of Land Management</t>
  </si>
  <si>
    <t>U.S. Geological Survey Alaska Science Center(United States Geological Survey); Bureau of Land Management</t>
  </si>
  <si>
    <t>We kindly thank James Snyder, Jon Keeley, and two anonymous reviewers for their helpful comments. The NOAA merged land air and sea surface temperature data set was provided by the NOAA/OAR/ESRL PSD, Boulder, Colorado, U.S.A., from their Web site at http://www.cdc.noaa.gov/. Funding for this research was provided by the U.S. Geological Survey Alaska Science Center, and the Bureau of Land Management.</t>
  </si>
  <si>
    <t>10.1657/1938-4246-41.3.309</t>
  </si>
  <si>
    <t>WOS:000269019100003</t>
  </si>
  <si>
    <t>Koh, SC; Demmig-Adams, B; Adams, WW</t>
  </si>
  <si>
    <t>Koh, Seok Chan; Demmig-Adams, Barbara; Adams, William W., III</t>
  </si>
  <si>
    <t>Novel Patterns of Seasonal Photosynthetic Acclimation, Including Interspecific Differences, in Conifers over an Altitudinal Gradient</t>
  </si>
  <si>
    <t>WATER-VAPOR EXCHANGE; CARBON METABOLISM; LOW-TEMPERATURES; PINUS-PONDEROSA; HIGH-ELEVATION; HYDRAULIC CONDUCTANCE; XANTHOPHYLL CYCLE; EDDY COVARIANCE; GENE-EXPRESSION; CO2 FLUXES</t>
  </si>
  <si>
    <t>Photosynthesis, as the basis of most food chains and a crucial global carbon sink. makes chief contributions to overall ecosystem carbon budgets, but specific responses of the plant component cannot be obtained from such budgets. To gain much-needed further information oil possible interspecies differences in seasonal patterns of photosynthesis, capacities for light- and CO2-saturated rates of oxygen evolution at 25 degrees C (photosynthetic capacity) were determined during the summer-fall-winter transition for five conifer species over their natural distribution along it steep altitudinal gradient. Findings include (i) it transient upregulation of photosynthetic capacity during the summer-to-fall transition in all five conifer species that preceded the previously reported winter downregulation in conifers. However, there were (ii) interspecific differences in this response at the highest altitudes, with higher maximal photosynthetic capacities displayed by pine and Spruce species compared to fir species. Lastly, the winter downregulation of photosynthetic capacity was not its complete in the present study (winter of 2006) its that which has been reported for previous winter seasons. which has implications for the winter survival strategy of conifers in response to global warming.</t>
  </si>
  <si>
    <t>[Demmig-Adams, Barbara; Adams, William W., III] Univ Colorado, Dept Ecol &amp; Evolut, Boulder, CO 80309 USA; [Koh, Seok Chan] Jeju Natl Univ, Dept Biol, Cheju 690756, South Korea</t>
  </si>
  <si>
    <t>University of Colorado System; University of Colorado Boulder; Jeju National University</t>
  </si>
  <si>
    <t>Adams, WW (corresponding author), Univ Colorado, Dept Ecol &amp; Evolut, Boulder, CO 80309 USA.</t>
  </si>
  <si>
    <t>william.adams@colorado.edu</t>
  </si>
  <si>
    <t>Adams, William/R-2772-2019</t>
  </si>
  <si>
    <t>Jeju National University; University of Colorado at Boulder; City of Boulder Open Space and Mountain Parks; NSF; University of Colorado Mountain Research Station</t>
  </si>
  <si>
    <t>Jeju National University; University of Colorado at Boulder; City of Boulder Open Space and Mountain Parks; NSF(National Science Foundation (NSF)); University of Colorado Mountain Research Station</t>
  </si>
  <si>
    <t>This work was supported by Jeju National University through a sabbatical leave award granted to Koh in 2006-2007, and by the University of Colorado at Boulder. Permission to work on the trees in Gregory Canyon wits graciously granted by the City of Boulder Open Space and Mountain Parks, and to work on the trees at Niwot Ridge by the University of Colorado Mountain Research Station. Climatological data were provided by the NSF-supported Niwot Ridge Long-Term Ecological Research project and the University of Colorado Mountain Research Station. We also thank Skip Greene for permission to access the trees oil top of the ridge near Ward.</t>
  </si>
  <si>
    <t>10.1657/1938.4246-41.3.317</t>
  </si>
  <si>
    <t>WOS:000269019100004</t>
  </si>
  <si>
    <t>Maggioni, M; Freppaz, M; Piccini, P; Williams, MW; Zanini, E</t>
  </si>
  <si>
    <t>Maggioni, Margherita; Freppaz, Michele; Piccini, Paolo; Williams, Mark W.; Zanini, Ermanno</t>
  </si>
  <si>
    <t>Snow Cover Effects on Glacier Ice Surface Temperature</t>
  </si>
  <si>
    <t>NITROGEN MINERALIZATION; SOIL; RUNOFF</t>
  </si>
  <si>
    <t>Snowpack evolution and glacier ice surface temperatures were studied oil the Indren glacier (Northwestern Alps, Italy) under different meteorological conditions: ill winter 2002-2003, rich in snow from the beginning of the season, and in winter 20052006, poor in snow until February. Periodical snow profiles were made to measure the physical properties of snow. while data loggers measured the snow/ice interface temperature. Furthermore, in winter 2002-2003, the influence oil the snowpack evolution of ail artificial increase ill the snow density was evaluated. During the season rich in snow there was it prevalence of rounded crystals originated by melt-freeze metamorphism, while in the season poor in snow depth hoar and faceted crystals prevailed. due to the higher temperature gradient. From these two winter seasons, it appeared that a deep snow, cover of at least 100 cm was able to maintain the snow/ice temperature at around -5 degrees C until the snow cover reached isothermal conditions, whereas, during the winter of 2005-2006. the shallow depth of snow did not allow basal temperature to reach ail equilibrium value and the snow/ice interface temperature oscillated between -2 and -8 degrees C. The altered snow density had no effect oil the snow/ice interface temperature, whereas it Caused a delay in the time of reaching isothermal conditions, thus allowing snow cover on the glacier to persist longer.</t>
  </si>
  <si>
    <t>[Maggioni, Margherita; Freppaz, Michele; Piccini, Paolo; Zanini, Ermanno] Univ Turin, Di Va PRA Chim Agr &amp; Pedol, Lab Neve &amp; Suoli Alpini, I-10095 Grugliasco, TO, Italy; [Williams, Mark W.] Univ Colorado, Inst Arctic &amp; Alpine Res, Boulder, CO 80309 USA; [Williams, Mark W.] Univ Colorado, Dept Geog, Boulder, CO 80309 USA</t>
  </si>
  <si>
    <t>University of Turin; University of Colorado System; University of Colorado Boulder; University of Colorado System; University of Colorado Boulder</t>
  </si>
  <si>
    <t>Maggioni, M (corresponding author), Univ Turin, Di Va PRA Chim Agr &amp; Pedol, Lab Neve &amp; Suoli Alpini, 44 Via Leonardo da Vinci, I-10095 Grugliasco, TO, Italy.</t>
  </si>
  <si>
    <t>margherita.maggioni@unito.it</t>
  </si>
  <si>
    <t>Niwot Ridge Long-Term Ecological Research program; National Science Foundation of the U.S.A [DEB-0423662]</t>
  </si>
  <si>
    <t>Niwot Ridge Long-Term Ecological Research program; National Science Foundation of the U.S.A(National Science Foundation (NSF))</t>
  </si>
  <si>
    <t>This study was possible also thanks to the collaboration with Comando Truppe Alpine-Servizio Meteomont, MonterosaSki, Comune di Gressoney-La-Trinite, Alpine Guides of Alagna Valsesia, Ufficio Neve e Valanghe and Centro Funzionale of Regione Autonoma Valle d'Aosta, Emil Squinobal and Herve Jaccond, to whom we are grateful. Thanks to two anonymous reviewers who gave precious Suggestions to improve the manuscript. Manuscript writing was supported in part by the Niwot Ridge Long-Term Ecological Research program, with funding from the National Science Foundation of the U.S.A. (award DEB-0423662).</t>
  </si>
  <si>
    <t>10.1657/1938-4246-41.3.323</t>
  </si>
  <si>
    <t>WOS:000269019100005</t>
  </si>
  <si>
    <t>Olofsson, J</t>
  </si>
  <si>
    <t>Olofsson, Johan</t>
  </si>
  <si>
    <t>Effects of Simulated Reindeer Grazing, Trampling, and Waste Products on Nitrogen Mineralization and Primary Production</t>
  </si>
  <si>
    <t>YELLOWSTONE-NATIONAL-PARK; ARCTIC TUNDRA HEATH; PLANT-GROWTH; ECOSYSTEM PROCESSES; BOREAL FORESTS; SALT-MARSH; NUTRIENT AVAILABILITY; LITTER DECOMPOSITION; TEMPERATE GRASSLAND; MICROBIAL PROCESSES</t>
  </si>
  <si>
    <t>An experiment was conducted in arctic tundra to evaluate the role of reindeer grazing, trampling, and feces and urine deposition in nutrient turnover and primary production. Grazing was simulated by mowing. trampling by the impact of a wooden pole, and waste product deposition by the application of fertilizer. In the first year, aboveground primary production increased with simulated grazing in the fertilized plots and decreased with simulated grazing in the unfertilized plots; this indicates a higher regrowth capacity at higher nutrient levels. However, nitrogen mineralization and primary production were mainly determined by the input or removal of nutrients and, therefore, decreased in plots that were grazed but not fertilized and increased in plots that were fertilized but not grazed. Simulated trampling decreased the depth of the moss layer and increased soil temperatures, but the higher temperatures increased N mineralization only in unmowed plots, and the increased nitrogen availability was not translated into increased primary production. Since aboveground and belowground net primary production in plots with simulated grazing was the same as in plots without simulated animal activity, this study indicates that an entire trophic level can be supported with no apparent effect on primary production.</t>
  </si>
  <si>
    <t>Umea Univ, Dept Ecol &amp; Environm Sci, S-90187 Umea, Sweden</t>
  </si>
  <si>
    <t>Umea University</t>
  </si>
  <si>
    <t>Olofsson, J (corresponding author), Umea Univ, Dept Ecol &amp; Environm Sci, S-90187 Umea, Sweden.</t>
  </si>
  <si>
    <t>johan.olofsson@emg.umu.se</t>
  </si>
  <si>
    <t>Olofsson, Johan/A-9362-2009</t>
  </si>
  <si>
    <t>Swedish Research Council for Environment, Agricultural Sciences and Spatial Planning; Stiftelsen Oscar och Lili Lamms Minne</t>
  </si>
  <si>
    <t>Swedish Research Council for Environment, Agricultural Sciences and Spatial Planning(Swedish Research Council Formas); Stiftelsen Oscar och Lili Lamms Minne</t>
  </si>
  <si>
    <t>I stayed at the Abisko Scientific Research Station while I conducted this study. This study was supported by grants from the Swedish Research Council for Environment, Agricultural Sciences and Spatial Planning and from Stiftelsen Oscar och Lili Lamms Minne. Sari Stark and Rene Van der Wal made valuable comments on a previous version of this paper.</t>
  </si>
  <si>
    <t>10.1657/1938-4246-41.3.330</t>
  </si>
  <si>
    <t>WOS:000269019100006</t>
  </si>
  <si>
    <t>Pickering, CM</t>
  </si>
  <si>
    <t>Pickering, Catherine Marina</t>
  </si>
  <si>
    <t>Pre-dispersal Seed Predation by Tephritidae Is Common among Species of Australian Alpine Asteraceae</t>
  </si>
  <si>
    <t>SNOWY MOUNTAINS; POLLINATORS; SELECTION; HERBIVORY; PLANTS</t>
  </si>
  <si>
    <t>This study examined levels of predation (% flower heads with insects and/or damage) and number of Tephritidae (seed-fly) in flower heads of 29 species of Australian alpine Asteraceae. Pre-dispersal seed predation was common among the Asteraceae, with all but four species with some flower heads containing Tephritidae. Levels of predation within species were also high, with most flower heads damaged in just under half of the species, and &gt;90% of flower heads damaged in five species. Three species had flower heads containing Tephritis bushi (Diptera: Tephritidae, sp. nov.) while 23 species had flower heads containing Tephritis poenia (Diptera: Tephritidae (Walter)). Among species levels of all predation and number of Tephritidae per flower head were positively correlated with the diameter of the flower head, but not the color or type of flower head. The expected positive association between pre-dispersal seed predation and altitude and the negative association between predation and flowering time were uncommon among populations of 10 species tested. These results indicate that pre-dispersal seed predation is likely to be all important factor in the reproductive ecology of alpine Asteraceae, with species with larger diameter flower heads having higher levels of predation and more Tephritidae per flower head.</t>
  </si>
  <si>
    <t>Griffith Univ, Sch Environm, Gold Coast, Qld 4222, Australia</t>
  </si>
  <si>
    <t>Griffith University; Griffith University - Gold Coast Campus</t>
  </si>
  <si>
    <t>Pickering, CM (corresponding author), Griffith Univ, Sch Environm, Gold Coast, Qld 4222, Australia.</t>
  </si>
  <si>
    <t>c.pickering@griffith.edu.au</t>
  </si>
  <si>
    <t>Pickering, Catherine/0000-0002-3731-5407</t>
  </si>
  <si>
    <t>10.1657/1938-4246-41.3.339</t>
  </si>
  <si>
    <t>Bronze, Green Published, Green Submitted</t>
  </si>
  <si>
    <t>WOS:000269019100007</t>
  </si>
  <si>
    <t>Randin, CF; Vuissoz, G; Liston, GE; Vittoz, P; Guisan, A</t>
  </si>
  <si>
    <t>Randin, Christophe F.; Vuissoz, Gregoire; Liston, Glen E.; Vittoz, Pascal; Guisan, Antoine</t>
  </si>
  <si>
    <t>Introduction of Snow and Geomorphic Disturbance Variables into Predictive Models of Alpine Plant Distribution in the Western Swiss Alps</t>
  </si>
  <si>
    <t>OPERATING CHARACTERISTIC CURVES; HABITAT DISTRIBUTION MODELS; GLACIER-NATIONAL-PARK; CLIMATE-CHANGE; SPECIES DISTRIBUTION; TREE ANALYSIS; VEGETATION; DIVERSITY; PATTERNS; NICHE</t>
  </si>
  <si>
    <t>Indirect topographic variables have been used successfully its surrogates for disturbance processes in plant species distribution models (SDM) in Mountain environments. However, no SDM Studies have directly tested the performance of disturbance variables. In this study, we developed two disturbance variables: it geomorphic index (GEO) and all index of snow redistribution by wind (SNOW). These were developed in order to assess how they improved both the fit and predictive power of presence-absence SDM based On commonly used topoclimatic (TC) variables for 91 plants in the Western Swiss Alps. The individual Contribution of the disturbance variables was compared to TC variables. Maps of models were prepared to spatially test the effect of disturbance variables. On average, disturbance variables significantly improved the fin but not the predictive power of the TC models and their individual contribution was weak (5.6% for GEO and 3.3% for SNOW). However their maximum individual contribution was important (24.7% and 20.7%). Finally, maps including disturbance variables (i) were significantly divergent from TC models in terms of predicted suitable surfaces and connectivity between potential habitats, and (ii) were interpreted its more ecologically relevant. Disturbance variables did not improve the transferability of models in the local scale in a complex mountain system, and the performance and contribution Of these variables were highly species-specific. However, improved spatial projections and change in connectivity are important issues When preparing projections under climate change because the future range size of the species win determine the sensitivity to changing conditions.</t>
  </si>
  <si>
    <t>[Randin, Christophe F.; Vuissoz, Gregoire; Guisan, Antoine] Univ Lausanne, Dept Ecol &amp; Evolut, Lab Conservat Biol, ECOSPAT Grp, CH-1015 Lausanne, Switzerland; [Liston, Glen E.] Colorado State Univ, Cooperat Inst Res Atmosphere, Ft Collins, CO 80523 USA; [Vittoz, Pascal] Univ Lausanne, Fac Geosci &amp; Environm, CH-1015 Lausanne, Switzerland</t>
  </si>
  <si>
    <t>University of Lausanne; Colorado State University; University of Lausanne</t>
  </si>
  <si>
    <t>Randin, CF (corresponding author), Univ Lausanne, Dept Ecol &amp; Evolut, Lab Conservat Biol, ECOSPAT Grp, CH-1015 Lausanne, Switzerland.</t>
  </si>
  <si>
    <t>Christophe.Randin@unil.ch</t>
  </si>
  <si>
    <t>Guisan, Antoine/A-1057-2011; Randin, Christophe F/K-6969-2016</t>
  </si>
  <si>
    <t>Guisan, Antoine/0000-0002-3998-4815; Randin, Christophe F/0000-0002-4171-0178; Vittoz, Pascal/0000-0003-4218-4517</t>
  </si>
  <si>
    <t>Centre de Conservation de la Nature (SFFN) of the Canton de Vaud; Swiss National Science Foundation (SNF) [3100A0-110000]; European Commission</t>
  </si>
  <si>
    <t>Centre de Conservation de la Nature (SFFN) of the Canton de Vaud; Swiss National Science Foundation (SNF)(Swiss National Science Foundation (SNSF)); European Commission(European Union (EU)European Commission Joint Research Centre)</t>
  </si>
  <si>
    <t>This study was supported by the Centre de Conservation de la Nature (SFFN) of the Canton de Vaud, the Swiss National Science Foundation (SNF Grant No 3100A0-110000), and the European Commission (FP6 projects ECOCHANGE and MACIS). We thank all the people who helped with the Field work in the Swiss Western Alps within the MODIPLANT project, particularly Stefanie Maire and Dario Martinoni. as well as Severine Widler, Chantal Peverelli, Valentine Hof, Lorenzo De Stefani, Roxane Milleret, Anny and Willy Berra, Christian Parisod, and Stephanie Spahr. We also thank Dr. Emmanuel Reynard and Christophe Lambiel for their useful comments on the manuscript. Randin and Guisan greatly benefited from interactions with colleagues within the Swiss National Centre for Competence in Research (NCCR) Plant survival in natural and agricultural ecosystems (http:// www.uninc.ch/nccr).</t>
  </si>
  <si>
    <t>10.1657/1938-4246-41.3.347</t>
  </si>
  <si>
    <t>WOS:000269019100008</t>
  </si>
  <si>
    <t>Seidel, TM; Weihrauch, DM; Kimball, KD; Pszenny, AAP; Soboleski, R; Crete, E; Murray, G</t>
  </si>
  <si>
    <t>Seidel, Thomas M.; Weihrauch, Douglas M.; Kimball, Kenneth D.; Pszenny, Alexander A. P.; Soboleski, Rita; Crete, Elena; Murray, Georgia</t>
  </si>
  <si>
    <t>Evidence of Climate Change Declines with Elevation Based on Temperature and Snow Records from 1930s to 2006 on Mount Washington, New Hampshire, USA</t>
  </si>
  <si>
    <t>EARLY SPRING MICROCLIMATE; NEW-ENGLAND; AIR-TEMPERATURE; PRESIDENTIAL RANGE; PLANT-COMMUNITIES; WHITE MOUNTAINS; ALPINE PLANTS; TRENDS; WINTER; HOMOGENIZATION</t>
  </si>
  <si>
    <t>Mount Washington, New Hampshire, has the longest northeastern U.S. mountain climatological record (1930s to present), both at the summit (1914 m) and at Pinkham Notch (612 in). Pinkham's homogenized daily temperature exhibits annual (mean = +0.07 degrees C/decade, p = 0.07 min +0.11 degrees C/decade, p = 0.01), winter (min = +0.18 degrees C/decade, p = 0.07), spring (max +0.13 degrees C/decade, p = 0.10), and summer (min = +0.11 degrees C/decade, p = 0.01) warming trends. Though suggesting annual, winter, and spring warming (0.05 to 0.12 degrees C/decade), mean summit temperature trends were not significant. Pinkham shows no significant change in date of first and last snow, however, the summit does but its period of record is shorter. Onset of continuous snow cover has not changed significantly at either site. Thawing degree days trended earlier at the summit (2.8 days/decade; p = 0.01) and Pinkham Notch (1.6 days/decade, p &lt; 0.01), but end of continuous snow cover trended significantly earlier (1.6 days/decade; p = 0.02) only at Pinkham. Growing degree days showed no significant trends at either location. Pinkham exhibits more climatic change than the summit but less than regional lower elevations. Thermal inversions and high incidence of cloud fog commonly at or above the regional atmospheric boundary layer may explain the summit's resistance to climate warming. Caution is needed when extrapolating climate change trends from other Mountains or proximate lower elevation climate data to upper elevations.</t>
  </si>
  <si>
    <t>[Weihrauch, Douglas M.; Kimball, Kenneth D.; Murray, Georgia] Appalachian Mt Club, Res Dept, Gorham, NH 03581 USA; [Seidel, Thomas M.; Pszenny, Alexander A. P.; Soboleski, Rita] Mt Washington Observ, N Conway, NH 03860 USA; [Pszenny, Alexander A. P.; Crete, Elena] Univ New Hampshire, Inst Study Earth Oceans &amp; Space, Durham, NH 03824 USA</t>
  </si>
  <si>
    <t>University System Of New Hampshire; University of New Hampshire</t>
  </si>
  <si>
    <t>Kimball, KD (corresponding author), Appalachian Mt Club, Res Dept, POB 298, Gorham, NH 03581 USA.</t>
  </si>
  <si>
    <t>kkimball@outdoors.org</t>
  </si>
  <si>
    <t>Weihrauch, Douglas/0000-0001-6960-9760</t>
  </si>
  <si>
    <t>Office of Oceanic and Atmospheric Research at NOAA [NA06OAR4600209, NA06OAR4600189]</t>
  </si>
  <si>
    <t>Office of Oceanic and Atmospheric Research at NOAA(National Oceanic Atmospheric Admin (NOAA) - USA)</t>
  </si>
  <si>
    <t>Financial support was provided by the Office of Oceanic and Atmospheric Research at NOAA under grants NA060AR4600209 and NA06OAR4600189. Larry Garland of the Appalachian Mountain Club provided the maps. Thanks are due to the dedicated observatory staff who have collected the summit data over the decades, especially current Director of Summit Operations Ken Rancourt the volunteers who helped with data entry; those who helped establish, maintain and operate the Pinkham COOP Station; and those who helped reconstruct the Pinkham station history: J. Brooks Dodge, Jr., Michael Walsh, Peter Crane, and Dennis McIntosh. Two anonymous reviewers provided valuable comments on the original manuscript.</t>
  </si>
  <si>
    <t>10.1657/1938-4246-41.3.362</t>
  </si>
  <si>
    <t>WOS:000269019100009</t>
  </si>
  <si>
    <t>Sutinen, R; Vajda, A; Hänninen, P; Sutinen, ML</t>
  </si>
  <si>
    <t>Sutinen, Raimo; Vajda, Andrea; Hanninen, Pekka; Sutinen, Marja-Liisa</t>
  </si>
  <si>
    <t>Significance of Snowpack for Root-zone Water and Temperature Cycles in Subarctic Lapland</t>
  </si>
  <si>
    <t>SOIL-TEMPERATURE; CLIMATE; STEMS; FROST; TRANSMISSION; TIMBERLINE; VEGETATION; GROWTH; COVER; TREES</t>
  </si>
  <si>
    <t>Snowmelt timing is a critical factor for tree growth ill high latitudes, but threshold conditions with respect to Soil Moisture availability and soil temperature for the root-zone processes are not well known. We monitored snowpack thickness, air and soil temperature, and water content in the soil. sapwood, and roots of downy birch (Betula pubescens Roth.) in Finnish Lapland through 1999-2003. An extreme cold event in January 1999 (T-AIR = -49 degrees C) resulted in soil freezing (at 10-cm depth) down to T-10 = -26 degrees C at a snow-free site, but beneath the 50-cm-thick snowpack the soil temperature was T-10 = -0.5 degrees C. Snowmelt water was able to infiltrate partially frozen soil sequences. such that all increase in water content of the soil and birch roots Occurred two to six weeks before soil temperatures rose notably above 0 degrees C. The soil T-10 reached +0 degrees C a week after the disappearance of snow. The increase in water content of birch trunks was coincidental with the air temperature rises notably above 0 degrees C. The systematic interseasonal pattern of water content in the birch root-trunk system, i.e. high peaks in late winter-early spring and fall, Suggests Sap now in downy birch.</t>
  </si>
  <si>
    <t>[Sutinen, Raimo] Geol Survey Finland, FIN-96101 Rovaniemi, Finland; [Vajda, Andrea] Finnish Meteorol Inst, FIN-00101 Helsinki, Finland; [Hanninen, Pekka] Geol Survey Finland, FIN-02150 Espoo, Finland; [Sutinen, Marja-Liisa] Finnish Forest Res Inst, FIN-96300 Rovaniemi, Finland</t>
  </si>
  <si>
    <t>Geological Survey of Finland (GTK); Finnish Meteorological Institute; Geological Survey of Finland (GTK); Natural Resources Institute Finland (Luke)</t>
  </si>
  <si>
    <t>Sutinen, R (corresponding author), Geol Survey Finland, POB 77, FIN-96101 Rovaniemi, Finland.</t>
  </si>
  <si>
    <t>raimo.sutinen@gtk.fi; andrea.vajda@fmi.fi; pekka.hanninen@gtk.fi; marja-liisa.sutinen@metla.fi</t>
  </si>
  <si>
    <t>10.1657/1938-4246-41.3.373</t>
  </si>
  <si>
    <t>WOS:000269019100010</t>
  </si>
  <si>
    <t>Venn, SE; Morgan, JW; Green, PT</t>
  </si>
  <si>
    <t>Venn, Susanna E.; Morgan, John W.; Green, Peter T.</t>
  </si>
  <si>
    <t>Do Facilitative Interactions with Neighboring Plants Assist the Growth of Seedlings at High Altitudes in Alpine Australia?</t>
  </si>
  <si>
    <t>POSITIVE INTERACTIONS; COMMUNITIES; COMPETITION; VEGETATION; ESTABLISHMENT; DISTURBANCE; PATTERNS; GERMINATION; GRADIENTS; INCREASE</t>
  </si>
  <si>
    <t>During the early life-history stages. plants are especially susceptible to the abiotic conditions present ill high Mountain environments. At high altitudes, facilitative interactions between close neighboring plants may buffer seedlings from these abiotic pressures by providing shelter from frosts and winds. At lower altitudes, seedlings may not be so limited by the abiotic environment, and may therefore compete for resources with close neighboring plants. Using four alpine sites at different elevations (representing all abiotic stress gradient). we investigated how the presence of close neighboring plants influences seedling growth in their first growing season. We experimentally cleared above-ground vegetation and transplanted seedlings of three species into cleared and control plots. We quantified the stress gradient of abiotic conditions across sites by measuring ambient and soil temperatures, soil moisture, and soil frost heave. We used the Relative Neighbor Effect index to show the direction of the interaction between transplanted seedlings and their close neighboring plants. Aciphylla glacialis seedlings showed neutral interactions across the gradient of alpine sites, with undetectable change across the growing season. compared with Brachyscome rigidula seedlings which showed positive interactions with neighbors across the growing season at most sites. Trisetum spicatum seedlings showed mostly neutral interactions with neighbors at the higher elevations, and often negative interactions at the lower elevations. particularly midway through the growing season. Our findings highlight the importance of spatial and temporal plant-plant interactions with regard to seedling performance across altitudinal stress gradients.</t>
  </si>
  <si>
    <t>[Venn, Susanna E.; Morgan, John W.; Green, Peter T.] La Trobe Univ, Dept Bot, Bundoora, Vic 3086, Australia</t>
  </si>
  <si>
    <t>La Trobe University</t>
  </si>
  <si>
    <t>Venn, SE (corresponding author), New S Wales Natl Parks &amp; Wildlife Serv, POB 2228, Jindabyne, NSW 2627, Australia.</t>
  </si>
  <si>
    <t>Susanna.venn@environment.nsw.gov.au</t>
  </si>
  <si>
    <t>Venn, Susanna/0000-0002-7433-0120</t>
  </si>
  <si>
    <t>Australian Post-Graduate Research Award; Holsworth Wildlife Research Fund; Australian Geographic Society; Ecological Society of Australia; Department of Botany at La Trobe University</t>
  </si>
  <si>
    <t>This research was conducted under Permit No. 10002497 (Department of Sustainability and Environment). Seraphina Cutler, Samantha Grover, Paul Smart, Nathan Wong, Vanessa Carnegie, Daryl Jackson, and James Martindale Shannon helped undertake field work, often under trying conditions. Andrew Markwick (Parks Victoria) provided logistical support and encouragement. Susanna Venn was supported by an Australian Post-Graduate Research Award. Bob Parsons and two anonymous referees greatly improved early versions of the manuscript. The Holsworth Wildlife Research Fund, Australian Geographic Society, Ecological Society of Australia, and the Department of Botany at La Trobe University provided Financial support.</t>
  </si>
  <si>
    <t>10.1657/1938-4246-41.3.381</t>
  </si>
  <si>
    <t>WOS:000269019100011</t>
  </si>
  <si>
    <t>Wagner, I; Simons, AM</t>
  </si>
  <si>
    <t>Wagner, Ioan; Simons, Andrew M.</t>
  </si>
  <si>
    <t>Divergent Norms of Reaction to Temperature in Germination Characteristics among Populations of the Arctic-Alpine Annual, Koenigia islandica</t>
  </si>
  <si>
    <t>PHACELIA-SECUNDA HYDROPHYLLACEAE; SEED-GERMINATION; PLANT; ECOLOGY; REGRESSION; DORMANCY; GROWTH; STRATEGIES; EVOLUTION; RESPONSES</t>
  </si>
  <si>
    <t>The timing of germination is a critical life-history trait for annual plants because it coordinates development from seedling to reproduction with the growing season. Arctic/alpine annuals are subject to the constraints of an especially brief growing season in which temperature both acts as a germination cue and limits growth. The evolution of phenotypic plasticity in response to temperature is thus expected, measured as norms of reaction. Strong selection in combination with differences among habitats in appropriate temperature cues leads to the expectation of population divergence in norms of reaction. Their form may be complex; no a priori mathematical distribution can be assumed. Here, we use nonparametric smoothing (Loess) to detail norms of reaction of germination to temperature, and find significant genetic divergence among six widely distributed arctic and alpine populations of the annual Koenigia islandica from Norway, the U.S.A., and Canada. Germination plasticity is discussed in relation to temperature regimes recorded under field conditions; however, any adaptive inference based on lab observations must be interpreted cautiously. The present results indicate strong population differentiation in plasticity, and highlight the necessity to consider evolved differences in life-history traits when evaluating the vulnerability of arctic and alpine species to a changing climate.</t>
  </si>
  <si>
    <t>[Wagner, Ioan; Simons, Andrew M.] Carleton Univ, Dept Biol, Ottawa, ON K1S 5B6, Canada</t>
  </si>
  <si>
    <t>Wagner, I (corresponding author), Queens Univ, Dept Geog, Kingston, ON K7L 3N6, Canada.</t>
  </si>
  <si>
    <t>jwagner@ccs.carleton.ca</t>
  </si>
  <si>
    <t>Simons, Andrew M/A-7751-2012</t>
  </si>
  <si>
    <t>Simons, Andrew/0000-0002-0198-465X</t>
  </si>
  <si>
    <t>Natural Sciences and Engineering Research Council (NSERC) of Canada</t>
  </si>
  <si>
    <t>Natural Sciences and Engineering Research Council (NSERC) of Canada(Natural Sciences and Engineering Research Council of Canada (NSERC))</t>
  </si>
  <si>
    <t>We are grateful to O. Heide for providing the seeds from southern Norway and for advice ill Constructing the thermogradient incubator. We thank M. Vetter for collecting the seeds of the Yukon population, S. Aiken and M. Koticrk for collecting the seeds of the Iqaluit population, and I. Jonsdottir for collecting the seeds from Svalbard and for help with the iButton experiment. We would also like to thank S. Popovich for permission to collect seeds in the Mount Evans Wilderness and for assistance with the iButlon experiment, T. Terrell for permission to work ill the Rocky Mountain National Park. R. Bray for assistance with collecting seeds and help with the iButton experiment. B. Dobson for permission to work in Jasper National Park, J. McLaren tor assistance with the iButton experiment, S. Wagner for help with collecting seeds, and L. Nilsen for help with the climate data. This work was supported by a Natural Sciences and Engineering Research Council (NSERC) of Canada Discovery grant to A. M. Simons.</t>
  </si>
  <si>
    <t>10.1657/1938-4246-41.3.388</t>
  </si>
  <si>
    <t>WOS:000269019100012</t>
  </si>
  <si>
    <t>Zhong, L; Ma, YM; Su, ZB; Lu, LX; Ma, WQ; Lu, YQ</t>
  </si>
  <si>
    <t>Zhong, Lei; Ma, Yaoming; Su, Zhongbo; Lu, Lixin; Ma, Weiqiang; Lu, Yaqiong</t>
  </si>
  <si>
    <t>Land-Atmosphere Energy Transfer and Surface Boundary Layer Characteristics in the Rongbu Valley on the Northern Slope of Mt. Everest</t>
  </si>
  <si>
    <t>TIBETAN PLATEAU; HEAT-FLUX; TURBULENCE; DESERT; BUDGET; AREA</t>
  </si>
  <si>
    <t>The land-atmosphere interaction processes are unique at Mt. Everest as a result of high elevation. Based on turbulent data collected from April 2005 to March 2006 with the eddy covariance method at Quzong in the Rongbu Valley on the northern slope of Mt. Everest, land-atmosphere energy budget before and after the southwest monsoon onset and surface layer turbulent characteristics are Studied for the first time. It is found that energy budget components (net radiation flux, sensible heat flux, latent heat flux, and soil heat flux) and surface heating field have strong diurnal and seasonal variations. In particular under the influence of the southwest, monsoon, the characteristics of surface parameters can be clearly identified. From pre-monsoon to monsoon season, the sensible heat flux decreases whereas the latent heat flux increases. The latent heat flux and Evaporative Fraction at Quzong are relatively high most of the year. Furthermore, the intensity of heating source in the wet season (from June to August) is much greater than that in the dry season (from October to December). The relationship between normalized standard deviation of wind speed and atmospheric stability, variations of normalized standard deviation of temperature, and humidity with atmospheric stability are analyzed using the Monin-Obukhov similarity theory. The result reveals that the normalized standard deviation of velocity components of the three-dimensional wind speed follows similarity relationships in the convective and near-neutral surface layer, but does not seem to be valid in stable surface layer. However, the normalized standard deviation of temperature and humidity does not obey Monin-Obukhov similarity theory in the entire interval of atmospheric stratifications.</t>
  </si>
  <si>
    <t>[Zhong, Lei; Ma, Yaoming; Lu, Yaqiong] Chinese Acad Sci, Inst Tibetan Plateau Res, Beijing 100085, Peoples R China; [Zhong, Lei; Su, Zhongbo] Int Inst Geoinformat Sci &amp; Earth Observat, Dept Water Resources, NL-7500 AA Enschede, VV, Netherlands; [Zhong, Lei] China Meteorol Adm, Lanzhou Inst Arid Meteorol, Lanzhou 730020, Gansu, Peoples R China; [Ma, Yaoming; Lu, Lixin] Beijing Normal Univ, Sch Geog &amp; Remote Sensing, Beijing 100875, Peoples R China; [Lu, Lixin] Colorado State Univ, Dept Atmospher Sci, Ft Collins, CO 80523 USA; [Ma, Weiqiang] Chinese Acad Sci, Cold &amp; Arid Reg Environm &amp; Engn Res Inst, Lanzhou 730000, Gansu, Peoples R China</t>
  </si>
  <si>
    <t>Chinese Academy of Sciences; Institute of Tibetan Plateau Research, CAS; China Meteorological Administration; Beijing Normal University; Colorado State University; Chinese Academy of Sciences; Cold &amp; Arid Regions Environmental &amp; Engineering Research Institute, CAS</t>
  </si>
  <si>
    <t>Zhong, L (corresponding author), Chinese Acad Sci, Inst Tibetan Plateau Res, POB 2871,18 Shuangqing Rd, Beijing 100085, Peoples R China.</t>
  </si>
  <si>
    <t>lei@itc.nl</t>
  </si>
  <si>
    <t>Zhong, Lei/HSD-1548-2023; Zhong, Lei/IZE-0756-2023; Su, Z./D-4383-2009; Zhong, Lei/H-3126-2015; Lu, Yaqiong/K-6930-2014; Ma, Weiqiang/I-9335-2014</t>
  </si>
  <si>
    <t>Zhong, Lei/0000-0001-8003-0856; Ma, Weiqiang/0000-0003-2643-9655; Su, Zhongbo/0000-0003-2096-1733</t>
  </si>
  <si>
    <t>National Natural Science Foundation of China [40825015, 40810059006, 40705004]; Opening Foundation of Institute of Plateau Meteorology, China Meteorological Administration [LPM2006011]; Arid Meteorology Science Foundation of Gansu Provincial Key Laboratory of Arid Climatic Change and Disaster Reduction, Lanzhou Institute of Arid Meteorology, China Meteorological Administration [IAM200810]</t>
  </si>
  <si>
    <t>National Natural Science Foundation of China(National Natural Science Foundation of China (NSFC)); Opening Foundation of Institute of Plateau Meteorology, China Meteorological Administration; Arid Meteorology Science Foundation of Gansu Provincial Key Laboratory of Arid Climatic Change and Disaster Reduction, Lanzhou Institute of Arid Meteorology, China Meteorological Administration</t>
  </si>
  <si>
    <t>This research was financed by the National Natural Science Foundation of China (40825015, 40810059006, and 40705004), Opening Foundation of Institute of Plateau Meteorology, China Meteorological Administration (LPM2006011), and Arid Meteorology Science Foundation of Gansu Provincial Key Laboratory of Arid Climatic Change and Disaster Reduction, Lanzhou Institute of Arid Meteorology, China Meteorological Administration (IAM200810). We are very grateful to anonymous reviewers for their constructive and insightful comments. We also thank all the participants ill the field observation for their hard work and cooperation.</t>
  </si>
  <si>
    <t>10.1657/1938-4246-41.3.396</t>
  </si>
  <si>
    <t>WOS:000269019100013</t>
  </si>
  <si>
    <t>Gorham, PW; Allison, P; Barwick, SW; Beatty, JJ; Besson, DZ; Binns, WR; Chen, C; Chen, P; Clem, JM; Connolly, A; Dowkontt, PF; DuVernois, MA; Field, RC; Goldstein, D; Goodhue, A; Hast, C; Hebert, CL; Hoover, S; Israel, MH; Kowalski, J; Learned, JG; Liewer, KM; Link, JT; Lusczek, E; Matsuno, S; Mercurio, BC; Miki, C; Miocinovic, P; Nam, J; Naudet, CJ; Nichol, RJ; Palladino, K; Reil, K; Romero-Wolf, A; Rosen, M; Ruckman, L; Saltzberg, D; Seckel, D; Varner, GS; Walz, D; Wang, Y; Williams, C; Wu, F</t>
  </si>
  <si>
    <t>Gorham, P. W.; Allison, P.; Barwick, S. W.; Beatty, J. J.; Besson, D. Z.; Binns, W. R.; Chen, C.; Chen, P.; Clem, J. M.; Connolly, A.; Dowkontt, P. F.; DuVernois, M. A.; Field, R. C.; Goldstein, D.; Goodhue, A.; Hast, C.; Hebert, C. L.; Hoover, S.; Israel, M. H.; Kowalski, J.; Learned, J. G.; Liewer, K. M.; Link, J. T.; Lusczek, E.; Matsuno, S.; Mercurio, B. C.; Miki, C.; Miocinovic, P.; Nam, J.; Naudet, C. J.; Nichol, R. J.; Palladino, K.; Reil, K.; Romero-Wolf, A.; Rosen, M.; Ruckman, L.; Saltzberg, D.; Seckel, D.; Varner, G. S.; Walz, D.; Wang, Y.; Williams, C.; Wu, F.</t>
  </si>
  <si>
    <t>ANITA Collaboration</t>
  </si>
  <si>
    <t>The Antarctic Impulsive Transient Antenna ultra-high energy neutrino detector: Design, performance, and sensitivity for the 2006-2007 balloon flight</t>
  </si>
  <si>
    <t>ASTROPARTICLE PHYSICS</t>
  </si>
  <si>
    <t>Neutrinos; Ultra-high energy cosmic rays; Askaryan effect; Long-duration balloon payload</t>
  </si>
  <si>
    <t>EXTENSIVE AIR-SHOWERS; RADIO PULSES; LIGHT TRANSMISSION; RUNAWAY BREAKDOWN; EMISSION; CHARGE; MODEL; FLUX</t>
  </si>
  <si>
    <t>We present a comprehensive report on the experimental details of the Antarctic Impulsive Transient Antenna (ANITA) long-duration balloon payload, including the design philosophy and realization, physics simulations, performance of the instrument during its first Antarctic flight completed in January of 2007, and expectations for the limiting neutrino detection sensitivity. (C) 2009 Elsevier B.V. All rights reserved.</t>
  </si>
  <si>
    <t>[Gorham, P. W.; Allison, P.; Hebert, C. L.; Kowalski, J.; Learned, J. G.; Link, J. T.; Matsuno, S.; Miki, C.; Miocinovic, P.; Romero-Wolf, A.; Rosen, M.; Ruckman, L.; Varner, G. S.] Univ Hawaii, Dept Phys &amp; Astron, Manoa, HI 96822 USA; [Barwick, S. W.; Goldstein, D.; Nam, J.; Wu, F.] Univ Calif Irvine, Irvine, CA 92697 USA; [Beatty, J. J.; Mercurio, B. C.; Palladino, K.; Williams, C.] Ohio State Univ, Dept Phys, Columbus, OH 43210 USA; [Besson, D. Z.] Univ Kansas, Dept Phys &amp; Astron, Lawrence, KS 66045 USA; [Binns, W. R.; Dowkontt, P. F.; Israel, M. H.] Washington Univ, Dept Phys, St Louis, MO 63130 USA; [Chen, C.; Chen, P.; Field, R. C.; Hast, C.; Reil, K.; Walz, D.] Stanford Linear Accelerator Ctr, Menlo Pk, CA 94025 USA; [Clem, J. M.; Seckel, D.] Univ Delaware, Dept Phys, Newark, DE 19716 USA; [Connolly, A.; Nichol, R. J.] UCL, Dept Phys, London, England; [Goodhue, A.; Hoover, S.; Saltzberg, D.] Univ Calif Los Angeles, Dept Phys &amp; Astron, Los Angeles, CA 90095 USA; [DuVernois, M. A.; Lusczek, E.] Univ Minnesota, Sch Phys &amp; Astron, Minneapolis, MN 55455 USA; [Liewer, K. M.; Naudet, C. J.] CALTECH, Jet Prop Lab, Pasadena, CA 91109 USA; [Nam, J.; Wang, Y.] Natl Taiwan Univ, Dept Phys, Taipei, Taiwan</t>
  </si>
  <si>
    <t>University of Hawaii System; University of Hawaii Manoa; University of California System; University of California Irvine; University System of Ohio; Ohio State University; University of Kansas; Washington University (WUSTL); Stanford University; United States Department of Energy (DOE); SLAC National Accelerator Laboratory; University of Delaware; University of London; University College London; University of California System; University of California Los Angeles; University of Minnesota System; University of Minnesota Twin Cities; National Aeronautics &amp; Space Administration (NASA); NASA Jet Propulsion Laboratory (JPL); California Institute of Technology; National Taiwan University</t>
  </si>
  <si>
    <t>Gorham, PW (corresponding author), Univ Hawaii, Dept Phys &amp; Astron, Manoa, HI 96822 USA.</t>
  </si>
  <si>
    <t>gorham@phys.hawaii.edu</t>
  </si>
  <si>
    <t>Beatty, James/D-9310-2011; Vieregg, Abigail/D-2287-2012; Connolly, Amy Lynn/J-3958-2013; Chen, Pisin/IAO-8769-2023; Nichol, Ryan/C-1645-2008</t>
  </si>
  <si>
    <t>Beatty, James/0000-0003-0481-4952; Chen, Pisin/0000-0001-5251-7210; Nichol, Ryan/0000-0003-0557-0443; Gorham, Peter/0000-0002-0923-9363; Goldstein, David/0000-0003-3654-8142; Allison, Patrick/0000-0001-8141-2653; Lusczek, Elizabeth/0000-0003-4680-965X</t>
  </si>
  <si>
    <t>Science and Technology Facilities Council [PP/E006876/1] Funding Source: researchfish; STFC [PP/E006876/1] Funding Source: UKRI</t>
  </si>
  <si>
    <t>0927-6505</t>
  </si>
  <si>
    <t>1873-2852</t>
  </si>
  <si>
    <t>ASTROPART PHYS</t>
  </si>
  <si>
    <t>Astropart Phys.</t>
  </si>
  <si>
    <t>10.1016/j.astropartphys.2009.05.003</t>
  </si>
  <si>
    <t>Astronomy &amp; Astrophysics; Physics, Particles &amp; Fields</t>
  </si>
  <si>
    <t>Astronomy &amp; Astrophysics; Physics</t>
  </si>
  <si>
    <t>505MZ</t>
  </si>
  <si>
    <t>WOS:000270699200002</t>
  </si>
  <si>
    <t>Wanless, RM; Ryan, PG; Altwegg, R; Angel, A; Cooper, J; Cuthbert, R; Hilton, GM</t>
  </si>
  <si>
    <t>Wanless, Ross M.; Ryan, Peter G.; Altwegg, Res; Angel, Andrea; Cooper, John; Cuthbert, Richard; Hilton, Geoff M.</t>
  </si>
  <si>
    <t>From both sides: Dire demographic consequences of carnivorous mice and longlining for the Critically Endangered Tristan albatrosses on Gough Island</t>
  </si>
  <si>
    <t>BIOLOGICAL CONSERVATION</t>
  </si>
  <si>
    <t>Demography; Population model; Extinction risk; Conservation; Seabird</t>
  </si>
  <si>
    <t>DIOMEDEA-EXULANS; WANDERING ALBATROSS; POPULATION-DYNAMICS; BREEDING BIOLOGY; COMPENSATORY MITIGATION; SOUTHERN-OCEAN; CROZET ISLANDS; HOUSE MICE; CONSERVATION; SURVIVAL</t>
  </si>
  <si>
    <t>The IUCN recently uplisted the Tristan albatross (Diomedea dabbenena) to Critically Endangered. Here we present new data indicating negative population trends on Gough Island arising from low adult survival (similar to 91%, ascribed to accidental mortality on fishing gear) and low breeding success (averaging 32%, due to mouse predation). Fledgling production from 1979 to 2007 and numbers of incubating adults from 1956 to 2007 have both decreased by similar to 1% p.a. Consecutive annual counts of incubating adults and a population model permit the first reliable estimates of the Tristan albatross population, presently 5400 breeding adults and 11,300 birds in all age- and stage-classes. Population models explore scenarios of likely demographic trends using combinations of hypothetical best-case estimates vs. observed estimates for two key parameters: adult survival and breeding success. These scenarios highlight the relative benefits to the species of eradicating mice or mitigating bycatch. The model scenario using observed estimates predicts annual growth rate at -2.85%. Adult survival rates have probably decreased in recent years, concomitant with increased longline fishing effort, which might explain the discrepancy between counts and modelled trends. Negative trends cannot be reversed by improving breeding success alone, and adult survival must exceed an improbable 97% to balance the current chick production. A worst-case scenario including a fixed number of adult deaths annually predicted a catastrophic 4.2% p.a. decrease and extinction in similar to 30 years. Population growth was most sensitive to adult survival, but even using an adult survival estimate without fishery mortality, current breeding success is insufficient to maintain the population. These findings do not support the 'compensatory mitigation of bycatch' model (offsetting bycatch impacts by eradicating invasive species), and the impacts of both fishery mortality and mouse predation must be addressed to improve the conservation status of the Critically Endangered Tristan albatross. (C) 2009 Elsevier Ltd. All rights reserved.</t>
  </si>
  <si>
    <t>[Wanless, Ross M.; Ryan, Peter G.; Cuthbert, Richard] Univ Cape Town, Percy FitzPatrick Inst, DST NRF Ctr Excellence, ZA-7701 Rondebosch, South Africa; [Wanless, Ross M.; Angel, Andrea; Cooper, John] CORE Initiat, ZA-7701 Rondebosch, South Africa; [Altwegg, Res; Cooper, John] Univ Cape Town, Dept Zool, Anim Demog Unit, ZA-7701 Rondebosch, South Africa; [Cuthbert, Richard; Hilton, Geoff M.] Royal Soc Protect Birds, Sandy SG19 2DL, Beds, England</t>
  </si>
  <si>
    <t>National Research Foundation - South Africa; University of Cape Town; University of Cape Town; Royal Society for Protection of Birds</t>
  </si>
  <si>
    <t>Wanless, RM (corresponding author), Univ Cape Town, Percy FitzPatrick Inst, DST NRF Ctr Excellence, ZA-7701 Rondebosch, South Africa.</t>
  </si>
  <si>
    <t>rosswanless@gmail.com; peter.ryan@uct.ac.za; Altwegg@sanbi.org; andreaangel.g@gmail.com; john.cooper@uct.ac.za; richard.cuthbert@rspb.org.uk; geoff.hilton@rspb.org.uk</t>
  </si>
  <si>
    <t>; Hilton, Geoff/H-3086-2017</t>
  </si>
  <si>
    <t>Ryan, Peter/0000-0002-3356-2056; Hilton, Geoff/0000-0001-9062-3030</t>
  </si>
  <si>
    <t>Birds Australia; NRF Prestigious Scholarship</t>
  </si>
  <si>
    <t>We thank all those involved in banding, retrapping and counting of Tristan albatrosses on Gough Island. Funding was supplied by the UK Foreign and Commonwealth Office's Overseas Territories Environmental Programme, the Royal Society for the Protection of Birds, Birds Australia (for 2007) and the University of Cape Town, with logistical support from the South African Department of Environmental Affairs and Tourism through the South African National Antarctic Programme and Ovenstone Agencies. Research on Gough Island is conducted with the approval of the Government of Tristan da Cunha. R.M.W. was supported by an NRF Prestigious Scholarship.</t>
  </si>
  <si>
    <t>0006-3207</t>
  </si>
  <si>
    <t>1873-2917</t>
  </si>
  <si>
    <t>BIOL CONSERV</t>
  </si>
  <si>
    <t>Biol. Conserv.</t>
  </si>
  <si>
    <t>10.1016/j.biocon.2009.03.008</t>
  </si>
  <si>
    <t>463DM</t>
  </si>
  <si>
    <t>WOS:000267409300018</t>
  </si>
  <si>
    <t>Angel, A; Wanless, RM; Cooper, J</t>
  </si>
  <si>
    <t>Angel, Andrea; Wanless, Ross M.; Cooper, John</t>
  </si>
  <si>
    <t>Review of impacts of the introduced house mouse on islands in the Southern Ocean: are mice equivalent to rats?</t>
  </si>
  <si>
    <t>BIOLOGICAL INVASIONS</t>
  </si>
  <si>
    <t>Ecosystem impacts; Introduced mammals; Invasive alien species; Islands; Mus musculus; Southern Ocean</t>
  </si>
  <si>
    <t>SUB-ANTARCTIC ISLAND; PRINCE-EDWARD-ISLANDS; SHEATHBILLS CHIONIS-MINOR; MUS-MUSCULUS L; MARION-ISLAND; NEW-ZEALAND; MACQUARIE ISLAND; GOUGH ISLAND; BREEDING BIOLOGY; CLIMATE-CHANGE</t>
  </si>
  <si>
    <t>Research on the impacts of house mice Mus musculus introduced to islands is patchy across most of the species' global range, except on islands of the Southern Ocean. Here we review mouse impacts on Southern Ocean islands' plants, invertebrates, land birds and seabirds, and describe the kinds of effects that can be expected elsewhere. A key finding is that where mice occur as part of a complex of invasive mammals, especially other rodents, their densities appear to be suppressed and rat-like impacts have not been reported. Where mice are the only introduced mammal, a greater range of native biota is impacted and the impacts are most severe, and include the only examples of predation on seabird eggs and chicks. Thus mice can have devastating, irreversible and ecosystem-changing effects on islands, impacts typically associated with introduced rats Rattus spp. Island restoration projects should routinely include mouse eradication or manage mouse impacts.</t>
  </si>
  <si>
    <t>[Wanless, Ross M.] Univ Cape Town, Fitzpatrick Inst, DST NRF Ctr Excellence Percy, ZA-7701 Rondebosch, South Africa; [Angel, Andrea; Wanless, Ross M.; Cooper, John] CORE Initiat, ZA-7700 Rondebosch, South Africa; [Cooper, John] Univ Cape Town, Dept Zool, Anim Demog Unit, ZA-7701 Rondebosch, South Africa</t>
  </si>
  <si>
    <t>National Research Foundation - South Africa; University of Cape Town; University of Cape Town</t>
  </si>
  <si>
    <t>Wanless, RM (corresponding author), Univ Cape Town, Fitzpatrick Inst, DST NRF Ctr Excellence Percy, ZA-7701 Rondebosch, South Africa.</t>
  </si>
  <si>
    <t>rosswanless@gmail.com</t>
  </si>
  <si>
    <t>UK Overseas Territories Environment Programme; University of Cape Town; (South African) National Research Foundation; Royal Society for the Protection of Birds</t>
  </si>
  <si>
    <t>UK Overseas Territories Environment Programme; University of Cape Town; (South African) National Research Foundation(National Research Foundation - South Africa); Royal Society for the Protection of Birds</t>
  </si>
  <si>
    <t>John Parkes, Peter Ryan and two anonymous reviewers provided valuable comments on earlier versions of this manuscript. Part of the research and literature review was funded by the UK Overseas Territories Environment Programme. RMW is supported by the University of Cape Town, the (South African) National Research Foundation and the Royal Society for the Protection of Birds.</t>
  </si>
  <si>
    <t>1387-3547</t>
  </si>
  <si>
    <t>1573-1464</t>
  </si>
  <si>
    <t>BIOL INVASIONS</t>
  </si>
  <si>
    <t>Biol. Invasions</t>
  </si>
  <si>
    <t>10.1007/s10530-008-9401-4</t>
  </si>
  <si>
    <t>469HD</t>
  </si>
  <si>
    <t>WOS:000267886200018</t>
  </si>
  <si>
    <t>Block, W; Smith, RIL; Kennedy, AD</t>
  </si>
  <si>
    <t>Block, W.; Smith, R. I. Lewis; Kennedy, A. D.</t>
  </si>
  <si>
    <t>Strategies of survival and resource exploitation in the Antarctic fellfield ecosystem</t>
  </si>
  <si>
    <t>BIOLOGICAL REVIEWS</t>
  </si>
  <si>
    <t>Antarctica; fellfield ecosystem; microhabitats; survival strategies; low temperature; water availability; adaptations; resource exploitation; opportunism; climate change</t>
  </si>
  <si>
    <t>MOSS-TURF HABITAT; LIFE-HISTORY STRATEGIES; CARBON-DIOXIDE EXCHANGE; COLD-TOLERANCE; TERRESTRIAL INVERTEBRATES; ARTHROPOD COMMUNITIES; WATER RELATIONS; VICTORIA-LAND; SIGNY ISLAND; PHYSIOLOGICAL INVESTIGATIONS</t>
  </si>
  <si>
    <t>Antarctic fellfields present organisms with a heterogeneous habitat characterised by a wide variety of environmental stresses. These include low temperatures, limited moisture availability, frequent and often rapid freeze-thaw and hydration-dehydration cycles, exposure to high photosynthetic photon flux density and ultraviolet (uv) irradiance, seasonal snow cover, high winds, cryoturbation and, depending on location south of the Antarctic Circle, considerable daylight in summer. Most of these factors vary both predictably and unpredictably in spatial and temporal planes. In response to this adverse environment, fellfield organisms have developed a variety of strategies to overcome physiological stress and to exploit the limited resources available during the short austral growing season. A high degree of synchronisation exists, so that investment in non-essential activity and adaptations is minimised. Here, we review the combined suites of co-adapted traits used by different fellfield taxa to achieve energy acquisition, growth and reproduction under adverse levels of two principal limiting factors: low temperatures and the scarcity of water. To this end, a detailed characterisation of the Antarctic fellfield microenvironment is followed by a synthesis of available data on the morphology, physiology, life history and behaviour of successful Antarctic flora and fauna. Tolerance of low temperatures by fellfield organisms is achieved by elevation of standard metabolism, production and accumulation of cryoprotectants, supercooling, melanic pigmentation, behavioural avoidance, compact growth forms and synchronised reproduction and extended life cycles. Low moisture conditions are overcome by dehydration resistance, anhydrobiosis, development of resting stages and by behavioural avoidance of desiccating conditions. Occupancy of the Antarctic fellfield habitat is considered to require the ability to respond rapidly to ephemeral resources and to tolerate severe environmental stresses. During summer, organisms rely on opportunism to maintain a positive energy balance. During winter, resistance adaptations are used to withstand the potentially lethal climate, especially in habitats not protected by snow cover. This deterministic framework has led to the selection of species that are genetically and physiologically pre-adapted for resource acquisition yet sufficiently robust to withstand cold and desiccation stresses. Non-adapted taxa fail to become established. Despite the environmental selection pressures, available evidence suggests that colonisation of the fellfield habitat has not required the evolution of any adaptations, only the refinement of those already possessed to an extent by some temperate forms. This has led to the convergence of survival strategies. It is hypothesised that, in the short term, the majority of Antarctic fellfield biota are able to absorb the predicted effects of a changing climate by their high levels of physiological tolerance and life-cycle flexibility.</t>
  </si>
  <si>
    <t>[Block, W.; Smith, R. I. Lewis; Kennedy, A. D.] British Antarctic Survey, Nat Environm Res Council, Div Biol Sci, Cambridge CB3 0ET, England; [Smith, R. I. Lewis] Ctr Antarctic Plant Ecol &amp; Divers, Moffat DG10 9LB, Dumfries, Scotland</t>
  </si>
  <si>
    <t>Block, W (corresponding author), British Antarctic Survey, Nat Environm Res Council, Div Biol Sci, Madingley Rd, Cambridge CB3 0ET, England.</t>
  </si>
  <si>
    <t>wcb@bas.ac.uk</t>
  </si>
  <si>
    <t>Natural Environment Research Council [bas010011, bas0100025] Funding Source: researchfish; NERC [bas0100025, bas010011] Funding Source: UKRI</t>
  </si>
  <si>
    <t>1464-7931</t>
  </si>
  <si>
    <t>1469-185X</t>
  </si>
  <si>
    <t>BIOL REV</t>
  </si>
  <si>
    <t>Biol. Rev.</t>
  </si>
  <si>
    <t>10.1111/j.1469-185X.2009.00084.x</t>
  </si>
  <si>
    <t>474CW</t>
  </si>
  <si>
    <t>WOS:000268261000006</t>
  </si>
  <si>
    <t>Gattinger, RL; Evans, WFJ; McDade, IC; Degenstein, DA; Llewellyn, EJ</t>
  </si>
  <si>
    <t>Gattinger, R. L.; Evans, W. F. J.; McDade, I. C.; Degenstein, D. A.; Llewellyn, E. J.</t>
  </si>
  <si>
    <t>Observation of the chemiluminescent NO plus O → NO2 + hν reaction in the upper mesospheric dark polar regions by OSIRIS on Odin</t>
  </si>
  <si>
    <t>CANADIAN JOURNAL OF PHYSICS</t>
  </si>
  <si>
    <t>NIGHTGLOW CONTINUUM; NITRIC-OXIDE; AIRGLOW; GREEN</t>
  </si>
  <si>
    <t>The visible and near infrared continuum spectrum produced by the NO + O -&gt; NO2 + hv chemiluminescent reaction has been detected in the upper mesospheric dark polar regions by OSIRIS on the Odin spacecraft. Averaged observed NO2 emission spectral shapes are obtained by spectrally resolving the NO + O continuum from the blended strong upper mesospheric OH vibration-rotation airglow bands. The observed continuum spectral shape when compared with laboratory measurements is shifted to lower wavelengths by approximately 20 nm in the steeply sloped 400 to 500 nm region. The observed laboratory continuum spectral shape for upper mesospheric ambient pressure is presented for reference over the 400 to 800 nm region. An example of an NO2 continuum volume emission-rate altitude profile derived from a single OSIRIS limb scan is also included. Limb radiances up to 3 x 10(9) photons cm(-2) nm(-1) s(-1) are observed at the peak of the NO2 continuum corresponding to total volume emission rates of approximately 2 x 10(4) photons cm(-3) s(-1). Data extracted from numerous single-volume emission-rate altitude profiles obtained over approximately a 24 h period are assembled into a Southern Hemisphere polar map of the 90 km NO2 continuum emission. The map illustrates the considerable spatial brightness variation typically observed in the dark Antarctic polar region throughout the OSIRIS mission dataset. After further analysis these measurements will assist in quantifying the role of thermospheric formed NOx in the catalytic removal of ozone in the upper stratosphere.</t>
  </si>
  <si>
    <t>[Gattinger, R. L.; Degenstein, D. A.; Llewellyn, E. J.] Univ Saskatchewan, Dept Phys &amp; Engn Phys, ISAS, Saskatoon, SK S7N 5E2, Canada; [Evans, W. F. J.; McDade, I. C.] York Univ, Ctr Res Earth &amp; Space Sci, Toronto, ON M3J 1P3, Canada; [McDade, I. C.] York Univ, Dept Earth &amp; Space Sci &amp; Engn, Toronto, ON M3J 1P3, Canada</t>
  </si>
  <si>
    <t>University of Saskatchewan; York University - Canada; York University - Canada</t>
  </si>
  <si>
    <t>Llewellyn, EJ (corresponding author), Univ Saskatchewan, Dept Phys &amp; Engn Phys, ISAS, Saskatoon, SK S7N 5E2, Canada.</t>
  </si>
  <si>
    <t>edward.llewellyn@usask.ca</t>
  </si>
  <si>
    <t>Canadian Space Agency; Natural Sciences and Engineering Research Council (Canada); Sweden (SNSB); Canada (CSA); France (CNES); Finland (Tekes)</t>
  </si>
  <si>
    <t>Canadian Space Agency(Canadian Space Agency); Natural Sciences and Engineering Research Council (Canada)(Natural Sciences and Engineering Research Council of Canada (NSERC)); Sweden (SNSB); Canada (CSA)(Canadian Space Agency); France (CNES)(Centre National D'etudes Spatiales); Finland (Tekes)(Finnish Funding Agency for Technology &amp; Innovation (TEKES))</t>
  </si>
  <si>
    <t>This work was supported by the Canadian Space Agency and the Natural Sciences and Engineering Research Council (Canada). Odin is a Swedish-led satellite project funded jointly by Sweden (SNSB), Canada (CSA), France (CNES), and Finland (Tekes).</t>
  </si>
  <si>
    <t>CANADIAN SCIENCE PUBLISHING, NRC RESEARCH PRESS</t>
  </si>
  <si>
    <t>65 AURIGA DR, SUITE 203, OTTAWA, ON K2E 7W6, CANADA</t>
  </si>
  <si>
    <t>0008-4204</t>
  </si>
  <si>
    <t>1208-6045</t>
  </si>
  <si>
    <t>CAN J PHYS</t>
  </si>
  <si>
    <t>Can. J. Phys.</t>
  </si>
  <si>
    <t>10.1139/P09-051</t>
  </si>
  <si>
    <t>516WP</t>
  </si>
  <si>
    <t>WOS:000271574300008</t>
  </si>
  <si>
    <t>Xie, LL; Tian, JW; Hu, DX; Wang, F</t>
  </si>
  <si>
    <t>Xie Lingling; Tian Jiwei; Hu Dunxin; Wang Fan</t>
  </si>
  <si>
    <t>A quasi-synoptic interpretation of water mass distribution and circulation in the western North Pacific: I. Water mass distribution</t>
  </si>
  <si>
    <t>CHINESE JOURNAL OF OCEANOLOGY AND LIMNOLOGY</t>
  </si>
  <si>
    <t>North Pacific Intermediate Water (NPIW); North Pacific Tropic Water (NPTW); Antarctic Intermediate Water (AAIW)</t>
  </si>
  <si>
    <t>INTERMEDIATE WATER; EQUATORIAL PACIFIC; MINDANAO; INTRUSION; CURRENTS; COAST; SEA</t>
  </si>
  <si>
    <t>With high-resolution conductivity-temperature-depth (CTD) observations conducted in Oct.-Nov. 2005, this study provides a detailed quasi-synoptic description of the North Pacific Tropic Water (NPTW), North Pacific Intermediate Water (NPIW) and Antarctic Intermediate Water (AAIW) in the western North Pacific. Some novel features are found. NPTW enters the western ocean with highest-salinity core off shore at 15 degrees-18 degrees N, and then splits to flow northward and southward along the western boundary. Its salinity decreases and density increases outside the core region. NPIW spreads westward north of 15 degrees N with lowest salinity off shore at 21 degrees N, but mainly hugs the Mindanao coast south of 12 degrees N. It shoals and thins toward the south, with salinity increasing and density decreasing. AAIW extends to higher latitude off shore than that in shore, and it is traced as a salinity minimum to only 10 degrees N at 130 degrees E. Most of the South Pacific waters turn northeastward rather than directly flow northward upon reaching to the Mindanao coast, indicating the eastward shift of the Mindanao Undercurrent (MUC).</t>
  </si>
  <si>
    <t>[Xie Lingling; Tian Jiwei] Ocean Univ China, Phys Oceanog Lab, Qingdao 266003, Peoples R China; [Hu Dunxin; Wang Fan] Chinese Acad Sci, Inst Oceanol, Qingdao 266071, Peoples R China</t>
  </si>
  <si>
    <t>Ocean University of China; Chinese Academy of Sciences; Institute of Oceanology, CAS</t>
  </si>
  <si>
    <t>Xie, LL (corresponding author), Ocean Univ China, Phys Oceanog Lab, Qingdao 266003, Peoples R China.</t>
  </si>
  <si>
    <t>llingxie@gmail.com</t>
  </si>
  <si>
    <t>Wang, Fan/J-5119-2012</t>
  </si>
  <si>
    <t>Wang, Fan/0000-0001-5932-7567</t>
  </si>
  <si>
    <t>National Natural Science Foundation of China [40890153, 40576016]</t>
  </si>
  <si>
    <t>Supported by the National Natural Science Foundation of China (Nos. 40890153 and 40576016)</t>
  </si>
  <si>
    <t>16 DONGHUANGCHENGGEN NORTH ST, BEIJING, 100717, PEOPLES R CHINA</t>
  </si>
  <si>
    <t>0254-4059</t>
  </si>
  <si>
    <t>1993-5005</t>
  </si>
  <si>
    <t>CHIN J OCEANOL LIMN</t>
  </si>
  <si>
    <t>Chin. J. Oceanol. Limnol.</t>
  </si>
  <si>
    <t>10.1007/s00343-009-9161-8</t>
  </si>
  <si>
    <t>505ZR</t>
  </si>
  <si>
    <t>WOS:000270742000031</t>
  </si>
  <si>
    <t>Kolstad, EW; Bracegirdle, TJ; Seierstad, IA</t>
  </si>
  <si>
    <t>Kolstad, Erik W.; Bracegirdle, Thomas J.; Seierstad, Ivar A.</t>
  </si>
  <si>
    <t>Marine cold-air outbreaks in the North Atlantic: temporal distribution and associations with large-scale atmospheric circulation</t>
  </si>
  <si>
    <t>CLIMATE DYNAMICS</t>
  </si>
  <si>
    <t>Cold air outbreak; Polar low; Arctic; Meteorology; NAO; Climatology; Climate; Extreme weather; Severe weather</t>
  </si>
  <si>
    <t>GREENLAND TIP JET; POLAR LOWS; SEA INTERACTION; LABRADOR-SEA; ROLL VORTICES; IRMINGER SEA; OSCILLATION; VARIABILITY; WINDS; CLIMATOLOGY</t>
  </si>
  <si>
    <t>The spatial and temporal distributions of marine cold air outbreaks (MCAOs) over the northern North Atlantic have been investigated using re-analysis data for the period from 1958 to 2007. MCAOs are large-scale outbreaks of cold air over a relatively warm ocean surface. Such conditions are known to increase the severity of particular types of hazardous mesoscale weather phenomena. We used a simple index for identifying MCAOs: the vertical potential temperature gradient between the sea surface and 700 hPa. It was found that atmospheric temperature variability is considerably more important than the sea surface temperature variability in governing both the seasonal and the inter-annual variability of MCAOs. Furthermore, a composite analysis revealed that a few well-defined and robust synoptic patterns are evident during MCAOs in winter. Over the Labrador and Irminger Seas the MCAO index was found to have a correlation of 0.70 with the North Atlantic Oscillation index, while over the Barents Sea a negative correlation of 0.42 was found.</t>
  </si>
  <si>
    <t>[Kolstad, Erik W.] Bjerknes Ctr Climate Res, N-5007 Bergen, Norway; [Bracegirdle, Thomas J.] British Antarctic Survey, Cambridge CB3 0ET, England; [Seierstad, Ivar A.] Univ Bergen, Inst Geophys, Bergen, Norway</t>
  </si>
  <si>
    <t>Bjerknes Centre for Climate Research; UK Research &amp; Innovation (UKRI); Natural Environment Research Council (NERC); NERC British Antarctic Survey; University of Bergen</t>
  </si>
  <si>
    <t>Kolstad, EW (corresponding author), Bjerknes Ctr Climate Res, Allegaten 70, N-5007 Bergen, Norway.</t>
  </si>
  <si>
    <t>gbsek@uib.no</t>
  </si>
  <si>
    <t>Kolstad, Erik Olsøybakk/GYJ-6310-2022; Kolstad, Erik/A-2311-2015; Bracegirdle, Tom/AAD-6060-2020</t>
  </si>
  <si>
    <t>Kolstad, Erik/0000-0001-5394-9541;</t>
  </si>
  <si>
    <t>Norwegian Research Council [175992/S30]; NERC [bas010013] Funding Source: UKRI; Natural Environment Research Council [bas010013]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</si>
  <si>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</si>
  <si>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This is publication no. XXXX from the Bjerknes Center for Climate Research. Erik Kolstad's work was supported by the Norwegian Research Council through its International Polar Year programme and the project IPY-THORPEX (grant no. 175992/S30). The NAO Index Data were provided by the Climate Analysis Section, NCAR, Boulder, USA (Hurrell 1995). The NCEP/NCAR re-analysis datawere provided by the NOAA/OAR/ESRLPSD, Boulder, Colorado, USA, from their web site at http://www.cdc.noaa.gov.</t>
  </si>
  <si>
    <t>0930-7575</t>
  </si>
  <si>
    <t>1432-0894</t>
  </si>
  <si>
    <t>CLIM DYNAM</t>
  </si>
  <si>
    <t>Clim. Dyn.</t>
  </si>
  <si>
    <t>2-3</t>
  </si>
  <si>
    <t>10.1007/s00382-008-0431-5</t>
  </si>
  <si>
    <t>459LK</t>
  </si>
  <si>
    <t>WOS:000267103700003</t>
  </si>
  <si>
    <t>Swingedouw, D; Fichefet, T; Goosse, H; Loutre, MF</t>
  </si>
  <si>
    <t>Swingedouw, Didier; Fichefet, T.; Goosse, H.; Loutre, M. F.</t>
  </si>
  <si>
    <t>Impact of transient freshwater releases in the Southern Ocean on the AMOC and climate</t>
  </si>
  <si>
    <t>Bipolar ocean seesaw; Thermohaline circulation; Southern Ocean; Ocean-climate interactions; Climate variability; Glacial meltwater; Climate modelling</t>
  </si>
  <si>
    <t>ATLANTIC DEEP-WATER; ANTARCTIC ICE-SHEET; NORTH-ATLANTIC; THERMOHALINE CIRCULATION; LAST DEGLACIATION; GLACIAL CLIMATE; COUPLED MODEL; MELTWATER; STRATIFICATION; TRANSFORMATION</t>
  </si>
  <si>
    <t>The bipolar ocean seesaw is a process that explains the competition between deep waters formed in the North Atlantic (NA) and in the Southern Ocean (SO). In this picture, an increase in the rate of formation of one of these water masses is made at the expense of the other. However, recent studies have questioned the effectiveness of this process. Namely, they show that adding freshwater in the SO can reduce deep water formation in the SO as well as in the NA. In this study, we explore the mechanisms and time scales excited by such a SO freshwater release by performing sensitivity experiments where a freshwater input is added abruptly in the ocean, south of 60A degrees S, with different rates and durations. For this purpose, we evaluate the separate effects of wind, temperature and salinity changes, and we put the emphasis on the time evolution of the system. We find three main processes that respond to these freshwater inputs and affect the NA Deep Water (NADW) production: (i) the deep water adjustment, which enhances the NADW cell, (ii) the salinity anomaly spread from the SO, which weakens the NADW cell, and (iii) the increase in the Southern Hemisphere wind stress, which enhances the NADW cell. We show that process (i) affects the Atlantic in a few years, due to an adjustment of the pycnocline depth through oceanic waves in response to the buoyancy perturbation in the SO. The salinity anomalies responsible for the NADW production decrease [process (ii)] invades the NA in around 30 years, while the wind stress from process (iii) increases in around 20 years after the beginning of the freshwater perturbation. Finally, by testing the response of the ocean to a large range of freshwater release fluxes, we show that for fluxes larger than 0.2 Sv, process (ii) dominates over the others and limits NADW production after a few centuries, while for fluxes lower than 0.2 Sv, process (ii) hardly affects the NADW production. On the opposite, the NADW export is increased by processes (i) and (iii) even for fluxes smaller than 0.1 Sv. The climatic impact of the freshwater release in the SO is mainly a cooling of the Southern Hemisphere, of up to 10A degrees C regionally, which increases with freshwater release fluxes for a large range of values.</t>
  </si>
  <si>
    <t>[Swingedouw, Didier; Fichefet, T.; Goosse, H.; Loutre, M. F.] Catholic Univ Louvain, Inst Astron &amp; Geophys Georges Lemaitre, B-1348 Louvain, Belgium; [Swingedouw, Didier] CERFACS GlobC, F-31057 Toulouse, France</t>
  </si>
  <si>
    <t>Universite Catholique Louvain; CERFACS</t>
  </si>
  <si>
    <t>Swingedouw, D (corresponding author), Catholic Univ Louvain, Inst Astron &amp; Geophys Georges Lemaitre, 2 Chemin Cyclotron, B-1348 Louvain, Belgium.</t>
  </si>
  <si>
    <t>swingedo@cerfacs.fr</t>
  </si>
  <si>
    <t>Swingedouw, Didier/D-1408-2010; Loutre, Marie-France/L-3594-2018</t>
  </si>
  <si>
    <t>Swingedouw, Didier/0000-0002-0583-0850; Loutre, Marie-France/0000-0001-6944-4038</t>
  </si>
  <si>
    <t>European Marie Curie Research Training Network for Ice sheet; Climate Evolution (NICE); Belgian Science Policy</t>
  </si>
  <si>
    <t>European Marie Curie Research Training Network for Ice sheet(European Union (EU)); Climate Evolution (NICE); Belgian Science Policy(Belgian Federal Science Policy Office)</t>
  </si>
  <si>
    <t>We are grateful to two anonymous reviewers for helpful advice and comments. We thank the European Marie Curie Research Training Network for Ice sheet and Climate Evolution (NICE) for its support. We also acknowledge the ASTER (Assessment of modelling uncertainties in long-term climate and sea level change projections) and BELCANTO (BELgian research on Carbon uptake in the ANTarctic Ocean) projects funded by the Belgian Science Policy for their support. The authors wish to acknowledge use of the Ferret program for analysis and graphics in this paper and the help of Patrick Brockmann for the use of this program.</t>
  </si>
  <si>
    <t>10.1007/s00382-008-0496-1</t>
  </si>
  <si>
    <t>WOS:000267103700014</t>
  </si>
  <si>
    <t>Claud, C; Carleton, AM; Duchiron, B; Terray, P</t>
  </si>
  <si>
    <t>Claud, C.; Carleton, A. M.; Duchiron, B.; Terray, P.</t>
  </si>
  <si>
    <t>Southern hemisphere winter cold-air mesocyclones: climatic environments and associations with teleconnections</t>
  </si>
  <si>
    <t>Cold-air mesocyclones; Teleconnections; ENSO; SAM; Composite analysis</t>
  </si>
  <si>
    <t>ANTARCTIC SEA-ICE; NCEP-NCAR REANALYSES; HALF-YEARLY CYCLE; POLAR-LOW; SYNOPTIC CLIMATOLOGY; MESOSCALE CYCLONES; ATMOSPHERIC CIRCULATION; INTERANNUAL VARIATIONS; ANNULAR MODES; EXTENDED RECONSTRUCTION</t>
  </si>
  <si>
    <t>Cold-air mesocyclones remain a forecasting challenge in the southern hemisphere middle and higher latitudes, where conventional observations are lacking. One way to improve mesocyclone predictability is to determine their larger-scale circulation environments and associations with teleconnection patterns. To help realize this objective, reanalysis datasets on atmospheric and upper-ocean synoptic variables important in mesocyclone development are composited and compared to previously published mesocyclone spatial inventories. These analyses demonstrate a consistent association between higher frequencies of mesocyclones, greater sea ice extent and large positive differences in the SST minus low-altitude air temperature fields, coinciding with enhanced westerly low-level winds having a southerly component. Composites in the 1979-2001 period also were formed for opposite phases of El Nio Southern Oscillation (ENSO), the Southern Annular Mode (SAM) and the Trans-Polar Index (TPI). Regions likely to be favorable for mesocyclone development relative to climatology were identified. The largest (smallest) variations in meso-cyclogenesis occur in the South Pacific (South Indian Ocean, south of Australia), and are dominated by ENSO. The SAM and TPI are of secondary importance, yet still influential, and exhibit strong regional-scale variations.</t>
  </si>
  <si>
    <t>[Claud, C.; Duchiron, B.] Ecole Polytech, CNRS, Meteorol Dynam Lab, IPSL, F-91128 Palaiseau, France; [Carleton, A. M.] Penn State Univ, Dept Geog Earth &amp; Environm Syst, University Pk, PA 16802 USA; [Terray, P.] MNHN, UPMC, IRD, CNRS,LOCEAN,IPSL, Paris, France</t>
  </si>
  <si>
    <t>Sorbonne Universite; Universite Paris Cite; Centre National de la Recherche Scientifique (CNRS); Institut Polytechnique de Paris; Pennsylvania Commonwealth System of Higher Education (PCSHE); Pennsylvania State University; Pennsylvania State University - University Park; Sorbonne Universite; Institut de Recherche pour le Developpement (IRD); Universite Paris Cite; Museum National d'Histoire Naturelle (MNHN); Centre National de la Recherche Scientifique (CNRS)</t>
  </si>
  <si>
    <t>Claud, C (corresponding author), Ecole Polytech, CNRS, Meteorol Dynam Lab, IPSL, F-91128 Palaiseau, France.</t>
  </si>
  <si>
    <t>chclaud@lmd.polytechnique.fr</t>
  </si>
  <si>
    <t>Claud, Chantal/0000-0001-7613-9525; terray, Pascal/0000-0002-3982-6630</t>
  </si>
  <si>
    <t>U.S. National Science Foundation [SES-8603470, DPP-8816912]</t>
  </si>
  <si>
    <t>U.S. National Science Foundation(National Science Foundation (NSF))</t>
  </si>
  <si>
    <t>The support of U.S. National Science Foundation grants SES-8603470 and DPP-8816912 to Andrew M. Carleton is gratefully acknowledged. ERA-40 data have been obtained from the ECMWF Data Server. Sebastien Masson provided graphical software (SAXO) for plotting the results.</t>
  </si>
  <si>
    <t>10.1007/s00382-008-0468-5</t>
  </si>
  <si>
    <t>WOS:000267103700015</t>
  </si>
  <si>
    <t>Senut, B; Pickford, M; Ségalen, L</t>
  </si>
  <si>
    <t>Senut, Brigitte; Pickford, Martin; Segalen, Loiec</t>
  </si>
  <si>
    <t>Neogene desertification of Africa</t>
  </si>
  <si>
    <t>COMPTES RENDUS GEOSCIENCE</t>
  </si>
  <si>
    <t>Desert; Africa; Neogene; Namib; Congo Basin; Egypt; Tugen Hills</t>
  </si>
  <si>
    <t>LATE MIOCENE; NAMIB DESERT; BIOSTRATIGRAPHY; PLIOCENE; CLIMATE; REMAINS; AGE; OMO</t>
  </si>
  <si>
    <t>Throughout the Neogene, the faunas and floras in Africa recorded global climatic changes. We present an overview of Neogene desertification in Affica by tracing stable isotopes in eggshells and mammalian enamel, by faunal (changes in hypsodonty, etc.) and floral changes in sequences at the latitudinal extremities of the continent and the equator. This work reveals that desertification started in the southwest ca 17-16 Ma, much earlier than the region of the present-day Sahara (ca 8-7 Ma) and long before the deserts in East Africa (Plio-Pleistocene). A consequence of this history is that animals and plants inhabiting the South of the continent had a long period of time in which to adapt to arid, unstable climatic conditions. When parts of East Africa became arid during the Late Miocene and Plio-Pleistocene, several of these lineages expanded northwards and occupied developing arid niches before local lineages could adapt. Several of the latter became extinct, while others withdrew westwards as the tropical forest diminished in extent. It is proposed that the history of desertification in Africa was related to that of the polar ice caps (Antarctic, Arctic). To cite this article: B. Senut et al., C. R. Geoscience 341 (2009). (C) 2009 Academie des sciences. Published by Elsevier Masson SAS. All rights reserved.</t>
  </si>
  <si>
    <t>[Senut, Brigitte; Pickford, Martin] Museum Natl Hist Nat, UMR 7207, CNRS, Dept Hist Terre,CR2P,USM 203, F-75231 Paris 05, France; [Pickford, Martin] Coll France, Chaire Biol Hist &amp; Evolutionnisme, F-75231 Paris 05, France; [Segalen, Loiec] Univ Paris 06, ISTeP, UMR 7193, Lab Biomineralisat &amp; Environm Sedimentaires, F-75252 Paris 05, France</t>
  </si>
  <si>
    <t>Museum National d'Histoire Naturelle (MNHN); Sorbonne Universite; Centre National de la Recherche Scientifique (CNRS); CNRS - Institute of Ecology &amp; Environment (INEE); Universite PSL; College de France; Sorbonne Universite; Centre National de la Recherche Scientifique (CNRS); CNRS - National Institute for Earth Sciences &amp; Astronomy (INSU)</t>
  </si>
  <si>
    <t>Senut, B (corresponding author), Museum Natl Hist Nat, UMR 7207, CNRS, Dept Hist Terre,CR2P,USM 203, CP38,8 Rue Buffon, F-75231 Paris 05, France.</t>
  </si>
  <si>
    <t>bsenut@mnhn.fr</t>
  </si>
  <si>
    <t>CNRS (GDR, GDRI, UMR) [5147]; College de France; Universitd Pierreet-Marie-Curie (BQR); Ministere des Affaires ttrangeres et Europeennes (Commission des fouilles); SCAC of the French Embassy in Windhoek; French Embassy in Uganda; Uganda Museum in Kampala; Geological Survey of Namibia; Namdeb Diamond Corporation (Pty) Limited; de Beers; National Research Foundation of South Africa; Palaeoanthropology Scientific Trust; University of Cape Town; Menoufia University</t>
  </si>
  <si>
    <t>CNRS (GDR, GDRI, UMR)(Centre National de la Recherche Scientifique (CNRS)); College de France; Universitd Pierreet-Marie-Curie (BQR); Ministere des Affaires ttrangeres et Europeennes (Commission des fouilles); SCAC of the French Embassy in Windhoek; French Embassy in Uganda; Uganda Museum in Kampala; Geological Survey of Namibia; Namdeb Diamond Corporation (Pty) Limited; de Beers; National Research Foundation of South Africa(National Research Foundation - South Africa); Palaeoanthropology Scientific Trust; University of Cape Town; Menoufia University(Menoufia University)</t>
  </si>
  <si>
    <t>We thank the organizers of the Colloquium of the Academy of Sciences African and Arabic Deserts: Environment, climate and impact on populations for allowing us to present our data on the Neogene desertification of Africa. We are grateful to Prof. Y. Coppens for his longstanding support and all the colleagues who have been involved in the different projects around Africa.; This work was funded by several institutions: the CNRS (GDR, GDRI, UMR 5147), the College de France (Chaire de Paleoanthropologie et de Prdhistoire, Prof. Y. Coppens; Chaire de Biologie historique et tvolutionnisme, Prof. A. de Ricqles), Universitd Pierreet-Marie-Curie (BQR), the Ministere des Affaires ttrangeres et Europeennes (Commission des fouilles), the SCAC of the French Embassy in Windhoek, the French Embassy in Uganda, the Uganda Museum in Kampala, the Geological Survey of Namibia, Namdeb Diamond Corporation (Pty) Limited, de Beers, the National Research Foundation of South Africa, the Palaeoanthropology Scientific Trust, the University of Cape Town, and Menoufia University at Shebinel-Kom. The comments of the anonymous reviewers have been useful for improving the paper.</t>
  </si>
  <si>
    <t>1631-0713</t>
  </si>
  <si>
    <t>1778-7025</t>
  </si>
  <si>
    <t>CR GEOSCI</t>
  </si>
  <si>
    <t>C. R. Geosci.</t>
  </si>
  <si>
    <t>AUG-SEP</t>
  </si>
  <si>
    <t>8-9</t>
  </si>
  <si>
    <t>10.1016/j.crte.2009.03.008</t>
  </si>
  <si>
    <t>519OY</t>
  </si>
  <si>
    <t>WOS:000271777700003</t>
  </si>
  <si>
    <t>Ramos, JA; Granadeiro, JP; Phillips, RA; Catry, P</t>
  </si>
  <si>
    <t>Ramos, Jaime A.; Granadeiro, Jose P.; Phillips, Richard A.; Catry, Paulo</t>
  </si>
  <si>
    <t>FLIGHT MORPHOLOGY AND FORAGING BEHAVIOR OF MALE AND FEMALE CORY'S SHEARWATERS</t>
  </si>
  <si>
    <t>CONDOR</t>
  </si>
  <si>
    <t>Calonectris diomedea; Cory's Shearwater; flight morphology; sex differences in foraging; sexual dimorphism; wing loading</t>
  </si>
  <si>
    <t>CALONECTRIS-DIOMEDEA; SEXUAL-DIMORPHISM; WANDERING ALBATROSSES; BREEDING-SEASON; BILL MORPHOLOGY; SEABIRD; SEGREGATION; PETRELS; SPECIALIZATION; INCUBATION</t>
  </si>
  <si>
    <t>In some seabirds sexually dimorphic in size, males and females segregate at sea or diverge in other aspects of foraging behavior. We examined factors influencing foraging strategies of Cory's Shearwater and compared the sexes' flight morphology and activity patterns. Trip duration, incubation-shift length, total mass gain, and rate of mass gain at sea of birds from our two study colonies differed. The colonies are situated in regions of contrasting oceanographic conditions: Selvagem Grande, a remote subtropical oceanic island, and Berlengas, an island on the Portuguese continental shelf. Although the wing loading and wing span of males and females breeding at Selvagem Grande differed significantly, sex did not consistently influence activity patterns of Cory's Shearwaters foraging at sea during the incubation period. Moreover, both sexes breeding at Selvagem Grande foraged in areas with similar sea-surface temperatures. Our study suggests that sexual differences in size and shape may be poor predictors of differentiation in the ways male and female pelagic seabirds use the marine environment.</t>
  </si>
  <si>
    <t>[Ramos, Jaime A.] Univ Coimbra, Dept Zool, IMAR, P-3004517 Coimbra, Portugal; [Granadeiro, Jose P.] Univ Lisbon, Museu Nacl Hist Nat, Ctr Biol Ambiental, P-1269102 Lisbon, Portugal; [Phillips, Richard A.] British Antarctic Survey, NERC, Cambridge CB3 0ET, England; [Catry, Paulo] Inst Super Psicol Aplicada, Ecoethol Res Unit, P-1149041 Lisbon, Portugal</t>
  </si>
  <si>
    <t>Universidade de Coimbra; Universidade de Lisboa; UK Research &amp; Innovation (UKRI); Natural Environment Research Council (NERC); NERC British Antarctic Survey; Instituto Superior Psicologia Aplicada (ISPA)</t>
  </si>
  <si>
    <t>Ramos, JA (corresponding author), Univ Coimbra, Dept Zool, IMAR, P-3004517 Coimbra, Portugal.</t>
  </si>
  <si>
    <t>jramos@ci.uc.pt</t>
  </si>
  <si>
    <t>Ramos, Jaime A./B-6616-2018; Granadeiro, José Pedro/E-8060-2011; Catry, Paulo/I-5408-2013</t>
  </si>
  <si>
    <t>Ramos, Jaime A./0000-0002-9533-987X; Granadeiro, José Pedro/0000-0002-7207-3474; Catry, Paulo/0000-0003-3000-0522</t>
  </si>
  <si>
    <t>Fundacao para a Ciencia e a Tecnologia (FCT-Portugal) [PDCT/MAR/58778/2004, BPD/11631/02, SFRH/BPD/30031/2006]; Programa Plurianual [UID 331/94]; Fundação para a Ciência e a Tecnologia [SFRH/BPD/30031/2006, PDCT/MAR/58778/2004] Funding Source: FCT; NERC [bas010017] Funding Source: UKRI; Natural Environment Research Council [bas010017] Funding Source: researchfish</t>
  </si>
  <si>
    <t>Fundacao para a Ciencia e a Tecnologia (FCT-Portugal)(Fundacao para a Ciencia e a Tecnologia (FCT)); Programa Plurianual; Fundação para a Ciência e a Tecnologia(Fundacao para a Ciencia e a Tecnologia (FCT)); NERC(UK Research &amp; Innovation (UKRI)Natural Environment Research Council (NERC)); Natural Environment Research Council(UK Research &amp; Innovation (UKRI)Natural Environment Research Council (NERC))</t>
  </si>
  <si>
    <t>Parque Natural da Madeira, and particularly Dilia Menezes, provided permission for us to work on Selvagem Grande and, together with the wardens at the Nature Reserve, gave important logistical support. The Instituto de Conservacao da Natureza c Biodiversidade provided permission for our work on Berlengas. Hany Alonso, Rafael Matias, Maria Dias, Miguel Lecoq, Rui Rebelo, Filipe Moniz, Ana Leal, Ricardo Martins, and many others helped with field work. This study is an output from a project on the ecology and senescence of Cory's Shearwaters (PDCT/MAR/58778/2004) supported by Fundacao para a Ciencia e a Tecnologia (FCT-Portugal). P. Catry benefited from postdoctoral fellowships from FCT (BPD/11631/02 and SFRH/BPD/30031/2006), and further support was received through Programa Plurianual (UI&amp;D 331/94). A previous draft benefited from the comments of Vitor Paiva and two anonymous referees.</t>
  </si>
  <si>
    <t>OXFORD UNIV PRESS INC</t>
  </si>
  <si>
    <t>CARY</t>
  </si>
  <si>
    <t>JOURNALS DEPT, 2001 EVANS RD, CARY, NC 27513 USA</t>
  </si>
  <si>
    <t>0010-5422</t>
  </si>
  <si>
    <t>1938-5129</t>
  </si>
  <si>
    <t>Condor</t>
  </si>
  <si>
    <t>10.1525/cond.2009.090008</t>
  </si>
  <si>
    <t>507LI</t>
  </si>
  <si>
    <t>WOS:000270854600003</t>
  </si>
  <si>
    <t>Simeone, A; Hiriart--Bertrand, L; Reyes-Arriagada, R; Halpern, M; Dubach, J; Wallace, R; Pütz, K; Lüthi, B</t>
  </si>
  <si>
    <t>Simeone, Alejandro; Hiriart--Bertrand, Luciano; Reyes-Arriagada, Ronnie; Halpern, Micah; Dubach, Jean; Wallace, Roberta; Puetz, Klemens; Luethi, Benno</t>
  </si>
  <si>
    <t>HETEROSPECIFIC PAIRING AND HYBRIDIZATION BETWEEN WILD HUMBOLDT AND MAGELLANIC PENGUINS IN SOUTHERN CHILE</t>
  </si>
  <si>
    <t>interbreeding; hybridization; Spheniscus; mixed colony; DNA; heterospecific pairing; penguin</t>
  </si>
  <si>
    <t>SPHENISCUS PENGUINS; HYBRID ZONES; PATTERNS</t>
  </si>
  <si>
    <t>The Humboldt (Spheniscus humboldti) and Magellanic (S. magellanicus) Penguins overlap over 1100 km along the coast of the southeastern Pacific Ocean, and much has been hypothesized about hybridization between them. We visited Punihuil and Metalqui islands, southern Chile (41-42 degrees S), where both species form mixed colonies; these are also the Humboldt Penguin's southernmost colonies. We observed one mixed pair attending chicks and two adults of intermediate color pattern, one of which tended a chick at a nest. Additionally, on the basis of analysis of 30 blood samples of Humboldt Penguins from the Punihuil colony, we report the first documented Humboldt x Magellanic Penguin hybrid. Judged from the pattern of restriction fragments, this bird had a Magellanic dam and a Humboldt sire. We sequenced mitochondrial and nuclear copies independently to confirm these results. We suggest that hybridization at Metalqui and Punihuil is encouraged by the low abundance of the Humboldt Penguin rather than by failed mate recognition.</t>
  </si>
  <si>
    <t>[Simeone, Alejandro; Hiriart--Bertrand, Luciano] Univ Andres Bello, Fac Ecol &amp; Recursos Nat, Dept Ecol &amp; Biodiversidad, Santiago, Chile; [Reyes-Arriagada, Ronnie] Univ Austral Chile, Fac Ciencias, Inst Zool, Valdivia, Chile; [Reyes-Arriagada, Ronnie] Univ Austral Chile, Fac Ciencias, Inst Ecol &amp; Evoluc, Valdivia, Chile; [Halpern, Micah; Dubach, Jean] Chicago Zool Soc, Dept Conservat Sci, Brookfield, IL 60513 USA; [Wallace, Roberta] Milwaukee Cty Zoo, Dept Anim Hlth, Milwaukee, WI 53226 USA; [Puetz, Klemens; Luethi, Benno] Zoo Zurich, Antarctic Res Trust, CH-8044 Zurich, Switzerland</t>
  </si>
  <si>
    <t>Universidad Andres Bello; Universidad Austral de Chile; Universidad Austral de Chile</t>
  </si>
  <si>
    <t>Simeone, A (corresponding author), Univ Andres Bello, Fac Ecol &amp; Recursos Nat, Dept Ecol &amp; Biodiversidad, Republ 470, Santiago, Chile.</t>
  </si>
  <si>
    <t>asimeone@unab.cl</t>
  </si>
  <si>
    <t>Puetz, Klemens/0000-0003-1375-2669; Hiriart-Bertrand, Luciano/0000-0001-8888-4776</t>
  </si>
  <si>
    <t>Antarctic Research Trust; Zoological Society of Milwaukee County, Milwaukee County Zoo; Windway Foundation</t>
  </si>
  <si>
    <t>Field work during 2008 was funded by a research grant from Antarctic Research Trust; blood collection in 1997 was funded by a grant provided by the Zoological Society of Milwaukee County, Milwaukee County Zoo, and the Windway Foundation. Francisco, Pedro, Pablo, Fena, Galindo, and Victoria Riquelme provided valuable help in the field. Katja Siemund was of great help in coordinating logistics at Punihuil. CONAF (Chilean Forest Service) provided permits to work both at Punihuil and Metalqui islands. Subpesca (Undersecretariat of Chilean Fisheries) provided permits for handling penguins. Daniel Gonzalez-Acuna and Raul Demangel generously provided pictures of Humboldt and Magellanic penguins. We are very grateful to all of them.</t>
  </si>
  <si>
    <t>10.1525/cond.2009.090083</t>
  </si>
  <si>
    <t>WOS:000270854600017</t>
  </si>
  <si>
    <t>Hoffman, JI</t>
  </si>
  <si>
    <t>Hoffman, Joseph I.</t>
  </si>
  <si>
    <t>A panel of new microsatellite loci for genetic studies of antarctic fur seals and other otariids</t>
  </si>
  <si>
    <t>CONSERVATION GENETICS</t>
  </si>
  <si>
    <t>Arctocephalus gazella; Microsatellite; Cross-species amplification; Stock structure; Assignment testing; Heterozygosity-fitness correlation (HFC); Pinniped</t>
  </si>
  <si>
    <t>GENOTYPING ERRORS; POPULATIONS; MARKERS</t>
  </si>
  <si>
    <t>Nine dinucelotide microsatellite loci were developed in the Antarctic fur seal Arctocephalus gazella. Each locus possessed between 4 and 9 alleles in a sample of twenty individuals sampled from Bird Island, South Georgia, and expected heterozygosity ranged from 0.52 to 0.84. All but one of the loci conformed to Hardy-Weinberg equilibrium and no evidence was found for genotypic disequilibrium. Additionally, all of the loci successfully cross-amplified in the South American fur seal Arctocephalus australis, the New Zealand fur seal Arctocephalus forsteri and the Steller's sea lion Eumetopias jubatus, and six also yielded products in the more distantly related harbour seal Phoca vitulina and walrus Odobenus rosmarus. These loci should prove useful for studies of the population genetics of Antarctic fur seals and other important otariid species.</t>
  </si>
  <si>
    <t>Univ Cambridge, Dept Zool, Cambridge CB2 3EJ, England</t>
  </si>
  <si>
    <t>Hoffman, JI (corresponding author), Univ Cambridge, Dept Zool, Downing St, Cambridge CB2 3EJ, England.</t>
  </si>
  <si>
    <t>jih24@cam.ac.uk</t>
  </si>
  <si>
    <t>Hoffman, Joseph/K-7725-2012</t>
  </si>
  <si>
    <t>Hoffman, Joseph/0000-0001-5895-8949</t>
  </si>
  <si>
    <t>Natural Environment Research Council (NERC); Antarctic Funding Initiative (AFI); Isaac Newton Trust; Cambridge University's Newton and Balfour funds</t>
  </si>
  <si>
    <t>Natural Environment Research Council (NERC)(UK Research &amp; Innovation (UKRI)Natural Environment Research Council (NERC)); Antarctic Funding Initiative (AFI); Isaac Newton Trust; Cambridge University's Newton and Balfour funds(University of Cambridge)</t>
  </si>
  <si>
    <t>I am grateful to Bill Amos for providing laboratory facilities. This work was funded by the Natural Environment Research Council (NERC), the Antarctic Funding Initiative (AFI), the Isaac Newton Trust and Cambridge University's Newton and Balfour funds. Samples were collected and retained under permits issued by the Department for Environment, Food and Rural Affairs (DEFRA), and in accordance with the Convention on International Trade in Endangered Species of Wild Fauna and Flora (CITES).</t>
  </si>
  <si>
    <t>1566-0621</t>
  </si>
  <si>
    <t>1572-9737</t>
  </si>
  <si>
    <t>CONSERV GENET</t>
  </si>
  <si>
    <t>Conserv. Genet.</t>
  </si>
  <si>
    <t>10.1007/s10592-008-9669-z</t>
  </si>
  <si>
    <t>459LN</t>
  </si>
  <si>
    <t>WOS:000267104000019</t>
  </si>
  <si>
    <t>Hewes, CD; Reiss, CS; Holm-Hansen, O</t>
  </si>
  <si>
    <t>Hewes, C. D.; Reiss, C. S.; Holm-Hansen, O.</t>
  </si>
  <si>
    <t>A quantitative analysis of sources for summertime phytoplankton variability over 18 years in the South Shetland Islands (Antarctica) region</t>
  </si>
  <si>
    <t>Phytoplankton; Iron; Upper mixed layer; Salinity; Antarctic; Climate; Gradient analysis</t>
  </si>
  <si>
    <t>NATURAL IRON-FERTILIZATION; EXPORT EXPERIMENT CROZEX; LARGE-SCALE CIRCULATION; A MAXIMA DCMS; ELEPHANT ISLAND; DISSOLVED IRON; LIGHT INTERACTIONS; BRANSFIELD STRAIT; KERGUELEN PLATEAU; WEDDELL SEA</t>
  </si>
  <si>
    <t>Eighteen years of summertime hydrographic and chlorophyll-a (Chl-a) data (similar to 2700 stations) from the South Shetland Islands (Antarctica) region show that a bell-shaped (unimodal) distribution of phytoplankton biomass results annually when plotted against the inshore to offshore gradient in surface salinity. The maximum for this unimodal Chl-a distribution corresponds with a shallow upper mixed layer (UML) in iron-rich waters that occurs at salinities similar to 34. Methods of gradient analysis are used to distinguish sources of variability for bloom development among years. The control of phytoplankton biomass is resolved across the salinity gradient that separates the co-limiting conditions of deep UML depths and low-iron concentrations as opposing end-members. Chlorophyll-fluorescence yield data (a proxy for Fe-stress) showed that at salinities similar to 34, phytoplankton biomass was unlikely to be limited by Fe. Instead, blooming at salinities similar to 34 (1.3 +/- 1 mg Chl-a m(-3)) co-varied with shallow UML depths (41 +/- 19 m) that occurred as a function of higher UML temperature (1.5 +/- 0.5 degrees C) among years, and is evidence that atmospheric climate variability impacts summertime phytoplankton biomass and production in this Southern Ocean seascape. (C) 2009 Elsevier Ltd. All rights reserved.</t>
  </si>
  <si>
    <t>[Hewes, C. D.; Holm-Hansen, O.] Univ Calif San Diego, Scripps Inst Oceanog, Div Marine Biol Res, La Jolla, CA 92093 USA; [Reiss, C. S.] NOAA Fisheries, Antarctic Ecosyst Res Div, SW Fisheries Sci Ctr, La Jolla, CA 92037 USA</t>
  </si>
  <si>
    <t>University of California System; University of California San Diego; Scripps Institution of Oceanography; National Oceanic Atmospheric Admin (NOAA) - USA</t>
  </si>
  <si>
    <t>Hewes, CD (corresponding author), Univ Calif San Diego, Scripps Inst Oceanog, Div Marine Biol Res, 9500 Gilman Dr, La Jolla, CA 92093 USA.</t>
  </si>
  <si>
    <t>National Oceanic and Atmospheric Administration; US Department of Commerce [NA17RJ1231]; NSF [OPP0230433, ANT0444134]; Office of Polar Programs (OPP); Directorate For Geosciences [0948338] Funding Source: National Science Foundation</t>
  </si>
  <si>
    <t>National Oceanic and Atmospheric Administration(National Oceanic Atmospheric Admin (NOAA) - USA); US Department of Commerce; NSF(National Science Foundation (NSF)); Office of Polar Programs (OPP); Directorate For Geosciences(National Science Foundation (NSF)NSF - Directorate for Geosciences (GEO))</t>
  </si>
  <si>
    <t>This work was supported by the US AMLR program, administered by the Antarctic Ecosystem Research Division at NOAA's Southwest Fisheries Research Center. La Jolla, California, funded in part by the National Oceanic and Atmospheric Administration, US Department of Commerce, under Grant NA17RJ1231 (O. Holm-Hansen), and NSF Office of Polar Programs Grant nos. OPP0230433 and ANT0444134 (G. Mitchell). We thank D. M. Karl and R. Fiedler for their solicited advice. We also thank the anonymous reviewers for comments and suggestions that improved this paper. Views contained herein are those of the authors and do not reflect those of NOAA, NSF, or any of their subsidiaries.</t>
  </si>
  <si>
    <t>10.1016/j.dsr.2009.01.010</t>
  </si>
  <si>
    <t>471WJ</t>
  </si>
  <si>
    <t>WOS:000268088700003</t>
  </si>
  <si>
    <t>Shirasawa, K; Eicken, H; Tateyama, K; Takatsuka, T; Kawamura, T</t>
  </si>
  <si>
    <t>Shirasawa, Kunio; Eicken, Hajo; Tateyama, Kazutaka; Takatsuka, Toru; Kawamura, Toshiyuki</t>
  </si>
  <si>
    <t>Sea-ice-thickness variability in the Chukchi Sea, spring and summer 2002-2004</t>
  </si>
  <si>
    <t>Sea-ice thickness; Snow depth; Electromagnetic induction instrument; Ice rafting; Ocean-heat flux; Chukchi Sea</t>
  </si>
  <si>
    <t>BACKSCATTER MAPS; MASS-BALANCE; FOOTPRINTS; MOTION; WINTER; OCEAN; NSCAT; THIN</t>
  </si>
  <si>
    <t>Measurements of sea-ice thickness were obtained from drill holes, an ice-based electromagnetic induction instrument (IEM), and a ship-borne electromagnetic induction instrument (SEM) during the early-melt season in the southern Chukchi Sea in 2002 and 2004, and in late summer 2003 at the time of minimum ice extent in the northern Chukchi Sea. An ice roughness criterion was applied to distinguish between level and rough or ridged ice. Ice-thickness modes in the probability density functions (PDFs) derived from drill-hole and IEM measurements agreed well, with modes at 1.5-1.6 and 1.8-1.9 m for all data from level ice. The PDFs derived from SEM measurements show that the primary modes are at 0.1 and 1.1 m in 2003 and 0.7 m in 2004. In 2002 and 2004, significant fractions (between one-third and one-half) of level ice were found to consist of rafted ice segments. Snow depth varied significantly between years, with 2004 data showing more than half the snow cover on level ice to be at or below 0.05 m depth in late spring. Ice growth simulations and examination of ice drift and deformation history indicate that impacts of atmospheric and oceanic warming on level-ice thickness in the region over the past few decades are masked to a large extent by variability in snow depth and the contribution of deformation processes. In comparison with submarine sonar ice-thickness data from previous decades, a reduction in ice thickness by about 0.5-1 m is in part explained by the replacement of multi-year with first-year ice over the Chukchi and Beaufort shelves. (c) 2008 Published by Elsevier Ltd.</t>
  </si>
  <si>
    <t>[Shirasawa, Kunio; Takatsuka, Toru; Kawamura, Toshiyuki] Hokkaido Univ, Inst Low Temp Sci, Kita Ku, Sapporo, Hokkaido 0600819, Japan; [Eicken, Hajo] Univ Alaska Fairbanks, Inst Geophys, Fairbanks, AK 99775 USA; [Tateyama, Kazutaka] Kitami Inst Technol, Dept Civil Engn, Kitami, Hokkaido 0908507, Japan</t>
  </si>
  <si>
    <t>Hokkaido University; University of Alaska System; University of Alaska Fairbanks; Kitami Institute of Technology</t>
  </si>
  <si>
    <t>Shirasawa, K (corresponding author), Hokkaido Univ, Inst Low Temp Sci, Kita Ku, Kita 19,Nishi 8, Sapporo, Hokkaido 0600819, Japan.</t>
  </si>
  <si>
    <t>kunio@lowtem.hokudai.ac.jp; hajo.eicken@gi.alaska.edu; tateyaka@mail.kitami-it.ac.jp</t>
  </si>
  <si>
    <t>Eicken, Hajo/M-6901-2016</t>
  </si>
  <si>
    <t>National Science Foundation [OPP-0125464]; Synthesis of the Arctic System program [OPP-0531173]; Ministry of Finance of China [CHINARE-2003]; National Institute of Polar Research in Japan; Japan Society for the Promotion of Science; Japanese Ministry of Education, Culture, Sports, Science and Technology</t>
  </si>
  <si>
    <t>National Science Foundation(National Science Foundation (NSF)); Synthesis of the Arctic System program; Ministry of Finance of China; National Institute of Polar Research in Japan; Japan Society for the Promotion of Science(Ministry of Education, Culture, Sports, Science and Technology, Japan (MEXT)Japan Society for the Promotion of Science); Japanese Ministry of Education, Culture, Sports, Science and Technology(Ministry of Education, Culture, Sports, Science and Technology, Japan (MEXT))</t>
  </si>
  <si>
    <t>We thank personnel onboard USCGC Healy and R/V Xuelong for their professional and friendly support, which enabled us to carry out extensive measurements both on and off the vessels. Rolf Gradinger, Heike Merkel and Michael Tapp helped with field work on the Healy. Zhanhai Zhang, Zhijun Li, Chen Bo, Cheng Bin and Pekka Koslof provided helpful support during the CHINARE-2003. Thanks go to Shotarc, Uto for his useful comments on EM data analysis and also to anonymous reviewers for their constructive comments to improve the manuscript. This work was supported by the National Science Foundation Grant OPP-0125464 as part of the Shelf-Basin Interactions Program with additional support from the Synthesis of the Arctic System program grant OPP-0531173, by the Ministry of Finance of China as part of the Second Chinese National Arctic Research Expedition (CHINARE-2003), organized by the Chinese Arctic and Antarctic Administration (CAA), by the National Institute of Polar Research in Japan, by the Japan Society for the Promotion of Science and by the Japanese Ministry of Education, Culture, Sports, Science and Technology.</t>
  </si>
  <si>
    <t>10.1016/j.dsr2.2008.10.015</t>
  </si>
  <si>
    <t>469EJ</t>
  </si>
  <si>
    <t>WOS:000267878200004</t>
  </si>
  <si>
    <t>Nel, W; van der Merwe, BJ; Meiklejohn, KI</t>
  </si>
  <si>
    <t>Nel, Werner; van der Merwe, Barend J.; Meiklejohn, K. Ian</t>
  </si>
  <si>
    <t>Rethinking climate change impacts on subsurface temperatures in a sub-Antarctic mire affected by synoptic scale processes</t>
  </si>
  <si>
    <t>EARTH SURFACE PROCESSES AND LANDFORMS</t>
  </si>
  <si>
    <t>Marion Island; climate change; synoptic weather; mire temperatures</t>
  </si>
  <si>
    <t>This paper presents the first high resolution temperature data from a small Agrostis magellanica mire on subantarctic Marion Island as part of an ongoing island-wide monitoring project on subsurface ground temperature variability. Variations in ground temperatures were found to be directly linked to the passage of synoptic scale weather systems that influence thermal characteristics and heat fluxes especially in the upper 30 cm of the mire. Preliminary data published here suggest that shallow temperatures will be most affected by changes in synoptic climate that Marion Island is currently experiencing with an increase in average temperatures and a reduction in temperature variability with depth. This study proposes that to effectively detect the ecosystem responses to climate change in a maritime sub-Antarctic environment the temporal scale of measurement needs to be at least on a diurnal scale to be effective. Copyright (C) 2009 John Wiley &amp; Sons, Ltd.</t>
  </si>
  <si>
    <t>[Nel, Werner] Univ Ft Hare, Dept Geog &amp; Environm Sci, ZA-5700 Alice, South Africa; [van der Merwe, Barend J.; Meiklejohn, K. Ian] Univ Pretoria, Dept Geog Geoinformat &amp; Meteorol, ZA-0002 Pretoria, South Africa</t>
  </si>
  <si>
    <t>University of Fort Hare; University of Pretoria</t>
  </si>
  <si>
    <t>Nel, W (corresponding author), Univ Ft Hare, Dept Geog &amp; Environm Sci, ZA-5700 Alice, South Africa.</t>
  </si>
  <si>
    <t>wnel@ufh.ac.za</t>
  </si>
  <si>
    <t>Meiklejohn, Ian/F-3183-2012</t>
  </si>
  <si>
    <t>Meiklejohn, Ian/0000-0001-8890-2938; Nel, Werner/0000-0002-3769-4937; van der Merwe, Barend/0000-0002-9908-0295</t>
  </si>
  <si>
    <t>South African National Research Foundation</t>
  </si>
  <si>
    <t>South African National Research Foundation(National Research Foundation - South Africa)</t>
  </si>
  <si>
    <t>The South African National Research Foundation provided financial Support, while the Directorate: Antarctica and Islands (Department of Environmental Affairs and Tourism) provided logistical assistance. Both organizations are gratefully thanked for their contributions.</t>
  </si>
  <si>
    <t>0197-9337</t>
  </si>
  <si>
    <t>1096-9837</t>
  </si>
  <si>
    <t>EARTH SURF PROC LAND</t>
  </si>
  <si>
    <t>Earth Surf. Process. Landf.</t>
  </si>
  <si>
    <t>10.1002/esp.1823</t>
  </si>
  <si>
    <t>483HK</t>
  </si>
  <si>
    <t>WOS:000268953600011</t>
  </si>
  <si>
    <t>Giebel, HA; Brinkhoff, T; Zwisler, W; Selje, N; Simon, M</t>
  </si>
  <si>
    <t>Giebel, Helge-Ansgar; Brinkhoff, Thorsten; Zwisler, Walter; Selje, Natascha; Simon, Meinhard</t>
  </si>
  <si>
    <t>Distribution of Roseobacter RCA and SAR11 lineages and distinct bacterial communities from the subtropics to the Southern Ocean</t>
  </si>
  <si>
    <t>HETEROTROPHIC PICOPLANKTON PRODUCTION; MICROBIAL DIVERSITY; AUSTRAL SUMMER; MARINE; CLUSTER; GRADIENT; POPULATIONS; ENVIRONMENT; ABUNDANCE; DYNAMICS</t>
  </si>
  <si>
    <t>P&gt;We assessed the composition of the bacterioplankton in the Atlantic sector of the Southern Ocean in austral fall and winter and in New Zealand coastal waters in summer. The various water masses between the subtropics/Agulhas-Benguela boundary region and the Antarctic coastal current exhibited distinct bacterioplankton communities with the highest richness in the polar frontal region, as shown by denaturing gradient gel electrophoresis of 16S rRNA gene fragments. The SAR11 clade and the Roseobacter clade-affiliated (RCA) cluster were quantified by real-time quantitative PCR. SAR11 was detected in all samples analysed from subtropical waters to the coastal current and to depths of &gt; 1000 m. In fall and winter, this clade constituted &lt; 3% to 48% and 4-28% of total bacterial 16S rRNA genes respectively, with highest fractions in subtropical to polar frontal regions. The RCA cluster was only present in New Zealand coastal surface waters not exceeding 17 degrees C, in the Agulhas-Benguela boundary region (visited only during the winter cruise), in subantarctic waters and in the Southern Ocean. In fall, this cluster constituted up to 36% of total bacterial 16S rRNA genes with highest fractions in the Antarctic coastal current and outnumbered the SAR11 clade at most stations in the polar frontal region and further south. In winter, the RCA cluster constituted lower proportions than the SAR11 clade and did not exceed 8% of total bacterial 16S rRNA genes. In fall, the RCA cluster exhibited significant positive correlations with latitude and ammonium concentrations and negative correlations with concentrations of nitrate, phosphate, and for near-surface samples also with chlorophyll a, biomass production of heterotrophic prokaryotes and glucose turnover rates. The findings show that the various water masses between the subtropics and the Antarctic coastal current harbour distinct bacterioplankton communities. They further indicate that the RCA cluster, despite the narrow sequence similarity of &gt; 98% of its 16S rRNA gene, is an abundant component of the heterotrophic bacterioplankton in the Southern Ocean, in particular in its coldest regions.</t>
  </si>
  <si>
    <t>[Giebel, Helge-Ansgar; Brinkhoff, Thorsten; Zwisler, Walter; Selje, Natascha; Simon, Meinhard] Carl von Ossietzky Univ Oldenburg, Inst Chem &amp; Biol Marine Environm, D-26111 Oldenburg, Germany</t>
  </si>
  <si>
    <t>Carl von Ossietzky Universitat Oldenburg</t>
  </si>
  <si>
    <t>Simon, M (corresponding author), Carl von Ossietzky Univ Oldenburg, Inst Chem &amp; Biol Marine Environm, D-26111 Oldenburg, Germany.</t>
  </si>
  <si>
    <t>m.simon@icbm.de</t>
  </si>
  <si>
    <t>Giebel, Helge-Ansgar/0000-0002-9452-0810</t>
  </si>
  <si>
    <t>Deutsche Forschungsgemeinschaft</t>
  </si>
  <si>
    <t>We thank the crew of the RV Polarstern for their support on shipboard, Meike Kramer for collecting the samples during cruise ANT XXIII/7 and Richard Taylor for allowing the filtration of the New Zealand samples at the Leigh Marine Laboratory. We are most grateful to Marcelino Suzuki for providing us with a standard clone of the SAR11 clade, to Mirko Lunau for support with the flow cytometric determination of prokaryote abundance and to Andrea Schlingloff and Rabea Schledjewski for technical assistance in sequencing. Comments of three anonymous reviewers on an earlier version of this paper are gratefully acknowledged. This work was supported by grants of the Deutsche Forschungsgemeinschaft within the Special Priority Program on Antarctic Research.</t>
  </si>
  <si>
    <t>10.1111/j.1462-2920.2009.01942.x</t>
  </si>
  <si>
    <t>479JH</t>
  </si>
  <si>
    <t>WOS:000268655000020</t>
  </si>
  <si>
    <t>Pearce, DA; Bridge, PD; Hughes, KA; Sattler, B; Psenner, R; Russell, NJ</t>
  </si>
  <si>
    <t>Pearce, David A.; Bridge, Paul D.; Hughes, Kevin A.; Sattler, Birgit; Psenner, Roland; Russell, Nick J.</t>
  </si>
  <si>
    <t>Microorganisms in the atmosphere over Antarctica</t>
  </si>
  <si>
    <t>FEMS MICROBIOLOGY ECOLOGY</t>
  </si>
  <si>
    <t>Antarctica; aerobiology; aerial; polar; atmosphere</t>
  </si>
  <si>
    <t>BACILLUS-SUBTILIS SPORES; AIRBORNE BACTERIA; AERIAL DISPERSAL; BOUNDARY-LAYER; VICTORIA-LAND; SURFACE MICROLAYER; RESEARCH STATION; LEAFY LIVERWORT; FUNGAL SPORES; SAUDI-ARABIA</t>
  </si>
  <si>
    <t>Antarctic microbial biodiversity is the result of a balance between evolution, extinction and colonization, and so it is not possible to gain a full understanding of the microbial biodiversity of a location, its biogeography, stability or evolutionary relationships without some understanding of the input of new biodiversity from the aerial environment. In addition, it is important to know whether the microorganisms already present are transient or resident - this is particularly true for the Antarctic environment, as selective pressures for survival in the air are similar to those that make microorganisms suitable for Antarctic colonization. The source of potential airborne colonists is widespread, as they may originate from plant surfaces, animals, water surfaces or soils and even from bacteria replicating within the clouds. On a global scale, transport of air masses from the well-mixed boundary layer to high-altitude sites has frequently been observed, particularly in the warm season, and these air masses contain microorganisms. Indeed, it has become evident that much of the microbial life within remote environments is transported by air currents. In this review, we examine the behaviour of microorganisms in the Antarctic aerial environment and the extent to which these microorganisms might influence Antarctic microbial biodiversity.</t>
  </si>
  <si>
    <t>[Pearce, David A.; Bridge, Paul D.; Hughes, Kevin A.] British Antarctic Survey, Div Biol Sci, Nat Environm Res Council, Cambridge CB3 0ET, England; [Sattler, Birgit; Psenner, Roland] Univ Innsbruck, Inst Ecol, A-6020 Innsbruck, Austria; [Russell, Nick J.] Imperial Coll, Ashford, Kent, England</t>
  </si>
  <si>
    <t>UK Research &amp; Innovation (UKRI); Natural Environment Research Council (NERC); NERC British Antarctic Survey; University of Innsbruck; Imperial College London</t>
  </si>
  <si>
    <t>Pearce, DA (corresponding author), British Antarctic Survey, Div Biol Sci, Nat Environm Res Council, Madingley Rd, Cambridge CB3 0ET, England.</t>
  </si>
  <si>
    <t>dpearce@bas.ac.uk</t>
  </si>
  <si>
    <t>Hughes, Kevin/JVZ-0793-2024; Sattler, Birgit/C-4070-2018</t>
  </si>
  <si>
    <t>Austrian Academy of Science; CRYO.AIR (Tyrolean Science Fund); Natural Environment Research Council [bas010020] Funding Source: researchfish; NERC [bas010020] Funding Source: UKRI</t>
  </si>
  <si>
    <t>Austrian Academy of Science; CRYO.AIR (Tyrolean Science Fund); Natural Environment Research Council(UK Research &amp; Innovation (UKRI)Natural Environment Research Council (NERC)); NERC(UK Research &amp; Innovation (UKRI)Natural Environment Research Council (NERC))</t>
  </si>
  <si>
    <t>This paper contributes to the British Antarctic Survey core research programmes; BSD-LTMSB task 7, EID-LTMS and the project CRYO.RAD by the Austrian Academy of Science and CRYO.AIR (Tyrolean Science Fund). We would also like to acknowledge the helpful suggestions of Ian Head and two anonymous reviewers, which has greatly improved the manuscript.</t>
  </si>
  <si>
    <t>0168-6496</t>
  </si>
  <si>
    <t>1574-6941</t>
  </si>
  <si>
    <t>FEMS MICROBIOL ECOL</t>
  </si>
  <si>
    <t>FEMS Microbiol. Ecol.</t>
  </si>
  <si>
    <t>10.1111/j.1574-6941.2009.00706.x</t>
  </si>
  <si>
    <t>467PI</t>
  </si>
  <si>
    <t>WOS:000267751000001</t>
  </si>
  <si>
    <t>Devincenti, CV; Díaz, AO; García, AM; Goldemberg, AL</t>
  </si>
  <si>
    <t>Devincenti, C. V.; Diaz, A. O.; Garcia, A. M.; Goldemberg, A. L.</t>
  </si>
  <si>
    <t>Pectoral fins of Micropogonias furnieri: a histochemical and ultrastructural study</t>
  </si>
  <si>
    <t>FISH PHYSIOLOGY AND BIOCHEMISTRY</t>
  </si>
  <si>
    <t>Muscle histochemistry; Pectoral fibres; Subcarangiform swimming; Teleost; TEM; White croaker</t>
  </si>
  <si>
    <t>ANTARCTIC NOTOTHENIOID FISHES; MUSCLE-FIBER TYPES; LATERAL MUSCULATURE; FLATFISH; TELEOST</t>
  </si>
  <si>
    <t>The myotomal fibres of the pectoral fins of white croaker (Micropogonias furnieri) have been studied using histochemical techniques and transmission electron microscopy (TEM). Succinic dehydrogenase (SDH) for mitochondria, periodic acid Schiff (PAS) for glycogen, Sudan Black for lipids and myosin-adenosintriphosphatase (mATPase) pre-incubated at alkaline and acid pHs were used to visualize the contraction velocity. Three zones were determined: superficial (SZ), medium (MZ) and deep (DZ). Staining for SDH, PAS and Sudan Black was positive only in the SZ. The level of alkaline mATPase was the highest in fibres from the DZ, intermediate in the MZ and low in the SZ; at an acid pH, the reverse was obtained. Fibres from the SZ were small with large quantities of subsarcolemmal mitochondria, scarce intermyofibrilar mitochondria and a well-developed sarcoplasmic reticulum; the myofibrils displayed a polygonal distribution along the entire length of the fibre. Fibres in the MZ were larger than those in the SZ, the myofibrils were densely packed, mitochondria prevailed under the sarcolemma and the sarcoplasmic reticulum was not abundant. Fibres from the DZ were the largest, with ribbon-shaped myofibrils and scarce mitochondria. The intercellular space was abundant and nervous endings were frequently observed.</t>
  </si>
  <si>
    <t>[Devincenti, C. V.; Diaz, A. O.; Goldemberg, A. L.] Univ Nacl Mar del Plata, Dept Biol, Fac Ciencias Exactas &amp; Nat, RA-7600 Mar Del Plata, Buenos Aires, Argentina; [Garcia, A. M.] Consejo Nacl Invest Cient &amp; Tecn, RA-1033 Buenos Aires, DF, Argentina</t>
  </si>
  <si>
    <t>National University of Mar del Plata; Consejo Nacional de Investigaciones Cientificas y Tecnicas (CONICET)</t>
  </si>
  <si>
    <t>Devincenti, CV (corresponding author), Univ Nacl Mar del Plata, Dept Biol, Fac Ciencias Exactas &amp; Nat, Funes 3250,3Er Piso, RA-7600 Mar Del Plata, Buenos Aires, Argentina.</t>
  </si>
  <si>
    <t>cdevin@mdp.edu.ar</t>
  </si>
  <si>
    <t>Universidad Nacional de Mar del Plata (UNMdP); Agencia Nacional de Promocion Cientifica y Tecnologica (ANPCyT) Argentina</t>
  </si>
  <si>
    <t>Universidad Nacional de Mar del Plata (UNMdP)(National University of La Plata); Agencia Nacional de Promocion Cientifica y Tecnologica (ANPCyT) Argentina(ANPCyT)</t>
  </si>
  <si>
    <t>This research was partly supported by grants from the Universidad Nacional de Mar del Plata (UNMdP) and from the Agencia Nacional de Promocion Cientifica y Tecnologica (ANPCyT) Argentina.</t>
  </si>
  <si>
    <t>0920-1742</t>
  </si>
  <si>
    <t>1573-5168</t>
  </si>
  <si>
    <t>FISH PHYSIOL BIOCHEM</t>
  </si>
  <si>
    <t>Fish Physiol. Biochem.</t>
  </si>
  <si>
    <t>10.1007/s10695-008-9216-3</t>
  </si>
  <si>
    <t>Biochemistry &amp; Molecular Biology; Fisheries; Physiology</t>
  </si>
  <si>
    <t>466RT</t>
  </si>
  <si>
    <t>WOS:000267681000001</t>
  </si>
  <si>
    <t>Balston, J</t>
  </si>
  <si>
    <t>Balston, Jacqueline</t>
  </si>
  <si>
    <t>An analysis of the impacts of long-term climate variability on the commercial barramundi (Lates calcarifer) fishery of north-east Queensland, Australia</t>
  </si>
  <si>
    <t>FISHERIES RESEARCH</t>
  </si>
  <si>
    <t>Decadal; Fisheries; Barramundi; Management; Sustainable</t>
  </si>
  <si>
    <t>ANTARCTIC OSCILLATION; ANNULAR MODES; BLOCH; PACIFIC; TROPOSPHERE; CARPENTARIA; MATURITY; ATLANTIC; GROWTH; INDEX</t>
  </si>
  <si>
    <t>Significant relationships between long-term climate indices such as the Interdecadal Pacific Oscillation and fisheries catch have been shown for a number of oceanic species such as herring, cod, sardine and anchovy that are dependant on oceanic upwelling for food chain nutrients. However, there are no similar studies between long-term climate cycles and estuarine species. In this study, barramundi (Laces calcarifer) landings as recorded by the Fish Board across north-east Queensland were found to be significantly correlated with an index of the Quasi-biennial Oscillation at lags of three to four years and the latitude of the sub-tropical ridge one to four years prior to catch. These results indicate that long-term climate cycles may affect the early life cycle stages of the species by influencing climate variables Such as rainfall, stream flow and temperature and hence nutrient availability and nursery habitat suitability. Significant relationships between long-term climate cycles and barramundi catch may provide an opportunity to predict catch a number of years in advance. 2009 Published by Elsevier B.V.</t>
  </si>
  <si>
    <t>[Balston, Jacqueline] Queensland Climate Change Ctr Excellence, Cairns, Qld 4870, Australia; [Balston, Jacqueline] James Cook Univ, Sch Earth &amp; Environm Sci, Cairns, Qld 4870, Australia</t>
  </si>
  <si>
    <t>James Cook University</t>
  </si>
  <si>
    <t>Balston, J (corresponding author), POB 48, Glenside, SA 5065, Australia.</t>
  </si>
  <si>
    <t>jacqueline.balston@jbalston.com</t>
  </si>
  <si>
    <t>Queensland Department of Primary Industries; Queensland Department of Natural Resources and Water and the Queensland Centre</t>
  </si>
  <si>
    <t>This study forms part of a doctoral research project funded by the Queensland Department of Primary Industries, Queensland Department of Natural Resources and Water and the Queensland Centre for Climate Change Excellence. In-kind support was provided by the James Cook University School of Earth and Environmental Sciences.</t>
  </si>
  <si>
    <t>0165-7836</t>
  </si>
  <si>
    <t>FISH RES</t>
  </si>
  <si>
    <t>Fish Res.</t>
  </si>
  <si>
    <t>10.1016/j.fishres.2009.05.001</t>
  </si>
  <si>
    <t>476KT</t>
  </si>
  <si>
    <t>WOS:000268440000003</t>
  </si>
  <si>
    <t>Aléon, J; Engrand, C; Leshin, LA; McKeegan, KD</t>
  </si>
  <si>
    <t>Aleon, J.; Engrand, C.; Leshin, L. A.; McKeegan, K. D.</t>
  </si>
  <si>
    <t>Oxygen isotopic composition of chondritic interplanetary dust particles: A genetic link between carbonaceous chondrites and comets</t>
  </si>
  <si>
    <t>TAGISH LAKE METEORITE; THIN-FILM ANALYSES; SOLAR-SYSTEM; ANTARCTIC MICROMETEORITES; MAGNESIAN CHONDRULES; ELECTRON-MICROSCOPE; ATMOSPHERIC ENTRY; ORGUEIL METEORITE; COSMIC SPHERULES; OLIVINE</t>
  </si>
  <si>
    <t>Oxygen isotopes were measured in four chondritic hydrated interplanetary dust particles (IDPs) and five chondritic anhydrous IDPs including two GEMS-rich particles (Glass embedded with metal and sulfides) by a combination of high precision and high lateral resolution ion microprobe techniques. All IDPs have isotopic compositions tightly clustered around that of solar system planetary materials. Hydrated IDPs have mass-fractionated oxygen isotopic compositions similar to those of CI and CM carbonaceous chondrites, consistent with hydration of initially anhydrous protosolar dust. Anhydrous IDPs have small O-16 excesses and depletions similar to those ;of carbonaceous chondrites, the largest O-16 variations being hosted by the two GEMS-rich IDPs. Coarse-grained forsteritic olivine and enstatite in anhydrous IDPs are isotopically similar to their counterparts in comet Wild 2 and in chondrules suggesting a high temperature inner solar system origin. The small variations in the O-16 content of GEMS-rich IDPs suggest that most GEMS either do not preserve a record of interstellar processes or the initial interstellar dust is not O-16-rich as expected by self-shielding models, although a larger dataset is required to verify these conclusions. Together with other chemical and mineralogical indicators, O isotopes show that the parent-bodies of carbonaceous chondrites, of chondritic IDPs, of most Antarctic micrometeorites, and comet Wild 2 belong to a single family of objects of carbonaceous chondrite chemical affinity as distinct from ordinary, enstatite, K- and R-chondrites. Comparison with astronomical observations thus suggests a chemical continuum of objects including main belt and outer solar system asteroids such as C-type, P-type and D-type asteroids, Trojans and Centaurs as well as short-period comets and other Kuiper Belt Objects. (C) 2009 Elsevier Ltd. All rights reserved.</t>
  </si>
  <si>
    <t>[Aleon, J.] Lawrence Livermore Natl Lab, Glenn T Seaborg Inst, Livermore, CA 94550 USA; [Aleon, J.] Ctr Rech Petrog &amp; Geochim, F-54501 Vandoeuvre Les Nancy, France; [Engrand, C.; Leshin, L. A.; McKeegan, K. D.] Univ Calif Los Angeles, Dept Earth &amp; Space Sci, Los Angeles, CA 90095 USA; [Engrand, C.] Ctr Spectrometrie Nucl &amp; Spectrometrie Masse, F-91405 Orsay, France; [Leshin, L. A.] NASA, Goddard Space Flight Ctr, Greenbelt, MD 20771 USA</t>
  </si>
  <si>
    <t>United States Department of Energy (DOE); Lawrence Livermore National Laboratory; Universite de Lorraine; University of California System; University of California Los Angeles; Universite Paris Saclay; National Aeronautics &amp; Space Administration (NASA); NASA Goddard Space Flight Center</t>
  </si>
  <si>
    <t>Aléon, J (corresponding author), Lawrence Livermore Natl Lab, Glenn T Seaborg Inst, POB 808, Livermore, CA 94550 USA.</t>
  </si>
  <si>
    <t>Jerome.Aleon@csnsm.in2p3.fr</t>
  </si>
  <si>
    <t>McKeegan, Kevin/A-4107-2008</t>
  </si>
  <si>
    <t>McKeegan, Kevin/0000-0002-1827-729X</t>
  </si>
  <si>
    <t>NSF; NASA; LLNL Institute of Geophysics and Planetary Physics; US Department of Energy [DE-AC52-07NA27344]</t>
  </si>
  <si>
    <t>NSF(National Science Foundation (NSF)); NASA(National Aeronautics &amp; Space Administration (NASA)); LLNL Institute of Geophysics and Planetary Physics; US Department of Energy(United States Department of Energy (DOE))</t>
  </si>
  <si>
    <t>We would like to thank John Bradley and Don Brownlee for providing the IDPs studied in 1999 and the curation team at the Johnson Space Center for providing the IDPs studied in 2005. Ian Hutcheon is warmly thanked for hosting one of us (JA) during the 2005 session. Together with JEOL, he also provided necessary help with the brand new LLNL FEG-SEM. All the ion probe group in Nancy is warmly thanked for discussions, help and maintenance of the IMS 1270 during the 2003-2004 small beam analysis development sessions. Alice Aleon-Toppani is thanked for numerous discussions about the nature of GEMS. Advice from Rick Ryerson and Mike Toplis about oxygen self-diffusion is appreciated. We would like to thank in-depth revision and advices from the associate editor Christian Koeberl, from Matthew Genge and two other anonymous reviewers. The UCLA ion probe laboratory is partially supported by the NSF Instrumentation and Facilities program. This work was supported by a grant from the NASA Cosmochemistry program and by the LLNL Institute of Geophysics and Planetary Physics. This work was performed under the auspices of the US Department of Energy by the Lawrence Livermore National Laboratory under Contract DE-AC52-07NA27344.</t>
  </si>
  <si>
    <t>10.1016/j.gca.2009.04.034</t>
  </si>
  <si>
    <t>469DP</t>
  </si>
  <si>
    <t>WOS:000267876200016</t>
  </si>
  <si>
    <t>Kender, S; Peck, VL; Jones, RW; Kaminski, MA</t>
  </si>
  <si>
    <t>Kender, S.; Peck, V. L.; Jones, R. W.; Kaminski, M. A.</t>
  </si>
  <si>
    <t>Middle Miocene oxygen minimum zone expansion offshore West Africa: Evidence for global cooling precursor events</t>
  </si>
  <si>
    <t>ATMOSPHERIC CARBON-DIOXIDE; RIVER FLOOD BASALTS; BENTHIC FORAMINIFERA; CLIMATE; OCEAN; EVOLUTION; ATLANTIC; SEA; RECORD</t>
  </si>
  <si>
    <t>Three dissolution events ca. 16 Ma, 15.5 Ma, and 14.3 Ma ago have been identified in sediments from the Congo Fan. Multiproxy benthic foraminiferal and sedimentary records suggest an expanded oxygen minimum zone consistent with enhanced upwelling at these times. Marine carbonate records from adjacent North Africa indicate coincident episodes of increased continental weathering, suggesting that an intermittently stronger polar front strengthened west African offshore winds, increasing surface water productivity, and enhanced North African weathering during these events. We propose that Columbia River Flood Basalt volcanism, estimated to have released 10(6) Tg CO2 and 10(6) Tg SO2 between 16 and 15.6 Ma ago, may have influenced these climatic changes.</t>
  </si>
  <si>
    <t>[Kender, S.] British Geol Survey, Keyworth NG12 5GG, Notts, England; [Peck, V. L.] British Antarctic Survey, Cambridge CB3 0ET, England; [Jones, R. W.] BP, Sunbury On Thames TW16 7LN, Middx, England; [Kaminski, M. A.] UCL, Dept Earth Sci, London WC1E 6BT, England</t>
  </si>
  <si>
    <t>UK Research &amp; Innovation (UKRI); Natural Environment Research Council (NERC); NERC British Geological Survey; UK Research &amp; Innovation (UKRI); Natural Environment Research Council (NERC); NERC British Antarctic Survey; BP; University of London; University College London</t>
  </si>
  <si>
    <t>Kender, S (corresponding author), British Geol Survey, Keyworth NG12 5GG, Notts, England.</t>
  </si>
  <si>
    <t>sev.kender@bgs.ac.uk</t>
  </si>
  <si>
    <t>Kaminski, Michael/K-3334-2012; Kender, Sev/B-9409-2016</t>
  </si>
  <si>
    <t>Kender, Sev/0000-0003-4216-3214; Kaminski, Michael A/0000-0002-7344-5874</t>
  </si>
  <si>
    <t>BP; Natural Environment Research Council [bas010019, bgs05002] Funding Source: researchfish; NERC [bas010019, bgs05002] Funding Source: UKRI</t>
  </si>
  <si>
    <t>BP; Natural Environment Research Council(UK Research &amp; Innovation (UKRI)Natural Environment Research Council (NERC)); NERC(UK Research &amp; Innovation (UKRI)Natural Environment Research Council (NERC))</t>
  </si>
  <si>
    <t>This research was partly funded by BP, which also provided all samples. We thank Ian Hall (Cardiff University) for isotope analysis, Christopher Vane (British Geological Survey) for total organic carbon analysis, and J. Reis and an anonymous reviewer for insightful comments. Published with permission of the Executive Director of the British Geological Survey (Natural Environment Research Council).</t>
  </si>
  <si>
    <t>10.1130/G30070A.1</t>
  </si>
  <si>
    <t>477DR</t>
  </si>
  <si>
    <t>WOS:000268498600007</t>
  </si>
  <si>
    <t>Borisova, TD; Blagoveshchenskaya, NF; Kornienko, VA; Frolov, VL; Vertogradov, GG; Vertogradov, VG</t>
  </si>
  <si>
    <t>Borisova, T. D.; Blagoveshchenskaya, N. F.; Kornienko, V. A.; Frolov, V. L.; Vertogradov, G. G.; Vertogradov, V. G.</t>
  </si>
  <si>
    <t>Splitting of the Doppler frequency shift of bi-static backscatter signals during the Sura experiments</t>
  </si>
  <si>
    <t>The experimental studies of the specific behavior of small-scale artificial ionospheric irregularities at midlatitudes, performed using the Sura HF heating facility, are analyzed. The observations were performed in September 2006, using the method of bi-static backscatter by artificial ionospheric irregularities on the Armavir-Sura-St. Petersburg and Samara-Sura-Rostov-on-Don diagnostic paths. It has been detected that the Doppler frequency shift of scattered signals at 3-7 Hz was split on the Armavir-Sura-St. Petersburg path from 1500 to 1600 UT on September 6, 2006. The simultaneous measurements on the Samara-Sura-Rostov-on-Don path indicated that only one signal of bi-static backscatter was present. An analysis of the experimental data, performed using the numerical simulation results, indicated that the ordinary and extraordinary polarization modes of bi-static backscatter signals could be simultaneously observed on September 6, 2006, on the Armavir-Sura-St. Petersburg path.</t>
  </si>
  <si>
    <t>[Borisova, T. D.; Blagoveshchenskaya, N. F.; Kornienko, V. A.] Russian Acad Sci AANII, Arctic &amp; Antarctic Res Inst, St Petersburg 199397, Russia; [Frolov, V. L.] Radiophys Res Inst, Nizhnii Novgorod 603600, Russia; [Vertogradov, G. G.; Vertogradov, V. G.] Rostov State Univ, Rostov Na Donu 344006, Russia</t>
  </si>
  <si>
    <t>Russian Academy of Sciences; Arctic &amp; Antarctic Research Institute; Lobachevsky State University of Nizhni Novgorod; Southern Federal University</t>
  </si>
  <si>
    <t>Borisova, TD (corresponding author), Russian Acad Sci AANII, Arctic &amp; Antarctic Res Inst, Ul Beringa 38, St Petersburg 199397, Russia.</t>
  </si>
  <si>
    <t>Frolov, Vladimir/AAU-9780-2020; Borisova, Tatiana/AAK-7698-2020; Blagoveshchenskaya, Nataly/AAE-4093-2022; Blagoveshchenskaya, Nataly F./S-4342-2017</t>
  </si>
  <si>
    <t>Blagoveshchenskaya, Nataly/0000-0003-1752-3273; Blagoveshchenskaya, Nataly F./0000-0003-1752-3273; Vertogradov, Gennady/0000-0002-5307-5386; Borisova, Tatiana/0000-0003-1727-5310</t>
  </si>
  <si>
    <t>Russian Foundation for Basic Research [07-02-00246]</t>
  </si>
  <si>
    <t>This work was supported by the Russian Foundation for Basic Research, project no. 07-02-00246.</t>
  </si>
  <si>
    <t>10.1134/S0016793209040124</t>
  </si>
  <si>
    <t>476GT</t>
  </si>
  <si>
    <t>WOS:000268427700012</t>
  </si>
  <si>
    <t>Veevers, JJ</t>
  </si>
  <si>
    <t>Veevers, J. J.</t>
  </si>
  <si>
    <t>Palinspastic (pre-rift and -drift) fit of India and conjugate Antarctica and geological connections across the suture</t>
  </si>
  <si>
    <t>Palinspastic fit; Antarctica; India; Gondwanaland; Eastern Ghats-Rayner Complex; Lambert-Mahanadi Rift</t>
  </si>
  <si>
    <t>EASTERN GHATS BELT; PRINCE-CHARLES MOUNTAINS; U-PB GEOCHRONOLOGY; KEMP-LAND COAST; CONTINENTAL-MARGIN; NAPIER COMPLEX; SRI-LANKA; CRUSTAL STRUCTURE; THERMAL HISTORY; BASTAR CRATON</t>
  </si>
  <si>
    <t>The passive continental margins of India and conjugate Antarctica (30 degrees-80 degrees E) have been reconstructed quantitatively by eliminating the intervening ocean floor. Recently acquired seismic and gravity data from the margins define the boundary between continental and oceanic crust (COB) and indicate the thickness of the extended (rifted) continental crust. The COBs are restored to their pre-rift position by eliminating pre-drift extension and are fitted together. This fully palinspastic reconstruction reveals the Lambert and Mahanadi Rifts aligned in a Permian-Triassic rift system, the Napier salient draped by the bight of India, and strong connections within each of four sectors: (1) Southern Granulite Terrain-Sri Lanka-Lutzow-Holm Terrane-Rayner Complex; (2) Napier-southern Eastern Ghats Mobile Belt-Dharwar Craton: (3) Kemp Land-MacRobertson Land-northern Eastern Ghats Mobile Belt-Bastar Craton: and (4) Prydz-Rauer-Vestfold Hills-Singhbhum Province. Major events registered are (a) a 0.9-1.3 Ga (Grenville) convergence that formed the Eastern Ghats-Rayner Mobile Belt in Rodinia, and (b) 0.50-0.60 Ga (Pan-Gondwanaland) events that accreted the Southern Granulite Terrain and Sri Lanka to the Antarctic-Indian region. Gondwanaland broke up at 0.14 Ga along the grain of the Eastern Ghats-Rayner Mobile Belt and across the composite Archean Dharwar-Napier Craton and the long axis of the Permian-Triassic rift system. (C) 2009 International Association for Gondwana Research. Published by Elsevier B.V. All rights reserved.</t>
  </si>
  <si>
    <t>Macquarie Univ, Dept Earth &amp; Planetary Sci, GEMOC ARC Natl Key Ctr, Sydney, NSW 2109, Australia</t>
  </si>
  <si>
    <t>Veevers, JJ (corresponding author), Macquarie Univ, Dept Earth &amp; Planetary Sci, GEMOC ARC Natl Key Ctr, Sydney, NSW 2109, Australia.</t>
  </si>
  <si>
    <t>10.1016/j.gr.2009.02.007</t>
  </si>
  <si>
    <t>474GH</t>
  </si>
  <si>
    <t>WOS:000268270100008</t>
  </si>
  <si>
    <t>Gupta, S; Zhao, DP; Rai, SS</t>
  </si>
  <si>
    <t>Gupta, Sandeep; Zhao, Dapeng; Rai, S. S.</t>
  </si>
  <si>
    <t>Seismic imaging of the upper mantle under the Erebus hotspot in Antarctica</t>
  </si>
  <si>
    <t>Mt. Erebus; Antarctica; Hotspot; Teleseismic tomography</t>
  </si>
  <si>
    <t>PRINCE-CHARLES MOUNTAINS; DEEP-STRUCTURE; P-WAVE; WEST; GONDWANA; BENEATH; CRUSTAL; PLUMES; ORIGIN; PLATE</t>
  </si>
  <si>
    <t>P-wave velocity images are determined under the Mount Erebus volcano, Antarctica by using teleseismic tomography. Our results show a prominent low-velocity (low-V) anomaly of nearly circular symmetry (about 250-300 km in diameter) to about 200 km depth under the Mount Erebus volcanic region, which further extends down to similar to 400 km as a narrow tilted column. The observed low-V anomaly beneath the Mount Erebus volcano can be expression of a thermal anomaly of deep origin. Combining the seismically imaged thermal anomaly with geochemical observation of rift-related volcanism in the region, we consider that the Mount Erebus is a hotspot due to West Antarctic Rift System linked with a mantle plume. In addition. high-velocity anomalies are imaged beneath the East Antarctic craton, being consistent with the previous studies. (C) 2009 International Association for Gondwana Research. Published by Elsevier B.V. All rights reserved.</t>
  </si>
  <si>
    <t>[Gupta, Sandeep; Rai, S. S.] Natl Geophys Res Inst, Hyderabad 500007, Andhra Pradesh, India; [Gupta, Sandeep; Zhao, Dapeng] Tohoku Univ, Dept Geophys, Sendai, Miyagi 9808578, Japan</t>
  </si>
  <si>
    <t>Council of Scientific &amp; Industrial Research (CSIR) - India; CSIR - National Geophysical Research Institute (NGRI); Tohoku University</t>
  </si>
  <si>
    <t>Gupta, S (corresponding author), Natl Geophys Res Inst, Hyderabad 500007, Andhra Pradesh, India.</t>
  </si>
  <si>
    <t>sandeepgupta@ngri.res.in; zhao@aob.geophys.tohoku.ac.jp</t>
  </si>
  <si>
    <t>Gupta, Sandeep/E-5020-2010</t>
  </si>
  <si>
    <t>Gupta, Sandeep/0000-0002-9961-9844; Zhao, Dapeng/0000-0003-2096-5195</t>
  </si>
  <si>
    <t>Department of Science and Technology, Government of India; Japan Society for the Promotion of Scienc [Kiban-A 17204037]</t>
  </si>
  <si>
    <t>Department of Science and Technology, Government of India(Department of Science &amp; Technology (India)); Japan Society for the Promotion of Scienc(Ministry of Education, Culture, Sports, Science and Technology, Japan (MEXT)Japan Society for the Promotion of Science)</t>
  </si>
  <si>
    <t>We thank the IRIS Data Management Center for providing the waveform data used in this study. We are indebted to Dr. Guorning Jiang for his assistance during the analysis and useful discussions. S. Gupta thanks the NGRI director for his encouragement and support and the Department of Science and Technology, Government of India for the BOYSCAST fellowship to study atTohoku University, Japan. This work was partially supported by a grant (Kiban-A 17204037) from the Japan Society for the Promotion of Science to D. Zhao. The figures are made by using GMT (Wessel and Smith, 1998). Prof. M. Santosh, Editor-in-Chief, Prof. John Veevers and two anonymous reviewers provided thoughtful comments and Suggestions which improved the manuscript.</t>
  </si>
  <si>
    <t>10.1016/j.gr.2009.01.004</t>
  </si>
  <si>
    <t>WOS:000268270100009</t>
  </si>
  <si>
    <t>Finsinger, W; Wagner-Cremer, F</t>
  </si>
  <si>
    <t>Finsinger, W.; Wagner-Cremer, F.</t>
  </si>
  <si>
    <t>Stomatal-based inference models for reconstruction of atmospheric CO2 concentration: a method assessment using a calibration and validation approach</t>
  </si>
  <si>
    <t>HOLOCENE</t>
  </si>
  <si>
    <t>Stomatal frequency; quantitative reconstructions; calibration; validation; climate change; Sweden</t>
  </si>
  <si>
    <t>ICE CORE; PHOTOSYNTHETIC CHARACTERISTICS; CARBON-DIOXIDE; ANTARCTIC ICE; INDEX; FREQUENCY; DENSITY; RECORD; RESPONSES; CLIMATE</t>
  </si>
  <si>
    <t>We investigated changes in atmospheric CO2 concentration (hereafter [CO2]) over the period Ad 1700-2002 as reconstructed using the inverse relationship between stomatal frequencies (SF) of Betula nana leaves from northern Europe and [CO2]. The predictive ability of SF-inference models was assessed using a method of independent validation that involves two steps: (1) a training set of leaves grown between Ad 1843 and 2002 was used to generate inference models; (2) the models were then applied to a fossil SF record of leaves grown between Ad 1700 and 2002 that was split into two parts, a validation period (after Ad 1850) and a reconstruction period (Ad 1700-1850). Although our inference models had uncertainties comparable with other SF-inference models (root mean square error (RMSE) = c. 18-19 ppmv), uncertainties arising from the independent validation were larger (RMSE = c. 31-34 ppmv). Smoothed SF-inferred [CO2] values after Ad 1850 corresponded better to the industrial [CO2] increase observed from instrumental records and from high-resolution ice cores, corroborating the accuracy of the reconstruction method in capturing a long-term (decadal-to centennial-scale) signal. This also indicates that in our record higher-frequency signals (eg, [CO2] maxima around Ad 1750) are potentially less reliable. In an attempt to estimate the maximum reconstruction uncertainty (+/- 67 ppmv), we considered (i) the RMSE of the validation (validation error) and (ii) the maximum difference between reconstructions obtained with different inference models during the validation period (method error). We suggest that reconstruction uncertainties may be reduced by reducing the uncertainty of our inference models, with a sub-fossil record characterized by lower variability in the SF time series over the validation period, and by smoothing the reconstruction. This study shows that independent validation is an important step to assess the precision and accuracy of quantitative proxy-based reconstructions.</t>
  </si>
  <si>
    <t>[Finsinger, W.; Wagner-Cremer, F.] Univ Utrecht, Inst Environm Biol, Palaeobot &amp; Palynol Lab, NL-3584 CD Utrecht, Netherlands</t>
  </si>
  <si>
    <t>Utrecht University</t>
  </si>
  <si>
    <t>Finsinger, W (corresponding author), Univ Montpellier 2, CBAE, UMR 5059, CNRS,Inst Bot, 163 Rue Auguste Broussonet, F-34090 Montpellier, France.</t>
  </si>
  <si>
    <t>walter.finsinger@univ-montp2.fr</t>
  </si>
  <si>
    <t>Finsinger, Walter/A-7937-2011; Finsinger, Walter/A-9195-2009; Wagner-Cremer, Friederike/B-4225-2009</t>
  </si>
  <si>
    <t>Finsinger, Walter/0000-0002-8297-0574; Wagner-Cremer, Friederike/0000-0002-8119-3558</t>
  </si>
  <si>
    <t>European Union 017008 (GOCE) 'MILLENNIUM'; Netherlands Research School of Sedimentary Geology (NSG) [20090403]</t>
  </si>
  <si>
    <t>European Union 017008 (GOCE) 'MILLENNIUM'; Netherlands Research School of Sedimentary Geology (NSG)</t>
  </si>
  <si>
    <t>We are grateful to Timme donders, Hiro Yamazaki and danny McCarroll for discussions and to two anonymous reviewers for constructive comments. Atmospheric [CO2] from Law dome and South Pole ice cores were downloaded from the Pangaea database (http://dx.doi.org/10.1594/PANGAEA.472477 and http://dx.doi.org/10.1594/PANGAEA. 472477). WF was financially supported by the European Union 017008 (GOCE) 'MILLENNIUM' project. This is Netherlands Research School of Sedimentary Geology (NSG) publication no. 20090403.</t>
  </si>
  <si>
    <t>SAGE PUBLICATIONS LTD</t>
  </si>
  <si>
    <t>1 OLIVERS YARD, 55 CITY ROAD, LONDON EC1Y 1SP, ENGLAND</t>
  </si>
  <si>
    <t>0959-6836</t>
  </si>
  <si>
    <t>1477-0911</t>
  </si>
  <si>
    <t>Holocene</t>
  </si>
  <si>
    <t>10.1177/0959683609105300</t>
  </si>
  <si>
    <t>470HQ</t>
  </si>
  <si>
    <t>WOS:000267966200007</t>
  </si>
  <si>
    <t>Savchuk, OP; Eremina, TR; Isaev, AV; Neelov, IA</t>
  </si>
  <si>
    <t>Savchuk, Oleg P.; Eremina, Tatjana R.; Isaev, Alexey V.; Neelov, Ivan A.</t>
  </si>
  <si>
    <t>Response of eutrophication in the eastern Gulf of Finland to nutrient load reduction scenarios</t>
  </si>
  <si>
    <t>HYDROBIOLOGIA</t>
  </si>
  <si>
    <t>2nd International Symposium on Research and Management of Eutrophication in Coastal Ecosystems</t>
  </si>
  <si>
    <t>JUN 20-23, 2006</t>
  </si>
  <si>
    <t>Nyborg, DENMARK</t>
  </si>
  <si>
    <t>Eutrophication; Numerical model; Nutrient load reduction; Gulf of Finland</t>
  </si>
  <si>
    <t>BALTIC SEA; PHOSPHORUS; NITROGEN; BIOAVAILABILITY; DENITRIFICATION; CYANOBACTERIA; ECOSYSTEMS; SEDIMENTS; BUDGETS; FLUXES</t>
  </si>
  <si>
    <t>The trophic status of the eastern Gulf of Finland, where the largest Baltic metropolis St. Petersburg sits at the mouth of the largest Baltic river Neva, is elevated but existing recommendations on water protection measures are controversial. In this study, the effects of nutrient load reductions on this ecosystem were estimated with the aid of a three-dimensional coupled hydrodynamic-biogeochemical model. As a reference, the contemporary seasonal dynamics were simulated with nutrient inputs corresponding to the recent estimates of point and riverine sources. In order to eliminate the effects of natural inter-annual variations, the computations were run under recurrent annual forcing for 3 years, until quasi steady-state seasonal dynamics were reached. Reasonable comparability of simulated concentrations and biogeochemical fluxes to available field estimates provides credibility to scenario simulations. These simulations show that substantial reductions of nutrient point sources in St. Petersburg would affect only the Neva Bay as the immediate receptor of treated sewage waters, where primary production could decrease by up to 20%. Eutrophication in the other parts of the Neva Estuary and in the entire eastern Gulf of Finland would change insignificantly owing to increased nutrient import from the offshore waters. Therefore, more significant changes can occur only via a reduction in nutrient pools in the open Gulf of Finland and the Baltic Proper, which would require a longer time.</t>
  </si>
  <si>
    <t>[Savchuk, Oleg P.] Stockholm Univ, Balt Nest Inst, S-10691 Stockholm, Sweden; [Eremina, Tatjana R.; Isaev, Alexey V.] Russian State Hydrometeorol Univ, St Petersburg 195196, Russia; [Neelov, Ivan A.] Arctic &amp; Antarctic Res Inst, St Petersburg 199397, Russia</t>
  </si>
  <si>
    <t>Stockholm University; Russian State Hydrometeorological University; Arctic &amp; Antarctic Research Institute</t>
  </si>
  <si>
    <t>Savchuk, OP (corresponding author), Stockholm Univ, Balt Nest Inst, S-10691 Stockholm, Sweden.</t>
  </si>
  <si>
    <t>oleg@mbox.su.se</t>
  </si>
  <si>
    <t>Savchuk, Oleg/N-3414-2019; Eremina, Tatjana/E-6467-2017; Isaev, Alexey/C-1370-2014</t>
  </si>
  <si>
    <t>Savchuk, Oleg/0000-0002-3873-4662; Eremina, Tatjana/0000-0001-5243-1804; Isaev, Alexey/0000-0003-2005-4949</t>
  </si>
  <si>
    <t>0018-8158</t>
  </si>
  <si>
    <t>1573-5117</t>
  </si>
  <si>
    <t>Hydrobiologia</t>
  </si>
  <si>
    <t>10.1007/s10750-009-9776-y</t>
  </si>
  <si>
    <t>458NI</t>
  </si>
  <si>
    <t>WOS:000267030400019</t>
  </si>
  <si>
    <t>Drews, R; Rack, W; Wesche, C; Helm, V</t>
  </si>
  <si>
    <t>Drews, Reinhard; Rack, Wolfgang; Wesche, Christine; Helm, Veit</t>
  </si>
  <si>
    <t>A Spatially Adjusted Elevation Model in Dronning Maud Land, Antarctica, Based on Differential SAR Interferometry</t>
  </si>
  <si>
    <t>Altimetry; Antarctica; ice sheet elevation; SAR interferometry; SAR processing; synthetic aperture radar (SAR)</t>
  </si>
  <si>
    <t>RADAR; ACCURACY</t>
  </si>
  <si>
    <t>In this paper, a new digital elevation model (DEM) is derived for the ice sheet in western Dronning Maud Land, Antarctica. It is based on differential interferometric synthetic aperture radar (SAR) from the European Remote Sensing 1/2 (ERS-1/2) satellites, in combination with ICESat's Geoscience Laser Altimeter System (GLAS). A DEM mosaic is compiled out of 116 scenes from the ERS-1 ice phase in 1994 and the ERS-1/2 tandem mission between 1996 and 1997 with the GLAS data acquired in 2003 that served as ground control. Using three different SAR processors, uncertainties in phase stability and baseline model, resulting in height errors of up to 20 m, are exemplified. Atmospheric influences at the same order of magnitude are demonstrated, and corresponding scenes are excluded. For validation of the DEM mosaic, covering an area of about 130 000 km2 on a 50-m grid, independent ICESat heights (2004-2007), ground-based kinematic GPS (2005), and airborne laser scanner data (ALS, 2007) are used. Excluding small areas with low phase coherence, the DEM differs in mean and standard deviation by 0.5 + / -10.1, 1.1 + / -6.4, and 3.1 + / -4.0 m from ICESat, GPS, and ALS, respectively. The excluded data points may deviate by more than 50 m. In order to suppress the spatially variable noise below a 5-m threshold, 18% of the DEM area is selectively averaged to a final product at varying horizontal spatial resolution. Apart from mountainous areas, the new DEM outperforms other currently available DEMs and may serve as a benchmark for future elevation models such as from the TanDEM-X mission to spatially monitor ice sheet elevation.</t>
  </si>
  <si>
    <t>[Drews, Reinhard; Wesche, Christine; Helm, Veit] Alfred Wegener Inst Polar &amp; Marine Res, D-27515 Bremerhaven, Germany; [Rack, Wolfgang] Univ Canterbury, Gateway Antarctica Ctr Antarctic Studies &amp; Res, Christchurch 8140, New Zealand</t>
  </si>
  <si>
    <t>Helmholtz Association; Alfred Wegener Institute, Helmholtz Centre for Polar &amp; Marine Research; University of Canterbury</t>
  </si>
  <si>
    <t>Drews, R (corresponding author), Alfred Wegener Inst Polar &amp; Marine Res, D-27515 Bremerhaven, Germany.</t>
  </si>
  <si>
    <t>reinhard.drews@awi.de</t>
  </si>
  <si>
    <t>Drews, reinhard/AAP-4134-2021; Rack, Wolfgang/U-8898-2017</t>
  </si>
  <si>
    <t>Drews, reinhard/0000-0002-2328-294X; Rack, Wolfgang/0000-0003-2447-377X; Wesche, Christine/0000-0002-9786-4010</t>
  </si>
  <si>
    <t>Evangelisches Studienwerk Villigst</t>
  </si>
  <si>
    <t>The work of R. Drews was supported by the Evangelisches Studienwerk Villigst.</t>
  </si>
  <si>
    <t>10.1109/TGRS.2009.2016081</t>
  </si>
  <si>
    <t>472XM</t>
  </si>
  <si>
    <t>WOS:000268166500009</t>
  </si>
  <si>
    <t>Labrenz, M; Lawson, PA; Tindall, BJ; Hirsch, P</t>
  </si>
  <si>
    <t>Labrenz, Matthias; Lawson, Paul A.; Tindall, Brian J.; Hirsch, Peter</t>
  </si>
  <si>
    <t>Roseibaca ekhonensis gen. nov., sp nov., an alkalitolerant and aerobic bacteriochlorophyll a-producing alphaproteobacterium from hypersaline Ekho Lake</t>
  </si>
  <si>
    <t>ANOXYGENIC PHOTOTROPHS; BUDDING BACTERIUM; LIPID-COMPOSITION; DIVERSITY; ANTARCTICA; ACID; SEA</t>
  </si>
  <si>
    <t>A Gram-negative, aerobic rod was isolated from the hypersaline, heliothermal and meromictic Ekho Lake (East Antarctica) at a depth of 6 m. The novel strain (designated EL-50(T)) was oxidase-positive and weakly catalase-positive and metabolized a variety of carboxylic acids, alcohols, sugars and lipids. Cells of strain EL-50(T) had an absolute requirement for artificial seawater or NaCl. Optimum growth occurred at 16 degrees C and at pH values ranging from 7.0 to 9.5. A large in vivo absorption band at 865-866 nm indicated the production of bacteriochlorophyll (bchl) a. The predominant cellular fatty acid of strain EL-50(T) was 18: 1 omega 7c, with 3-OH 14:1, 16: 1 omega 9c, 16: 0 and 18: 1 omega 9c present in lower amounts. Fatty acids 16: 0 and 18: 1 omega 9c were probably amide-linked. The main polar lipids were diphosphatidlylglycerol, phospatidylethanolamine, phosphatidylglycerol and phosphatidylcholine. Ubiquinone 10 was produced. The cell-wall diamino acid was meso-diaminopimelic acid. The DNA G + C content of strain EL-50T was 61 mol%. 16S rRNA gene sequence comparisons indicated that the novel isolate was phylogenetically most closely related to alkaliphilic Rhodobaca and Roseinatronobacter species (approximately 96 % 16S rRNA gene similarity). The organism had no particular relationship to any other cultivated members within the Alphaproteobacteria. The distinct morphological, physiological and genotypic differences from the previously described taxa studied supported the description of a new genus and novel species, for which the name Roseibaca ekhonensis gen. nov., sp. nov. is proposed. The type strain is EL-50T (=DSM 11469(T) =CECT 7235(T)).</t>
  </si>
  <si>
    <t>[Labrenz, Matthias; Hirsch, Peter] Univ Kiel, Inst Allgemeine Mikrobiol, D-2300 Kiel, Germany; [Labrenz, Matthias] IOW Baltic Sea Res Inst, Rostock, Germany; [Lawson, Paul A.] Univ Oklahoma, Dept Bot &amp; Microbiol, Norman, OK 73019 USA; [Tindall, Brian J.] DSMZ Deutsch Sammlung Mikroorganismen &amp; Zellkultu, Braunschweig, Germany</t>
  </si>
  <si>
    <t>University of Kiel; Leibniz Institut fur Ostseeforschung Warnemunde; University of Oklahoma System; University of Oklahoma - Norman; Leibniz Institut fur Deutsche Sammlung von Mikroorganismen und Zellkulturen (DSMZ)</t>
  </si>
  <si>
    <t>Labrenz, M (corresponding author), Univ Kiel, Inst Allgemeine Mikrobiol, D-2300 Kiel, Germany.</t>
  </si>
  <si>
    <t>matthias.labrenz@io-warnemuende.de</t>
  </si>
  <si>
    <t>Lawson, Paul A/E-3760-2012</t>
  </si>
  <si>
    <t>Lawson, Paul A/0000-0002-0113-4751</t>
  </si>
  <si>
    <t>Deutsche Forschungsgemeinschaft (DFG) [Hi 68/16-3, Hi 68/19-3, Hi 68/25-1-3]; European Union [CT 93-0194, CT 93-0119]</t>
  </si>
  <si>
    <t>Deutsche Forschungsgemeinschaft (DFG)(German Research Foundation (DFG)); European Union(European Union (EU))</t>
  </si>
  <si>
    <t>We gratefully acknowledge the skillful technical assistance of B. Hoffmann, M. Beese, R. Emcke and L Buschdorf. J. Siebert helped with the Antarctic fieldwork. We especially wish to thank the Australian Antarctic Division (Kingston, Tasmania) for supporting two visits to Antarctica. H. R. Burton (Australian Antarctic Division) and T. A. McMeekin (University of Tasmania, Hobart) Supported this research with generous hospitality and much practical help. We thank the Deutsche Forschungsgemeinschaft (DFG) for grants Hi 68/16-3, Hi 68/19-3 and Hi 68/25-1-3, and the European Union for grants CT 93-0194 and CT 93-0119.</t>
  </si>
  <si>
    <t>SOC GENERAL MICROBIOLOGY</t>
  </si>
  <si>
    <t>READING</t>
  </si>
  <si>
    <t>MARLBOROUGH HOUSE, BASINGSTOKE RD, SPENCERS WOODS, READING RG7 1AG, BERKS, ENGLAND</t>
  </si>
  <si>
    <t>10.1099/ijs.0.016717-0</t>
  </si>
  <si>
    <t>514ZJ</t>
  </si>
  <si>
    <t>WOS:000271435400014</t>
  </si>
  <si>
    <t>Le Roes-Hill, M; Rohland, J; Meyers, PR; Cowan, DA; Burton, SG</t>
  </si>
  <si>
    <t>Le Roes-Hill, Marilize; Rohland, Jeffrey; Meyers, Paul R.; Cowan, Don A.; Burton, Stephanie G.</t>
  </si>
  <si>
    <t>Streptomyces hypolithicus sp nov., isolated from an Antarctic hypolith community</t>
  </si>
  <si>
    <t>DNA HYBRIDIZATION; IDENTIFICATION</t>
  </si>
  <si>
    <t>As part of an enzyme-screening programme, an actinobacterium, strain HSM#10(T), was isolated from a sample collected from the base of a translucent quartz rock in Miers Valley, eastern Antarctica. The isolate produced branching vegetative mycelium that was characteristic of filamentous actinobacteria. The chemotaxonomic characteristics of the strain suggested that HSM#10(T) should be classified as a member of the genus Streptomyces. Furthermore, phylogenetic analysis based on 16S rRNA gene sequences showed that the strain was closely related to members of the genus Streptomyces, which supports the classification of this strain within the family Streptomycetaceae. Phenotypic and phylogenetic results allowed strain HSM#10(T) to be differentiated from known streptomycetes. DNA-DNA hybridization data also showed that strain HSM#10(T) could be differentiated from its nearest phylogenetic neighbours Streptomyces chryseus DSM 40420(T) (53.55 +/- 3.15% DNA relatedness), Streptomyces helvaticus DSM 40431T (38.75 +/- 2.75%), Streptomyces flavidovirens DSM 40150(T) (30.7 +/- 2.90%) and Streptomyces albidochromogenes DSM 41800(T) (33.9 +/- 0.10%). Therefore, the name Streptomyces hypolithicus sp. nov. is proposed, with HSM#10(T) (=DSM 41950(T)=NRRL B-24669(T)) as the type strain.</t>
  </si>
  <si>
    <t>[Le Roes-Hill, Marilize; Burton, Stephanie G.] Univ Cape Town, Dept Chem Engn, ZA-7701 Cape Town, South Africa; [Rohland, Jeffrey; Meyers, Paul R.] Univ Cape Town, Dept Mol &amp; Cell Biol, ZA-7701 Cape Town, South Africa; [Cowan, Don A.] Univ Western Cape, Dept Biotechnol, Inst Microbial Biotechnol &amp; Metagenom, ZA-7535 Cape Town, South Africa</t>
  </si>
  <si>
    <t>University of Cape Town; University of Cape Town; University of the Western Cape</t>
  </si>
  <si>
    <t>Burton, SG (corresponding author), Cape Peninsula Univ Technol, Biocatalysis &amp; Tech Biol Res Grp, Bellville Campus,POB 1906, ZA-7535 Cape Town, South Africa.</t>
  </si>
  <si>
    <t>BurtonS@cput.ac.za</t>
  </si>
  <si>
    <t>Cowan, Donald A/E-3991-2012; Meyers, Paul/H-9191-2019; Burton, Stephanie/G-9674-2011</t>
  </si>
  <si>
    <t>Cowan, Donald A/0000-0001-8059-861X; Meyers, Paul/0000-0003-1894-5910; Burton, Stephanie/0000-0002-3094-8420; Rohland, Jeffrey/0000-0002-1352-8926; Le Roes-Hill, Marilize/0000-0002-1930-2637</t>
  </si>
  <si>
    <t>Claude Leon Foundation; National Research Foundation of South Africa (NRF); UCT</t>
  </si>
  <si>
    <t>Claude Leon Foundation; National Research Foundation of South Africa (NRF)(National Research Foundation - South Africa); UCT</t>
  </si>
  <si>
    <t>Our thanks to Di James for DNA sequencing and Miranda Waldron of the Electron Microscope Unit, University of Cape Town (UCT), for help with scanning electron microscopy, to Professor Dr Hans G. Truper for assistance with Latin in deriving the specific epithet for strain HSM#10T and to Dr David Labeda for the NRRL strains used in this study. M. L. R.-H. holds a Claude Leon Foundation Postdoctoral Fellowship and J. R. holds a grant-holder linked bursary from the National Research Foundation of South Africa (NRF) and funding from UCT. S. G. B. is funded by the NRF.</t>
  </si>
  <si>
    <t>10.1099/ijs.0.007971-0</t>
  </si>
  <si>
    <t>WOS:000271435400030</t>
  </si>
  <si>
    <t>Pearce, DA</t>
  </si>
  <si>
    <t>Pearce, D. A.</t>
  </si>
  <si>
    <t>Antarctic subglacial lake exploration: a new frontier in microbial ecology</t>
  </si>
  <si>
    <t>ACCRETED ICE; SOUTH-POLE; VOSTOK; LIFE; MICROORGANISMS; BENEATH; BACTERIA; COMMUNITY</t>
  </si>
  <si>
    <t>British Antarctic Survey, Nat Environm Res Council, Cambridge CB3 0ET, England</t>
  </si>
  <si>
    <t>Pearce, DA (corresponding author), British Antarctic Survey, Nat Environm Res Council, Cambridge CB3 0ET, England.</t>
  </si>
  <si>
    <t>NERC [bas0100026, bas0100025, bas010020] Funding Source: UKRI; Natural Environment Research Council [bas0100025, bas010020, bas0100026] Funding Source: researchfish</t>
  </si>
  <si>
    <t>10.1038/ismej.2009.53</t>
  </si>
  <si>
    <t>480NE</t>
  </si>
  <si>
    <t>WOS:000268741300001</t>
  </si>
  <si>
    <t>Alimenti, C; Vallesi, A; Pedrini, B; Wüthrich, K; Luporini, P</t>
  </si>
  <si>
    <t>Alimenti, Claudio; Vallesi, Adriana; Pedrini, Bill; Wuethrich, Kurt; Luporini, Pierangelo</t>
  </si>
  <si>
    <t>Molecular Cold-adaptation: Comparative Analysis of Two Homologous Families of Psychrophilic and Mesophilic Signal Proteins of the Protozoan Ciliate, Euplotes</t>
  </si>
  <si>
    <t>IUBMB LIFE</t>
  </si>
  <si>
    <t>eukaryotic molecular microbiology; NMR protein structures; marine Antarctic protists; life in the cold</t>
  </si>
  <si>
    <t>NMR SOLUTION STRUCTURE; THERMAL-STABILITY; PHEROMONE ER-1; ENZYMES; SEQUENCE; RAIKOVI; TEMPERATURE; INSIGHTS; REVEAL; ACID</t>
  </si>
  <si>
    <t>Unique opportunities are provided by phylogenetically closely related organisms thriving in stably cold, or temperate milieus to study adaptive modifications of structurally homologous molecules. These modifications are of keen interest in basic science as well as in biotechnology. This review highlights structural and functional specificities that differentiate two homologous families of psychrophilic and mesophilic water-borne proteins (designated as pheromones) that signal mitotic growth and sexual mating in two marine species of the protozoan ciliate Euplotes, i.e., E. nobilii, which is distributed in Antarctic and Arctic waters, and E. raikovi, which inhabits temperate waters. The two protein families show strict conservation of a common three-helix bundle in a compact core of the molecular structure, which provides long-lasting integrity and biological activity to these molecules in their natural environment. In the psychrophilic pheromone family, cold-adaptation appears to have been achieved by superimposing an integrated complex of structural modifications on this conserved scaffold. Functionally most relevant appear to be extensions of polypeptide segments devoid of regular secondary structures, a specific distribution of polar and hydrophobic amino acids, the presence of solvent-exposed clusters of negatively charged amino acid side chains, and a unique role of aromatic residues in anchoring the molecular architecture. Due to these modifications, the psychrophilic pheromones are an example of an elegant combination of high stability of the three-dimensional structures with sufficient structural plasticity for efficient functioning at their physiologically low temperatures. (C) 2009 IUBMB IUBMB Life, 61(8): 838-845, 2009</t>
  </si>
  <si>
    <t>[Alimenti, Claudio; Vallesi, Adriana; Luporini, Pierangelo] Univ Camerino, Dipartimento Biol Mol Cellulare &amp; Anim, I-62032 Camerino, MC, Italy; [Pedrini, Bill; Wuethrich, Kurt] Scripps Res Inst, Dept Mol Biol, La Jolla, CA 92037 USA; [Pedrini, Bill; Wuethrich, Kurt] Scripps Res Inst, Skaggs Inst Chem Biol, La Jolla, CA 92037 USA; [Pedrini, Bill; Wuethrich, Kurt] ETH, Inst Mol Biol &amp; Biophys, CH-8093 Zurich, Switzerland</t>
  </si>
  <si>
    <t>University of Camerino; Scripps Research Institute; Scripps Research Institute; Swiss Federal Institutes of Technology Domain; ETH Zurich</t>
  </si>
  <si>
    <t>Luporini, P (corresponding author), Univ Camerino, Dipartimento Biol Mol Cellulare &amp; Anim, I-62032 Camerino, MC, Italy.</t>
  </si>
  <si>
    <t>piero.luporini@unicam.it</t>
  </si>
  <si>
    <t>Vallesi, Adriana/I-9933-2016; Pedrini, Bill/J-2237-2018</t>
  </si>
  <si>
    <t>Vallesi, Adriana/0000-0002-4127-090X; Pedrini, Bill/0000-0003-4228-7874; Alimenti, Claudio/0000-0003-2231-2948</t>
  </si>
  <si>
    <t>Italian Programma Nazionale di Ricerche in Antartide (PNRA); Progetti di Ricerca di Interesse Nazionale; Schweizerischer Nationalfonds [PA00A-104097/1]</t>
  </si>
  <si>
    <t>Italian Programma Nazionale di Ricerche in Antartide (PNRA); Progetti di Ricerca di Interesse Nazionale(Ministry of Education, Universities and Research (MIUR)Research Projects of National Relevance (PRIN)); Schweizerischer Nationalfonds(Swiss National Science Foundation (SNSF))</t>
  </si>
  <si>
    <t>Work in the C.A., A.V., and P.L. laboratory was financially supported by the Italian Programma Nazionale di Ricerche in Antartide (PNRA), and Progetti di Ricerca di Interesse Nazionale (MN). B. Pedrim acknowledges financial support from the Schweizerischer Nationalfonds (Fellowship PA00A-104097/1).</t>
  </si>
  <si>
    <t>1521-6543</t>
  </si>
  <si>
    <t>1521-6551</t>
  </si>
  <si>
    <t>IUBMB Life</t>
  </si>
  <si>
    <t>10.1002/iub.228</t>
  </si>
  <si>
    <t>Biochemistry &amp; Molecular Biology; Cell Biology</t>
  </si>
  <si>
    <t>480AC</t>
  </si>
  <si>
    <t>WOS:000268702700005</t>
  </si>
  <si>
    <t>Danilov, AI; Lagun, VE</t>
  </si>
  <si>
    <t>Danilov, A. I.; Lagun, V. E.</t>
  </si>
  <si>
    <t>Polar meteorology: The results of Russian research in 2003-2006</t>
  </si>
  <si>
    <t>CLIMATE-CHANGE; ATMOSPHERE; TRENDS</t>
  </si>
  <si>
    <t>This publication is a review of the results of Russian polar studies performed in 2003-2006. It is based on material prepared by the Commission on Polar Meteorology of the National Geophysical Committee, Russian Academy of Sciences, and included in the National Report on Meteorology and Atmospheric Sciences to the XXIV General Assembly of the International Union of Geodesy and Geophysics, Perugia, Italy, July 2-13, 2007.</t>
  </si>
  <si>
    <t>[Danilov, A. I.; Lagun, V. E.] Arctic &amp; Antarctic Res Inst, St Petersburg 199397, Russia</t>
  </si>
  <si>
    <t>Danilov, AI (corresponding author), Arctic &amp; Antarctic Res Inst, Ul Beringa 38, St Petersburg 199397, Russia.</t>
  </si>
  <si>
    <t>lagun@aari.nw.ru</t>
  </si>
  <si>
    <t>10.1134/S0001433809040112</t>
  </si>
  <si>
    <t>496EQ</t>
  </si>
  <si>
    <t>WOS:000269952700011</t>
  </si>
  <si>
    <t>Keller, LM; Baker, KA; Lazzara, MA; Gallagher, J</t>
  </si>
  <si>
    <t>Keller, L. M.; Baker, K. A.; Lazzara, M. A.; Gallagher, J.</t>
  </si>
  <si>
    <t>A Comparison of Meteorological Observations from South Pole Station before and after Installation of a New Instrument Suite</t>
  </si>
  <si>
    <t>The Amundsen-Scott South Pole surface meteorological instrument suite was upgraded in 2004. To ensure that the new and old instruments were recording similar information, the two suites of instruments ran simultaneously for a year. Statistical analysis of the time series of temperature, pressure, and wind was performed to determine if there were any significant differences in the observations. Significant differences were found in some of the winter months for temperature and wind speed. No differences were found for the wind direction distribution. There are also noticeable differences in wind speed between the Clean Air platform near the Clean Air facility and the platform at the approach end of the skiway. Wind speeds are lower at the skiway tower when the wind is from the northeast quadrant and at the Clean Air tower when the wind is from the southwest quadrant, reflecting the effect of increased surface roughness and flow distortion over and around the station structures. Because of a change in elevation of the pressure sensor, the pressure data were recalculated at a common station elevation (2836 m). Although the resulting differences are small (around 0.1 hPa), there is a systematic sign change between summer and winter. The results of this analysis, while revealing some significant differences, show that the new instrumentation at South Pole station is generally reporting observations that are similar to those of the old instrumentation, and most of the differences are within the accuracy of the instruments. However, the instrument placement and construction of official aviation routine weather reports (METARs) do have an impact on the usefulness of the data for research.</t>
  </si>
  <si>
    <t>[Keller, L. M.] Univ Wisconsin, Dept Atmospher &amp; Ocean Sci, Madison, WI 53706 USA; [Baker, K. A.; Gallagher, J.] Raytheon Polar Serv Co, Centennial, CO USA; [Lazzara, M. A.] Univ Wisconsin, Ctr Space Sci &amp; Engn, Madison, WI 53706 USA</t>
  </si>
  <si>
    <t>University of Wisconsin System; University of Wisconsin Madison; University of Wisconsin System; University of Wisconsin Madison</t>
  </si>
  <si>
    <t>Keller, LM (corresponding author), Univ Wisconsin, Dept Atmospher &amp; Ocean Sci, 1225 W Dayton St, Madison, WI 53706 USA.</t>
  </si>
  <si>
    <t>lmkeller@wisc.edu</t>
  </si>
  <si>
    <t>Lazzara, Matthew/0000-0002-4343-498X</t>
  </si>
  <si>
    <t>National Science Foundation [ANT-0537827]</t>
  </si>
  <si>
    <t>The authors thank Michael Carmody and Raytheon Polar Services Company as well as the meteorological technicians ( especially Timothy Markle) at Amundsen-Scott South Pole Station for providing the data and information on the instrument suites. We thank George Weidner of the Antarctic Automatic Weather Station Program at the University of Wisconsin - Madison for discussions about the instrument characteristics. We also thank two anonymous reviewers for some helpful suggestions to improve the presentation of this study. Support for this research was provided by the National Science Foundation Grant ANT-0537827.</t>
  </si>
  <si>
    <t>10.1175/2009JTECHA1220.1</t>
  </si>
  <si>
    <t>481IN</t>
  </si>
  <si>
    <t>WOS:000268801300012</t>
  </si>
  <si>
    <t>Troshichev, O; Janzhura, A</t>
  </si>
  <si>
    <t>Troshichev, O.; Janzhura, A.</t>
  </si>
  <si>
    <t>Relationship between the PC and AL indices during repetitive bay-like magnetic disturbances in the auroral zone</t>
  </si>
  <si>
    <t>Polar cap magnetic activity; PC growth rate; Repetitive bay-like magnetic disturbances; Sawtooth substorms</t>
  </si>
  <si>
    <t>SOLAR-WIND; POLAR-CAP; SUBSTORMS; ENERGY; INPUT; AE</t>
  </si>
  <si>
    <t>To study the relations of the polar cap (PC) magnetic activity (characterized by the PC index) to magnetic disturbances in the auroral zone (AL index) the behavior of 62 repetitive bay-like magnetic disturbances has been analyzed. It was found that the PC index, derived as a proxy of the geoeffective interplanetary electric field Em, starts to increase, on average, about 30 min ahead of the magnetic disturbance onset. Value of Em and PC similar to 2 mV/m seems to be necessary for development of the repetitive bay-like disturbances with peak AL exceeding 400 nT. Growth phase duration (the time interval between the start of PC increase and AL sudden onset) and intensity of magnetic disturbances in the auroral zone (AL max) highly correlate with the PC growth rate. The growth phase reduces to a few minutes, if the PC index suddenly jumps above similar to 6-8 mV/m. The sharp development of Birkeland current wedge during expansion phase insignificantly influences the polar cap activity: the corresponding PC index increase does not exceed 10-20% of the PC value. It is concluded that the PC index may be considered as a convenient proxy of the solar wind energy input into the magnetosphere. (C) 2009 Elsevier Ltd. All rights reserved.</t>
  </si>
  <si>
    <t>[Troshichev, O.; Janzhura, A.] Arctic &amp; Antarctic Res Inst, St Petersburg 199226, Russia</t>
  </si>
  <si>
    <t>Troshichev, O (corresponding author), Arctic &amp; Antarctic Res Inst, St Petersburg 199226, Russia.</t>
  </si>
  <si>
    <t>olegtro@aari.nw.ru</t>
  </si>
  <si>
    <t>RFBR [07-05-13570]</t>
  </si>
  <si>
    <t>RFBR(Russian Foundation for Basic Research (RFBR))</t>
  </si>
  <si>
    <t>The authors are very thankful to Barbara Emery for very fruitful discussion. The study was supported by RFBR Grant 07-05-13570.</t>
  </si>
  <si>
    <t>10.1016/j.jastp.2009.05.017</t>
  </si>
  <si>
    <t>482RD</t>
  </si>
  <si>
    <t>WOS:000268905500015</t>
  </si>
  <si>
    <t>Mölg, T; Cullen, NJ; Hardy, DR; Winkler, M; Kaser, G</t>
  </si>
  <si>
    <t>Moelg, Thomas; Cullen, Nicolas J.; Hardy, Douglas R.; Winkler, Michael; Kaser, Georg</t>
  </si>
  <si>
    <t>Quantifying Climate Change in the Tropical Midtroposphere over East Africa from Glacier Shrinkage on Kilimanjaro</t>
  </si>
  <si>
    <t>MASS-BALANCE; ENERGY-BALANCE; LONGWAVE RADIATION; SOLAR-RADIATION; ANTARCTIC SNOW; RAINFALL; MORTERATSCHGLETSCHER; PRECIPITATION; MODEL; VARIABILITY</t>
  </si>
  <si>
    <t>Slope glaciers on Kilimanjaro (ca. 5000-6000 m MSL) reached their most recent maximum extent in the late nineteenth century (L19) and have receded since then. This study quantifies the climate signal behind the recession of Kersten Glacier, which generates information on climate change in the tropical midtroposphere between L19 and present. Multiyear meteorological measurements at 5873 m MSL serve to force and verify a spatially distributed model of the glacier's mass balance (the most direct link between glacier behavior and atmospheric forcing). At present the glacier is losing mass (5226105 kg m(-2) yr(-1)), terminates at 5100 m, and the interannual variability of mass and energy budgets largely reflects variability in atmospheric moisture. Backward modeling of the L19 steady-state glacier extent (down to 4500 m) reveals higher precipitation (1160 to 1240 mm yr(-1)), higher air humidity, and increased fractional cloud cover in L19 but no significant changes in local air temperature, air pressure, and wind speed. The atmosphere in the simulated L19 climate transfers more energy to the glacier surface through atmospheric longwave radiation and turbulent heat-but this is almost entirely balanced by the decrease in absorbed solar radiation (due to both increased cloudiness and higher surface albedo). Thus, the energy-driven mass loss per unit area (sublimation plus meltwater runoff) was not appreciably different from today. Higher L19 precipitation rates therefore dominated the mass budget and produced a larger glacier extent in the past.</t>
  </si>
  <si>
    <t>[Moelg, Thomas] Univ Innsbruck, Dept Geog, Ctr Climate &amp; Cryosphere, Trop Glaciol Grp, A-6020 Innsbruck, Austria; [Cullen, Nicolas J.] Univ Otago, Dept Geog, Dunedin, New Zealand; [Hardy, Douglas R.] Univ Massachusetts, Dept Geosci, Climate Syst Res Ctr, Amherst, MA 01003 USA</t>
  </si>
  <si>
    <t>University of Innsbruck; University of Otago; University of Massachusetts System; University of Massachusetts Amherst</t>
  </si>
  <si>
    <t>Mölg, T (corresponding author), Univ Innsbruck, Dept Geog, Ctr Climate &amp; Cryosphere, Trop Glaciol Grp, Innrain 52, A-6020 Innsbruck, Austria.</t>
  </si>
  <si>
    <t>thomas.moelg@uibk.ac.at</t>
  </si>
  <si>
    <t>Mölg, Thomas/I-8131-2013</t>
  </si>
  <si>
    <t>Cullen, Nicolas James/0000-0001-8877-1325; Winkler, Michael/0000-0001-6358-7337; Kaser, Georg/0000-0001-5916-6206</t>
  </si>
  <si>
    <t>Austrian Science Foundation [P17415-N10, P20089-N10]; National Science Foundation; NOAA Office of Global Programs; Climate Change Data and Detection Program [0402557]; U.S. Global Climate Observing System; Austrian Science Fund (FWF) [P20089, P17415] Funding Source: Austrian Science Fund (FWF)</t>
  </si>
  <si>
    <t>Austrian Science Foundation(Austrian Science Fund (FWF)); National Science Foundation(National Science Foundation (NSF)); NOAA Office of Global Programs(National Oceanic Atmospheric Admin (NOAA) - USA); Climate Change Data and Detection Program; U.S. Global Climate Observing System; Austrian Science Fund (FWF)(Austrian Science Fund (FWF))</t>
  </si>
  <si>
    <t>This study is funded by the Austrian Science Foundation (FWF; Grants P17415-N10, P20089-N10). DRH is supported by the National Science Foundation and NOAA Office of Global Programs, Climate Change Data and Detection Program (Grant No. 0402557), and by the U.S. Global Climate Observing System. Local support for Kilimanjaro is provided by the Tanzania Meteorological Agency (TMA; with special thanks to Tharsis Hyera), the Commission of Science and Technology (COSTECH), Tanzania and Kilimanjaro National Park Authorities (TANAPA and KINAPA), and the Tanzania Wildlife Research Institute (TAWIRI). Gridded data were provided by the NOAA/OAR/ESRL PSD, Boulder, Colorado, from their Web site at http://www.cdc.noaa.gov/.</t>
  </si>
  <si>
    <t>10.1175/2009JCLI2954.1</t>
  </si>
  <si>
    <t>481JA</t>
  </si>
  <si>
    <t>WOS:000268803200008</t>
  </si>
  <si>
    <t>Palmerini, CA; Mazzoni, M; Giovinazzo, G; Arienti, G</t>
  </si>
  <si>
    <t>Palmerini, Carlo Alberto; Mazzoni, Michela; Giovinazzo, Giancarlo; Arienti, Giuseppe</t>
  </si>
  <si>
    <t>Blood Lipids in Antarctic and in Temperate-Water Fish Species</t>
  </si>
  <si>
    <t>JOURNAL OF MEMBRANE BIOLOGY</t>
  </si>
  <si>
    <t>Antarctic fish; Cholesterol; Glycerophospholipid; Fatty acid; Membrane fluidity</t>
  </si>
  <si>
    <t>ADAPTATION; PURIFICATION; MEMBRANES; FLUIDITY; TISSUES; MUSCLE</t>
  </si>
  <si>
    <t>Antarctic fish live in very cold water and have adapted to this exceptional environment. Hemoglobin is absent or very low; yet these fish still have erythrocytes, and from these we prepared ghost-like membranes. We studied for the first time the lipid composition of ghost membranes and of plasma in Antarctic fish (C. hamatus and T. bernacchii) and compared our results with those obtained for temperate-water fish (C. auratus and A. anguilla taken from Lake Trasimeno, Perugia, Italy). The membranes of Antarctic fish were richer in glycerophospholipid (especially phosphatidylethanolamine), whereas the membranes of temperate-water fish were richer in sphingomyelin. Unsaturated fatty acids were particularly abundant in Antarctic fish: C. hamatus had long-chain unsaturated fatty acid (especially C22:6 omega-3), whereas T. bernacchii had shorter unsaturated fatty acyl chains (c16:1, omega-7). On the other hand, C. auratus and A. anguilla were particularly rich in C16:0, which constituted more than one-half of the total fatty acid. Plasma lipids (both phospholipid and cholesterol) were much more abundant in temperate-water fish. The differences in phospholipid content were mainly due to choline glycerolipids. Measures of membrane fluidity inferred from the fluorescence anisotropy of DPH indicated that the membranes from Antarctic fish were more fluid at any measured temperature than those obtained from fish living in temperate waters. The ability to live in a very cold environment has therefore been achieved by the two Antarctic species tested in this paper by different strategies, but with the same results on fluidity.</t>
  </si>
  <si>
    <t>[Palmerini, Carlo Alberto] Univ Perugia, Dipartimento Med Interna, I-06100 Perugia, Italy; [Palmerini, Carlo Alberto; Mazzoni, Michela; Arienti, Giuseppe] Univ Perugia, Dept Internal Med, Biochem Lab, I-06122 Perugia, Italy; [Giovinazzo, Giancarlo] Univ Perugia, Dept Cellular &amp; Environm Biol, I-06120 Perugia, Italy</t>
  </si>
  <si>
    <t>University of Perugia; University of Perugia; University of Perugia</t>
  </si>
  <si>
    <t>Palmerini, CA (corresponding author), Univ Perugia, Dipartimento Med Interna, Via Giochetto, I-06100 Perugia, Italy.</t>
  </si>
  <si>
    <t>crlpal@unipg.it</t>
  </si>
  <si>
    <t>Palmerini, Carlo Alberto/0000-0001-9179-7534</t>
  </si>
  <si>
    <t>0022-2631</t>
  </si>
  <si>
    <t>1432-1424</t>
  </si>
  <si>
    <t>J MEMBRANE BIOL</t>
  </si>
  <si>
    <t>J. Membr. Biol.</t>
  </si>
  <si>
    <t>10.1007/s00232-009-9192-2</t>
  </si>
  <si>
    <t>Biochemistry &amp; Molecular Biology; Cell Biology; Physiology</t>
  </si>
  <si>
    <t>498XP</t>
  </si>
  <si>
    <t>WOS:000270179500002</t>
  </si>
  <si>
    <t>Qu, TD; Gao, S; Fukumori, I; Fine, RA; Lindstrom, EJ</t>
  </si>
  <si>
    <t>Qu, Tangdong; Gao, Shan; Fukumori, Ichiro; Fine, Rana A.; Lindstrom, Eric J.</t>
  </si>
  <si>
    <t>Origin and Pathway of Equatorial 13°C Water in the Pacific Identified by a Simulated Passive Tracer and Its Adjoint</t>
  </si>
  <si>
    <t>SUBSURFACE COUNTERCURRENTS; TROPICAL PACIFIC; MODE WATER; OCEAN; CIRCULATION; INTERMEDIATE; CLIMATOLOGY; VENTILATION; GENERATION; DYNAMICS</t>
  </si>
  <si>
    <t>The origin and pathway of the thermostad water in the eastern equatorial Pacific Ocean, often referred to as the equatorial 13 degrees C Water, are investigated using a simulated passive tracer and its adjoint, based on circulation estimates of a global general circulation model. Results demonstrate that the source region of the 13 degrees C Water lies well outside the tropics. In the South Pacific, some 13 degrees C Water is formed northeast of New Zealand, confirming an earlier hypothesis on the water's origin. The South Pacific origin of the 13 degrees C Water is also related to the formation of the Eastern Subtropical Mode Water (ESTMW) and the Sub-Antarctic Mode Water (SAMW). The portion of the ESTMW and SAMW that eventually enters the density range of the 13 degrees C Water (25.8 &lt; sigma(theta) &lt; 26.6 kg m(-3)) does so largely by mixing. Water formed in the subtropics enters the equatorial region predominantly through the western boundary, while its interior transport is relatively small. The fresher North Pacific ESTMW and Central Mode Water (CMW) are also important sources of the 13 degrees C Water. The ratio of the southern versus the northern origins of the water mass is about 2 to 1 and tends to increase with time elapsed from its origin. Of the total volume of initially tracer-tagged water in the eastern equatorial Pacific, approximately 47.5% originates from depths above sigma(theta) = 25.8 kg m(-3) and 34.6% from depths below sigma(theta) = 26.6 kg m(-3), indicative of a dramatic impact of mixing on the route of subtropical water to becoming the 13 degrees C Water. Still only a small portion of the water formed in the subtropics reaches the equatorial region, because most of the water is trapped and recirculates in the subtropical gyre.</t>
  </si>
  <si>
    <t>[Qu, Tangdong; Gao, Shan] Univ Hawaii Manoa, IPRC SOEST, Honolulu, HI 96822 USA; [Gao, Shan] Chinese Acad Sci, Inst Oceanol, Key Lab Ocean Circulat &amp; Waves, Qingdao, Peoples R China; [Fukumori, Ichiro] CALTECH, Jet Prop Lab, Pasadena, CA USA; [Fine, Rana A.] Univ Miami, Rosenstiel Sch Marine &amp; Atmospher Sci, Miami, FL 33149 USA; [Lindstrom, Eric J.] NASA, Sci Mission Directorate, Washington, DC 20546 USA</t>
  </si>
  <si>
    <t>University of Hawaii System; University of Hawaii Manoa; Chinese Academy of Sciences; Institute of Oceanology, CAS; National Aeronautics &amp; Space Administration (NASA); NASA Jet Propulsion Laboratory (JPL); California Institute of Technology; University of Miami; National Aeronautics &amp; Space Administration (NASA)</t>
  </si>
  <si>
    <t>Qu, TD (corresponding author), Univ Hawaii Manoa, IPRC SOEST, 1680 East West Rd, Honolulu, HI 96822 USA.</t>
  </si>
  <si>
    <t>tangdong@hawaii.edu</t>
  </si>
  <si>
    <t>Fukumori, Ichiro/AAY-9005-2020; gao, shan/H-7959-2013</t>
  </si>
  <si>
    <t>Fukumori, Ichiro/0000-0002-0882-6400; gao, shan/0000-0003-4510-5028; Lindstrom, Eric/0000-0002-4393-2276</t>
  </si>
  <si>
    <t>National Science Foundation (NSF) [OCE06-23533, 40506010]; Japan Agency for Marine-Earth Science and Technology; National Aeronautics and Space Administration; National Oceanic and Atmospheric Administration; International Pacific Research Center (IPRC)</t>
  </si>
  <si>
    <t>National Science Foundation (NSF)(National Science Foundation (NSF)); Japan Agency for Marine-Earth Science and Technology; National Aeronautics and Space Administration(National Aeronautics &amp; Space Administration (NASA)); National Oceanic and Atmospheric Administration(National Oceanic Atmospheric Admin (NOAA) - USA); International Pacific Research Center (IPRC)</t>
  </si>
  <si>
    <t>This research was supported by the National Science Foundation (NSF) through Grant OCE06-23533. S. Gao was also supported by the NSF of China through Grant 40506010. Additional support was provided by the Japan Agency for Marine-Earth Science and Technology, the National Aeronautics and Space Administration, and the National Oceanic and Atmospheric Administration through their sponsorship of research activities at the International Pacific Research Center (IPRC). The authors are grateful to J. McCreary, Z. Yu, and R. Furue for valuable discussions and useful communications on the topic and to Z. Xing, I.-L. Tang, and Y. Shen for constant assistance in processing the ECCO outputs.</t>
  </si>
  <si>
    <t>10.1175/2009JPO4045.1</t>
  </si>
  <si>
    <t>487HR</t>
  </si>
  <si>
    <t>WOS:000269263100005</t>
  </si>
  <si>
    <t>Watson, SA; Southgate, PC; Tyler, PA; Peck, LS</t>
  </si>
  <si>
    <t>Watson, Sue-Ann; Southgate, Paul C.; Tyler, Paul A.; Peck, Lloyd S.</t>
  </si>
  <si>
    <t>EARLY LARVAL DEVELOPMENT OF THE SYDNEY ROCK OYSTER SACCOSTREA GLOMERATA UNDER NEAR-FUTURE PREDICTIONS OF CO2-DRIVEN OCEAN ACIDIFICATION</t>
  </si>
  <si>
    <t>JOURNAL OF SHELLFISH RESEARCH</t>
  </si>
  <si>
    <t>climate change; ocean acidification; carbon dioxide; oyster; survival; larval development</t>
  </si>
  <si>
    <t>AMORPHOUS CALCIUM-CARBONATE; SEA-URCHIN; CO2; SHELL; SURVIVAL; PH</t>
  </si>
  <si>
    <t>Anthropogenic emissions of carbon dioxide (CO2) from fossil fuel combustion and deforestation are rapidly increasing the atmospheric concentration of CO2 and reducing the pH of the oceans. This study shows that predicted near-future levels of ocean acidification have significant negative effects on early larval development of the Sydney rock oyster Saccostrea glomerata (Gould, 1850). CO2 was added to seawater to produce pH levels set at 8.1 (control), 7.8, and 7.6 (actual pH values were 8.11, 7.81, and 7.64, respectively). These treatments represent present-day surface ocean pH, as well as upper (Delta pH approximate to -0.3) and lower (Delta pH approximate to -0.5) pH predictions for the surface oceans in 2100. With decreasing pH, survival of S. glomerata larvae decreased, and growth and development were retarded. Larval survival decreased by 43% at pH 7.8 and by 72% at pH 7.6. Antero-posterior measurement (APM) was reduced by 6.3% at pH 7.8 and 8.7% at pH 7.6 and dorso-ventral measurement (DVM) was reduced by 5.1% at pH 7.8 and 7.5% at pH 7.6. The percentage of empty shells remaining from dead larvae decreased by 16% at pH 7.8 and by 90% at pH 7.6 indicating that the majority of empty shells dissolved within 7 days at pH 7.6. Scanning election microscope images of 8-day-old larvae show abnormalities on the shell surface at low pH suggesting (1) problems with shell deposition, (2) retarded periostracum formation, and/or (3) increased shell dissolution. Larval life-history stages are considered particularly susceptible to climate change, and this study shows that S. glomerata larvae are sensitive to a high-CO2 world and are, specifically, negatively affected by exposure to pH conditions predicted for the world's oceans for the year 2010.</t>
  </si>
  <si>
    <t>[Watson, Sue-Ann; Tyler, Paul A.] Univ Southampton, Sch Ocean &amp; Earth Sci, Natl Oceanog Ctr, Southampton SO14 3ZH, Hants, England; [Southgate, Paul C.] James Cook Univ, AIMS, Townsville, Qld 4811, Australia; [Southgate, Paul C.] James Cook Univ, Sch Marine &amp; Trop Biol, Townsville, Qld 4811, Australia; [Peck, Lloyd S.] British Antarctic Survey, NERC, Cambridge CB3 0ET, England</t>
  </si>
  <si>
    <t>University of Southampton; NERC National Oceanography Centre; James Cook University; Australian Institute of Marine Science; James Cook University; UK Research &amp; Innovation (UKRI); Natural Environment Research Council (NERC); NERC British Antarctic Survey</t>
  </si>
  <si>
    <t>Watson, SA (corresponding author), Univ Southampton, Sch Ocean &amp; Earth Sci, Natl Oceanog Ctr, European Way, Southampton SO14 3ZH, Hants, England.</t>
  </si>
  <si>
    <t>suwa@noc.soton.ac.uk</t>
  </si>
  <si>
    <t>Watson, Sue-Ann/C-3172-2013</t>
  </si>
  <si>
    <t>Watson, Sue-Ann/0000-0002-9818-7429</t>
  </si>
  <si>
    <t>AIMS@JCU; Natural Environment Research Council [NER/S/A/2005/13476]; British Antarctic Survey</t>
  </si>
  <si>
    <t>AIMS@JCU; Natural Environment Research Council(UK Research &amp; Innovation (UKRI)Natural Environment Research Council (NERC)); British Antarctic Survey</t>
  </si>
  <si>
    <t>The authors thank John Morrison, Simon Wever, Matthew Wassnig and Michael Milione for technical assistance with this study. This study was funded by AIMS@JCU. The first author was funded by a studentship from the Natural Environment Research Council (NER/S/A/2005/13476) and a Co-operative Award in Science and Engineering studentship from the British Antarctic Survey.</t>
  </si>
  <si>
    <t>NATL SHELLFISHERIES ASSOC</t>
  </si>
  <si>
    <t>GROTON</t>
  </si>
  <si>
    <t>C/O DR. SANDRA E. SHUMWAY, UNIV CONNECTICUT, 1080 SHENNECOSSETT RD, GROTON, CT 06340 USA</t>
  </si>
  <si>
    <t>0730-8000</t>
  </si>
  <si>
    <t>1943-6319</t>
  </si>
  <si>
    <t>J SHELLFISH RES</t>
  </si>
  <si>
    <t>J. Shellfish Res.</t>
  </si>
  <si>
    <t>10.2983/035.028.0302</t>
  </si>
  <si>
    <t>546HK</t>
  </si>
  <si>
    <t>WOS:000273801700002</t>
  </si>
  <si>
    <t>Debaille, V; Brandon, AD; O'Neill, C; Yin, QZ; Jacobsen, B</t>
  </si>
  <si>
    <t>Debaille, V.; Brandon, A. D.; O'Neill, C.; Yin, Q. -Z.; Jacobsen, B.</t>
  </si>
  <si>
    <t>Early martian mantle overturn inferred from isotopic composition of nakhlite meteorites</t>
  </si>
  <si>
    <t>CORE FORMATION; MAGMA OCEAN; EARLY DIFFERENTIATION; CHEMICAL EVOLUTION; LU-HF; MARS; CONSTRAINTS; ACCRETION; CRYSTALLIZATION; SYSTEMATICS</t>
  </si>
  <si>
    <t>The early stages of planetary differentiation are characterized by the formation of magma oceans, which crystallize from the base up(1,2). The final, iron-rich residues of crystallization are dense and therefore tend to sink into the mantle, whereas the deeper, magnesium-rich material tends to rise up(3,4). The resultant mantle overturn would have had a profound influence on the evolution of the planets(3-6). Such an event probably occurred on Mars, but its initiation, timing and geochemical consequences are poorly constrained. Here we use isotopic data for nakhlite meteorites-chunks of martian crust transported to the Earth-and numerical simulations to constrain the evolution of the early martian mantle. We interpret the isotopic composition of the meteorites as evidence for an episode that occurred relatively early in Mar's history, about 100 million years after the planet's formation, during which garnet was removed from material that rose up from the deep mantle. This episode implies large-scale reorganization in the martian mantle and thereby provides compelling support for overturn. We suggest that this event probably led to substantial re-melting in the deepest mantle, which may have influenced early martian processes such as the development of crustal dichotomy.</t>
  </si>
  <si>
    <t>[Debaille, V.] Univ Libre Bruxelles, DSTE, B-1050 Brussels, Belgium; [Debaille, V.] Lunar &amp; Planetary Inst, Houston, TX 77058 USA; [Brandon, A. D.] NASA, Johnson Space Ctr, Houston, TX 77058 USA; [O'Neill, C.] Macquarie Univ, GEMOC ARC Natl Key Ctr, N Ryde, NSW 2109, Australia; [Yin, Q. -Z.; Jacobsen, B.] Univ Calif Davis, Dept Geol, Davis, CA 95616 USA</t>
  </si>
  <si>
    <t>Universite Libre de Bruxelles; National Aeronautics &amp; Space Administration (NASA); Macquarie University; University of California System; University of California Davis</t>
  </si>
  <si>
    <t>Debaille, V (corresponding author), Univ Libre Bruxelles, DSTE, CP 160-02,50 Ave FD Roosevelt, B-1050 Brussels, Belgium.</t>
  </si>
  <si>
    <t>vinciane.debaille@ulb.ac.be</t>
  </si>
  <si>
    <t>Yin, Qing/HNC-6727-2023; Yin, Qing-Zhu/B-8198-2009</t>
  </si>
  <si>
    <t>O'Neill, Craig/0000-0002-6034-1881; Debaille, Vinciane/0000-0002-6544-4564; Jacobsen, Benjamin/0000-0003-4149-517X</t>
  </si>
  <si>
    <t>NASA Cosmochemistry [RTOP 344-31-72-06, NNX08AG57G]; Origins of Solar Systems grant [NNX09AC93G]; Belgian Fonds National pour la Recherche Scientifique (FRS-FNRS); ARC; UCD-ICP-MS [0023]; GEMOC [597]; NASA [NNX08AG57G, 99891] Funding Source: Federal RePORTER</t>
  </si>
  <si>
    <t>NASA Cosmochemistry(National Aeronautics &amp; Space Administration (NASA)); Origins of Solar Systems grant; Belgian Fonds National pour la Recherche Scientifique (FRS-FNRS)(Fonds de la Recherche Scientifique - FNRS); ARC(Australian Research Council); UCD-ICP-MS; GEMOC; NASA(National Aeronautics &amp; Space Administration (NASA))</t>
  </si>
  <si>
    <t>This work was carried out under a postdoctoral fellowship grant to V. D. at the Lunar and Planetary Institute, a NASA Cosmochemistry grant to A. D. B. (RTOP 344-31-72-06) and a NASA Cosmochemistry grant (NNX08AG57G) and Origins of Solar Systems grant (NNX09AC93G) to Q.-Z.Y. at UC Davis. We thank NIPR and the NASA Antarctic Meteorite Collection for providing samples for this study. A. Agranier, Y. Reese and C.-Y. Shih are thanked for their analytical support, and the Belgian Fonds National pour la Recherche Scientifique (FRS-FNRS) for present support to V. D. C.O'N. acknowledges ARC support. This is a UCD-ICP-MS contribution number no. 0023 and GEMOC no. 597.</t>
  </si>
  <si>
    <t>10.1038/NGEO579</t>
  </si>
  <si>
    <t>497LU</t>
  </si>
  <si>
    <t>WOS:000270061800012</t>
  </si>
  <si>
    <t>Siddall, M; Stocker, TF; Clark, PU</t>
  </si>
  <si>
    <t>Siddall, Mark; Stocker, Thomas F.; Clark, Peter U.</t>
  </si>
  <si>
    <t>RETRACTED: Constraints on future sea-level rise from past sea-level change (Retracted article. See vol. 3, pg. 217, 2010)</t>
  </si>
  <si>
    <t>Article; Retracted Publication</t>
  </si>
  <si>
    <t>LAST GLACIAL MAXIMUM; ICE-SHEET; CLIMATE-CHANGE; TEMPERATURE; DURATION</t>
  </si>
  <si>
    <t>It is difficult to project sea-level rise in response to warming climates by the end of the century, especially because the response of the Greenland and Antarctic ice sheets to warming is not well understood(1). However, sea-level fluctuations in response to changing climate have been reconstructed for the past 22,000 years from fossil data, a period that covers the transition from the Last Glacial Maximum to the warm Holocene interglacial period. Here we present a simple model of the integrated sea-level response to temperature change that implicitly includes contributions from the thermal expansion and the reduction of continental ice. Our model explains much of the centennial-scale variability observed over the past 22,000 years, and estimates 4-24 cm of sea-level rise during the twentieth century, in agreement with the Fourth Assessment Report of the Intergovernmental Panel on Climate Change(1) (IPCC). In response to the minimum (1.1 degrees C) and maximum (6.4 degrees C) warming projected for AD 2100 by the IPCC models, our model predicts 7 and 82 cm of sea-level rise by the end of the twenty-first century, respectively. The range of sea-level rise is slightly larger than the estimates from the IPCC models of 18-76 cm, but is sufficiently similar to increase confidence in the projections.</t>
  </si>
  <si>
    <t>[Siddall, Mark] Columbia Univ, Lamont Doherty Earth Observ, Palisades, NY 10964 USA; [Stocker, Thomas F.] Univ Bern, Inst Phys, CH-3012 Bern, Switzerland; [Clark, Peter U.] Oregon State Univ, Dept Geosci, Corvallis, OR 97331 USA</t>
  </si>
  <si>
    <t>Columbia University; University of Bern; Oregon State University</t>
  </si>
  <si>
    <t>Siddall, M (corresponding author), Univ Bristol, Dept Earth Sci, Wills Mem Bldg,Queens Rd, Bristol BS8 1RJ, Avon, England.</t>
  </si>
  <si>
    <t>mark.siddall@bristol.ac.uk</t>
  </si>
  <si>
    <t>Stocker, Thomas F/B-1273-2013</t>
  </si>
  <si>
    <t>Lamont Doherty Earth Observatory; University of Bristol; Swiss National Science Foundation; University of Bern; US National Science Foundation</t>
  </si>
  <si>
    <t>Lamont Doherty Earth Observatory; University of Bristol; Swiss National Science Foundation(Swiss National Science Foundation (SNSF)); University of Bern; US National Science Foundation(National Science Foundation (NSF))</t>
  </si>
  <si>
    <t>M. S. acknowledges support from Lamont Doherty Earth Observatory and the University of Bristol (LDEO and RCUK fellowships). Conversations with J. Shepherd and D. Pollard have been very useful in bringing this work together and it could not have been completed without their suggestions. Support from the Swiss National Science Foundation and the University of Bern (T. F. S.) and the US National Science Foundation (P. U. C.) is acknowledged.</t>
  </si>
  <si>
    <t>10.1038/NGEO587</t>
  </si>
  <si>
    <t>WOS:000270061800017</t>
  </si>
  <si>
    <t>King, EC; Hindmarsh, RCA; Stokes, CR</t>
  </si>
  <si>
    <t>King, E. C.; Hindmarsh, R. C. A.; Stokes, C. R.</t>
  </si>
  <si>
    <t>Formation of mega-scale glacial lineations observed beneath a West Antarctic ice stream</t>
  </si>
  <si>
    <t>BEDFORMS; DEFORMATION; REVEAL; SHEET; ZONE; FLOW</t>
  </si>
  <si>
    <t>Most discharge from large ice sheets takes place through fast-flowing ice streams and their speed is strongly modulated by interactions between the ice and the underlying sediments. Seismic surveys and investigations through boreholes have revealed a spatial association between fast ice flow and saturated deformable sediments. Nevertheless, our knowledge of the morphology of the interface between ice and sediments is still limited, resulting in only rudimentary understanding of the basal boundary conditions beneath ice streams and the generation of subglacial bedforms. Here we present radar data from the bed of a West Antarctic ice stream that reveal the presence of mega-scale glacial lineations. We combine these data with previously published seismic data and show that these lineations develop in areas of dilatant deforming till and are part of a dynamic sedimentary system that undergoes significant change by erosion and deposition on decadal timescales. We find that the mega-scale glacial lineations are indistinguishable from those found on beds of palaeo-ice streams, providing conclusive evidence for the hypothesis that highly elongate bedforms are a characteristic of fast-flow regions in ice sheets.</t>
  </si>
  <si>
    <t>[King, E. C.; Hindmarsh, R. C. A.] British Antarctic Survey, Cambridge CB3 0ET, England; [Stokes, C. R.] Univ Durham, Dept Geog, Durham DH1 3LE, England</t>
  </si>
  <si>
    <t>UK Research &amp; Innovation (UKRI); Natural Environment Research Council (NERC); NERC British Antarctic Survey; Durham University</t>
  </si>
  <si>
    <t>King, EC (corresponding author), British Antarctic Survey, Madingley Rd, Cambridge CB3 0ET, England.</t>
  </si>
  <si>
    <t>ecki@bas.ac.uk</t>
  </si>
  <si>
    <t>Hindmarsh, Richard/N-1195-2019; Stokes, Chris/A-1957-2011</t>
  </si>
  <si>
    <t>Hindmarsh, Richard/0000-0003-1633-2416; Stokes, Chris/0000-0003-3355-1573</t>
  </si>
  <si>
    <t>NERC [bas010018, NE/D011175/1] Funding Source: UKRI; Natural Environment Research Council [bas010018, NE/D011175/1] Funding Source: researchfish</t>
  </si>
  <si>
    <t>10.1038/NGEO581</t>
  </si>
  <si>
    <t>WOS:000270061800020</t>
  </si>
  <si>
    <t>Vána, J; Bednarek-Ochyra, H; Cykowska, B</t>
  </si>
  <si>
    <t>Vana, Jiri; Bednarek-Ochyra, Halina; Cykowska, Beata</t>
  </si>
  <si>
    <t>Two new species of liverworts from the subantarctic Prince Edward Islands</t>
  </si>
  <si>
    <t>NOVA HEDWIGIA</t>
  </si>
  <si>
    <t>Paracromastigum ryszardii; Scapania valdonii; Lepidoziaceae; Scapaniaceae; Marchantiophyta; Subantarctica; Marion Island; Prince Edward Island; taxonomy</t>
  </si>
  <si>
    <t>Two new species of liverworts, Paracromastigum ryszardii Vana, Bednarek-Ochyra &amp; Cykowska (Lepidoziaceae) and Scapania valdonii Vana, Bednarek-Ochyra &amp; Cykowska (Scapaniaceae) are described from the Prince Edward Islands, a subantarctic archipelago situated in the Kerguelen Province of the south Indian Ocean sector. In P. ryszardii perianths were found to be produced in great profusion, whereas in S. valdonii only male plants were discovered but vegetative gemmae are produced in abundance at the margins of leaf lobes. The species are illustrated, their ecological requirements are described and their affinities are assessed.</t>
  </si>
  <si>
    <t>[Vana, Jiri] Charles Univ Prague, Dept Bot, Fac Sci, CZ-12801 Prague 2, Czech Republic; [Bednarek-Ochyra, Halina; Cykowska, Beata] Polish Acad Sci, Lab Bryol, Inst Bot, PL-31512 Krakow, Poland</t>
  </si>
  <si>
    <t>Charles University Prague; Polish Academy of Sciences</t>
  </si>
  <si>
    <t>Vána, J (corresponding author), Charles Univ Prague, Dept Bot, Fac Sci, Benatska 2, CZ-12801 Prague 2, Czech Republic.</t>
  </si>
  <si>
    <t>Váňa, Jiří/I-5979-2016; Bednarek-Ochyra, Halina/K-7507-2012; Cykowska-Marzencka, Beata/K-2661-2017</t>
  </si>
  <si>
    <t>Ochyra, Ryszard/0000-0002-2541-0722; Cykowska-Marzencka, Beata/0000-0002-5468-4909; Bednarek-Ochyra, Halina/0000-0002-6994-8313</t>
  </si>
  <si>
    <t>Polish Ministry of Science and Higher Education [N 303 063 32/2264]; South African National Antarctic Program; Ministry of Education of the Government of the Czech Republic [0021620828]</t>
  </si>
  <si>
    <t>Polish Ministry of Science and Higher Education(Ministry of Science and Higher Education, Poland); South African National Antarctic Program; Ministry of Education of the Government of the Czech Republic(Ministry of Education, Youth &amp; Sports - Czech Republic)</t>
  </si>
  <si>
    <t>We are very grateful to Professor Ryszard Ochyra, Krakow, for providing an access to his collection of liverworts from the Prince Edward Islands and to John Engel, Field Museum in Chicago, for kindly checking the specimen of Paracromastigum. Thanks are also due to Robin Stevenson, King's Lynn, for improving the English. This work has been financially supported by the Polish Ministry of Science and Higher Education through grant No. N 303 063 32/2264 for Halina Bednarek-Ochyra, and by the South African National Antarctic Program. Jiri Vana received financial support for this research from the Ministry of Education of the Government of the Czech Republic through grant No. 0021620828.</t>
  </si>
  <si>
    <t>GEBRUDER BORNTRAEGER</t>
  </si>
  <si>
    <t>JOHANNESSTR 3A, D-70176 STUTTGART, GERMANY</t>
  </si>
  <si>
    <t>0029-5035</t>
  </si>
  <si>
    <t>2363-7188</t>
  </si>
  <si>
    <t>Nova Hedwigia</t>
  </si>
  <si>
    <t>10.1127/0029-5035/2009/0089-0121</t>
  </si>
  <si>
    <t>478VH</t>
  </si>
  <si>
    <t>WOS:000268616100006</t>
  </si>
  <si>
    <t>Dunaev, NN; Merklin, LR; Pykhov, NV</t>
  </si>
  <si>
    <t>Dunaev, N. N.; Merklin, L. R.; Pykhov, N. V.</t>
  </si>
  <si>
    <t>Neotectonic dynamics of the marine coastal zone exemplified by the Antarctic Peninsula</t>
  </si>
  <si>
    <t>The proposed concept of the marine coastal zone (MCZ) is substantiated with considering the role of the neotectonics in the formation and evolution of the corresponding morphologic system using the Antarctic Peninsula as an example. For this purpose, the results of the immediate geologic-geomorphologic observations are correlated with an original schematic neotectonic map compiled for the region in question. It is shown that neotectonic movements are responsible for the block structure of the coastal zone representing its most stable element, which is complicated by subsequent regional exogenic coast-forming processes with the glacial one being dominant. Other aspects of the marine coastal zone influenced by neotectonics are also considered. A new (near-polar) type of the marine coastal zone is defined.</t>
  </si>
  <si>
    <t>[Dunaev, N. N.; Merklin, L. R.; Pykhov, N. V.] Russian Acad Sci, PP Shirshov Oceanol Inst, Moscow, Russia</t>
  </si>
  <si>
    <t>Dunaev, NN (corresponding author), Russian Acad Sci, PP Shirshov Oceanol Inst, Moscow, Russia.</t>
  </si>
  <si>
    <t>dunaev@ocean.ru; merklin@ocean.ru; pykhov@ocean.ru</t>
  </si>
  <si>
    <t>Dunaev, Nikolay/S-1510-2016</t>
  </si>
  <si>
    <t>Russian Foundation for Basic Research [06-05-64253-a]</t>
  </si>
  <si>
    <t>This work was supported by the Russian Foundation for Basic Research, project no. 06-05-64253-a.</t>
  </si>
  <si>
    <t>10.1134/S0001437009040146</t>
  </si>
  <si>
    <t>496LD</t>
  </si>
  <si>
    <t>WOS:000269974500014</t>
  </si>
  <si>
    <t>Ballerini, T; Tavecchia, G; Olmastroni, S; Pezzo, F; Focardi, S</t>
  </si>
  <si>
    <t>Ballerini, Tosca; Tavecchia, Giacomo; Olmastroni, Silvia; Pezzo, Francesco; Focardi, Silvano</t>
  </si>
  <si>
    <t>Nonlinear effects of winter sea ice on the survival probabilities of Adelie penguins</t>
  </si>
  <si>
    <t>OECOLOGIA</t>
  </si>
  <si>
    <t>Age dependence; Capture-mark-recapture; Life history; Population dynamics; Southern Oscillation Index</t>
  </si>
  <si>
    <t>SOUTHERN-OCEAN; POPULATION-DYNAMICS; ANTARCTIC SEABIRD; ROSS SEA; MARINE ECOSYSTEM; BREEDING SUCCESS; EDMONSON POINT; PACIFIC SECTOR; CLIMATE-CHANGE; VARIABILITY</t>
  </si>
  <si>
    <t>The population dynamics of Antarctic seabirds are influenced by variations in winter sea ice extent and persistence; however, the type of relationship differs according to the region and the demographic parameter considered. We used annual presence/absence data obtained from 1,138 individually marked birds to study the influence of environmental and individual characteristics on the survival of Ad,lie penguins Pygoscelis adeliae at Edmonson Point (Ross Sea, Antarctica) between 1994 and 2005. About 25% of 600 birds marked as chicks were reobserved at the natal colony. The capture and survival rates of Ad,lie penguins at this colony increased with the age of individuals, and five age classes were identified for both parameters. Mean adult survival was 0.85 (SE = 0.01), and no effect of sex on survival was evident. Breeding propensity, as measured by adult capture rates, was close to one, indicating a constant breeding effort through time. Temporal variations in survival were best explained by a quadratic relationship with winter sea ice extent anomalies in the Ross Sea, suggesting that for this region optimal conditions are intermediate between too much and too little winter sea ice. This is likely the result of a balance between suitable wintering habitat and food availability. Survival rates were not correlated with the Southern Oscillation Index. Low adult survival after a season characterized by severe environmental conditions at breeding but favorable conditions during winter suggested an additional mortality mediated by the reproductive effort. Ad,lie penguins are sensitive indicators of environmental changes in the Antarctic, and the results from this study provide insights into regional responses of this species to variability in winter sea ice habitat.</t>
  </si>
  <si>
    <t>[Ballerini, Tosca; Olmastroni, Silvia; Pezzo, Francesco; Focardi, Silvano] Univ Siena, Dipartimento Sci Ambientali G Sarfatti, I-53100 Siena, Italy; [Tavecchia, Giacomo] UIB, CSIC, Inst Mediterrani Estudis Avancats IMEDEA, Esporles 07190, Mallorca, Spain</t>
  </si>
  <si>
    <t>University of Siena; Consejo Superior de Investigaciones Cientificas (CSIC); ATTITUS Educacao; Universitat de les Illes Balears</t>
  </si>
  <si>
    <t>Ballerini, T (corresponding author), Old Dominion Univ, Ctr Coastal Phys Oceanog, 4111 Monarch Way 3rd Floor, Norfolk, VA 23508 USA.</t>
  </si>
  <si>
    <t>ballerini@ccpo.odu.edu</t>
  </si>
  <si>
    <t>Ballerini, Tosca/ABE-1656-2020; Tavecchia, Giacomo/N-3961-2014; Pezzo, Francesco/JKJ-1816-2023; OLMASTRONI, Silvia/G-6267-2018</t>
  </si>
  <si>
    <t>Ballerini, Tosca/0000-0003-4007-4605; Tavecchia, Giacomo/0000-0001-5435-2691; Pezzo, Francesco/0000-0003-4437-3805; OLMASTRONI, Silvia/0000-0002-9319-9914</t>
  </si>
  <si>
    <t>Italian Antarctic Research Program (PNRA); Italian Ministry for University and Research (MIUR).</t>
  </si>
  <si>
    <t>Italian Antarctic Research Program (PNRA); Italian Ministry for University and Research (MIUR).(Ministry of Education, Universities and Research (MIUR))</t>
  </si>
  <si>
    <t>This work was supported by the Italian Antarctic Research Program (PNRA) and by the Italian Ministry for University and Research (MIUR). The Australian Antarctic Division (AAD) provided the APMS. We are very grateful to the many people from the Department of Environmental Sciences G. Sarfatti of the University of Siena and from the AAD who were actively involved in field data collection over many years. R. Pradel provided valuable comments on an early phase of the analysis. We would like to thank Stephanie Jenouvrier and the other anonymous referees that made precious comments that helped to improve successive versions of the manuscript. TB is grateful to E. Hofmann for suggestions while preparing the last version of the manuscript.</t>
  </si>
  <si>
    <t>0029-8549</t>
  </si>
  <si>
    <t>1432-1939</t>
  </si>
  <si>
    <t>Oecologia</t>
  </si>
  <si>
    <t>10.1007/s00442-009-1387-9</t>
  </si>
  <si>
    <t>477VW</t>
  </si>
  <si>
    <t>WOS:000268548000004</t>
  </si>
  <si>
    <t>Verleyen, E; Vyverman, W; Sterken, M; Hodgson, DA; De Wever, A; Juggins, S; Van de Vijver, B; Jones, VJ; Vanormelingen, P; Roberts, D; Flower, R; Kilroy, C; Souffreau, C; Sabbe, K</t>
  </si>
  <si>
    <t>Verleyen, Elie; Vyverman, Wim; Sterken, Mieke; Hodgson, Dominic A.; De Wever, Aaike; Juggins, Steve; Van de Vijver, Bart; Jones, Vivienne J.; Vanormelingen, Pieter; Roberts, Donna; Flower, Roger; Kilroy, Cathy; Souffreau, Caroline; Sabbe, Koen</t>
  </si>
  <si>
    <t>The importance of dispersal related and local factors in shaping the taxonomic structure of diatom metacommunities</t>
  </si>
  <si>
    <t>OIKOS</t>
  </si>
  <si>
    <t>COMMUNITY COMPOSITION; SPATIAL PROCESSES; SPECIES RICHNESS; MOUNTAIN LAKES; FRESH-WATER; DIVERSITY; PATTERNS; PH; BIOGEOGRAPHY; SEDIMENT</t>
  </si>
  <si>
    <t>To date, little is known about the relative importance of dispersal related versus local factors in shaping microbial metacommunities. A common criticism regarding existing datasets is that the level of taxonomic resolution might be too coarse to reliably assess microbial community structure and study biogeographical patterns. Moreover, few studies have assessed the importance of geographic distance between habitats, which may influence metacommunity dynamics through its effect on dispersal rates. We applied variation partitioning analyses to 15 separate regional datasets on diatoms found in lakes in Eurasia, Africa and Antarctica. These analyses quantified the relative contributions of dispersal related and local factors in determining patterns of taxonomic turnover at the species and at the genus level. In general, results were similar at both taxonomic levels. Local environmental factors accounted for most of the explained variation (median=21%), whereas dispersal related factors were much less important (median of significant fractions=5.5% variation explained) and failed to significantly explain any variation, independent of the environmental variables, in the majority of the datasets. However, the amount of variation explained by dispersal related factors increased with increasing geographic distance and increasing taxonomic resolution. We extrapolated our regional scale observations to the global scale by combining the regional datasets into a global dataset comprising 1039 freshwater lakes from both hemispheres and spanning a geographic distance of over 19 000 km. At this global scale, taxonomic turnover was lowest in highly connected habitats, once environmental factors were partialled out. In common with many other studies of macro-organisms, these analyses showed that both dispersal related and local variables significantly contribute to the structure of global lacustrine diatom communities.</t>
  </si>
  <si>
    <t>[Verleyen, Elie; Vyverman, Wim; Sterken, Mieke; De Wever, Aaike; Vanormelingen, Pieter; Souffreau, Caroline; Sabbe, Koen] Univ Ghent, BE-9000 Ghent, Belgium; [Hodgson, Dominic A.] British Antarctic Survey, NERC, Cambridge CB3 0ET, England; [Juggins, Steve] Newcastle Univ, Sch Geog Polit &amp; Sociol, Newcastle Upon Tyne NE1 7RU, Tyne &amp; Wear, England; [Van de Vijver, Bart] Natl Bot Garden Belgium, BE-1860 Domein Van Bouchout, Meise, Belgium; [Jones, Vivienne J.; Flower, Roger] UCL, Environm Change Res Ctr, London WC1E 6BT, England; [Roberts, Donna] Antarctic Climate &amp; Ecosyst Cooperat Res Ctr, Hobart, Tas 7001, Australia; [Kilroy, Cathy] NIWA, Christchurch 8602, New Zealand</t>
  </si>
  <si>
    <t>Ghent University; UK Research &amp; Innovation (UKRI); Natural Environment Research Council (NERC); NERC British Antarctic Survey; Newcastle University - UK; University of London; University College London; Antarctic Climate &amp; Ecosystems Cooperative Research Centre (ACE CRC); National Institute of Water &amp; Atmospheric Research (NIWA) - New Zealand</t>
  </si>
  <si>
    <t>Verleyen, E (corresponding author), Univ Ghent, Krijgslaan 281 S8, BE-9000 Ghent, Belgium.</t>
  </si>
  <si>
    <t>elie.verleyen@ugent.be</t>
  </si>
  <si>
    <t>De Wever, Aaike/A-4691-2009; Dasseville, Renaat/B-3561-2010; Juggins, Steve/D-1653-2010</t>
  </si>
  <si>
    <t>Roberts, Donna/0000-0001-6701-6662; De Wever, Aaike/0000-0001-8804-8321; Juggins, Steve/0000-0003-4466-424X; Souffreau, Caroline/0000-0003-0997-9190</t>
  </si>
  <si>
    <t>Belgian Science Policy Office; Fund for Scientific Research - Flanders (Belgium); NERC [bas0100024] Funding Source: UKRI; Natural Environment Research Council [bas0100024] Funding Source: researchfish</t>
  </si>
  <si>
    <t>Belgian Science Policy Office(Belgian Federal Science Policy Office); Fund for Scientific Research - Flanders (Belgium)(FWO); NERC(UK Research &amp; Innovation (UKRI)Natural Environment Research Council (NERC)); Natural Environment Research Council(UK Research &amp; Innovation (UKRI)Natural Environment Research Council (NERC))</t>
  </si>
  <si>
    <t>Elie Verleyen and Wim Vyverman contributed equally to this work. This research was supported by grants from the Belgian Science Policy Office and the Fund for Scientific Research - Flanders (Belgium). We thank Koenraad Vanhoutte and the EDDI members who kindly provided diatom data: John N. Anderson, Helen Bennion, H. J. B. Birks, John Boyle, Nigel Cameron, Jordi Catalan, Joan Garcia, Francoise Gasse, Atte Korhola, Tom Korsman, Andre Lotter, Aldo Marchetto, Jane Reed, Patrick Rioual, Peter Rosen, Roland Schmidt, Nadia Solovieva, Jan Weckstromand Sybille Wunsam. Nick Gotelli and Dr. Beatrix Beisner are thanked for their useful comments on an earlier version of the manuscript.</t>
  </si>
  <si>
    <t>0030-1299</t>
  </si>
  <si>
    <t>1600-0706</t>
  </si>
  <si>
    <t>Oikos</t>
  </si>
  <si>
    <t>10.1111/j.1600-0706.2009.17575.x</t>
  </si>
  <si>
    <t>477RD</t>
  </si>
  <si>
    <t>WOS:000268535300015</t>
  </si>
  <si>
    <t>Botta, O; Glavin, DP; Dworkin, JP; Matrajt, G; Harvey, RP</t>
  </si>
  <si>
    <t>Botta, Oliver; Glavin, Daniel P.; Dworkin, Jason P.; Matrajt, Graciela; Harvey, Ralph P.</t>
  </si>
  <si>
    <t>Detection of AIB in Antarctic Ice Samples: Implications for Exogenous Delivery of Prebiotic Organic Compounds</t>
  </si>
  <si>
    <t>ORIGINS OF LIFE AND EVOLUTION OF BIOSPHERES</t>
  </si>
  <si>
    <t>AMINO-ACIDS; METEORITES</t>
  </si>
  <si>
    <t>[Botta, Oliver] Int Space Sci Inst, CH-3012 Bern, Switzerland; [Glavin, Daniel P.; Dworkin, Jason P.] NASA, Goddard Space Flight Ctr, Greenbelt, MD 20771 USA; [Matrajt, Graciela] Univ Washington, Dept Astron, Seattle, WA 98195 USA; [Harvey, Ralph P.] Case Western Reserve Univ, Dept Geol, Cleveland, OH 44106 USA</t>
  </si>
  <si>
    <t>National Aeronautics &amp; Space Administration (NASA); NASA Goddard Space Flight Center; University of Washington; University of Washington Seattle; University System of Ohio; Case Western Reserve University</t>
  </si>
  <si>
    <t>botta@issibern.ch</t>
  </si>
  <si>
    <t>Dworkin, Jason P./C-9417-2012; Glavin, Daniel P/D-6194-2012; Matrajt, Graciela/A-4812-2017</t>
  </si>
  <si>
    <t>Dworkin, Jason P./0000-0002-3961-8997; Glavin, Daniel P/0000-0001-7779-7765;</t>
  </si>
  <si>
    <t>0169-6149</t>
  </si>
  <si>
    <t>ORIGINS LIFE EVOL B</t>
  </si>
  <si>
    <t>Orig. Life Evol. Biosph.</t>
  </si>
  <si>
    <t>458OL</t>
  </si>
  <si>
    <t>WOS:000267033300051</t>
  </si>
  <si>
    <t>Gryziak, G</t>
  </si>
  <si>
    <t>Gryziak, Grzegorz</t>
  </si>
  <si>
    <t>Colonization by mites of glacier-free areas in King George Island, Antarctica</t>
  </si>
  <si>
    <t>PESQUISA AGROPECUARIA BRASILEIRA</t>
  </si>
  <si>
    <t>oribatid mites; global change; glacier melting</t>
  </si>
  <si>
    <t>ROSS ISLAND; INVERTEBRATES; CONSEQUENCES; COMMUNITIES; ABUNDANCE</t>
  </si>
  <si>
    <t>This work aimed to investigate the ratio of colonization by terrestrial mites on ice-free areas created by the ongoing climate-induced melting of Antarctic glaciers. Glacier retreat opens new ice-free areas for the colonization by vegetation and animals. The study was undertaken on the Antarctic Specially Protected Area no. 128 (West Coast of the Admiralty Bay, King George Island, South Shetlands Islands). Transects marked between the Ecology, Baranowski and Windy Glaciers, and a sea shore were used to collect soil samples. Oribatid mites were found only on near-shore areas, on patches of vegetation of more than 30 years of age. The colonization by mite communities is strongly determined by the presence of plants.</t>
  </si>
  <si>
    <t>[Gryziak, Grzegorz] Polish Acad Sci, Ctr Ecol Res, PL-05092 Lomianki, Poland; [Gryziak, Grzegorz] Polish Acad Sci, Dept Antarctic Biol, PL-02141 Warsaw, Poland</t>
  </si>
  <si>
    <t>Polish Academy of Sciences; Polish Academy of Sciences</t>
  </si>
  <si>
    <t>Gryziak, G (corresponding author), Polish Acad Sci, Ctr Ecol Res, Ul Konopnickiej 1, PL-05092 Lomianki, Poland.</t>
  </si>
  <si>
    <t>ggryziak@cbe-pan.pl</t>
  </si>
  <si>
    <t>Gryziak, Grzegorz/T-3235-2018</t>
  </si>
  <si>
    <t>Gryziak, Grzegorz/0000-0001-5380-1555</t>
  </si>
  <si>
    <t>EMPRESA BRASIL PESQ AGROPEC</t>
  </si>
  <si>
    <t>BRASILIA DF</t>
  </si>
  <si>
    <t>EMBRAPA INFORMACAO TECNOLOGICA, PESQUISA AGROPECUARIA BRASILEIRA - PAB, CAIXA POSTAL 040315, 70770-901 BRASILIA DF, BRAZIL</t>
  </si>
  <si>
    <t>0100-204X</t>
  </si>
  <si>
    <t>1678-3921</t>
  </si>
  <si>
    <t>PESQUI AGROPECU BRAS</t>
  </si>
  <si>
    <t>Pesqui. Agropecu. Bras.</t>
  </si>
  <si>
    <t>10.1590/S0100-204X2009000800013</t>
  </si>
  <si>
    <t>Agriculture, Multidisciplinary</t>
  </si>
  <si>
    <t>523QC</t>
  </si>
  <si>
    <t>gold, Green Published</t>
  </si>
  <si>
    <t>WOS:000272088400013</t>
  </si>
  <si>
    <t>Barbosa, A; Palacios, MJ</t>
  </si>
  <si>
    <t>Barbosa, Andres; Jose Palacios, Maria</t>
  </si>
  <si>
    <t>Health of Antarctic birds: a review of their parasites, pathogens and diseases</t>
  </si>
  <si>
    <t>Antarctic birds; Bacteria; Disease; Health; Parasite; Virus</t>
  </si>
  <si>
    <t>SOUTH-POLAR SKUAS; PETREL MACRONECTES-GIGANTEUS; CRYPTOSPORIDIUM-SPP. OOCYSTS; PENGUINS PYGOSCELIS-ADELIAE; TICKS IXODES-URIAE; INFLUENZA-A VIRUS; GLACIOPSYLLUS-ANTARCTICUS; CATHARACTA-MACCORMICKI; BLOOD PARASITES; AVIAN CHOLERA</t>
  </si>
  <si>
    <t>Antarctic birds are not beyond the effects of parasites or pathogens. However, potential ecological consequences of wide-spread infections for bird populations in Antarctica have received little attention. In this paper, we review the information published about disease and parasites, and their effects on Antarctic birds. The information on host species, parasites and pathogens, and geographic regions is incomplete and data on ecological effects on the populations, including how birds respond to pathogens and parasites, are almost inexistent. We conclude that more research is needed to establish general patterns of spatial and temporal variation in pathogens and parasites, and to determine how such patterns could influence hosts. This information is crucial to limit the spread of outbreaks and may aid in the decision-making process should they occur.</t>
  </si>
  <si>
    <t>[Barbosa, Andres; Jose Palacios, Maria] CSIC, Estn Expt Zonas Aridas, Dept Ecol Func &amp; Evolut, Almeria 04001, Spain</t>
  </si>
  <si>
    <t>Consejo Superior de Investigaciones Cientificas (CSIC); CSIC - Estacion Experimental de Zonas Aridas (EEZA)</t>
  </si>
  <si>
    <t>Barbosa, A (corresponding author), CSIC, Museo Nacl Ciencias Nat, Dept Ecol Evolut, C Jose Gutierrez Abascal 2, E-28006 Madrid, Spain.</t>
  </si>
  <si>
    <t>barbosa@mncn.csic.es</t>
  </si>
  <si>
    <t>Barbosa, Andrés/C-3208-2008</t>
  </si>
  <si>
    <t>Barbosa, Andrés/0000-0001-8434-3649</t>
  </si>
  <si>
    <t>Spanish Ministry of Science and Innovation [CGL2004-01348, POL2006-05175, BES-2005-8465]</t>
  </si>
  <si>
    <t>Spanish Ministry of Science and Innovation(Spanish Government)</t>
  </si>
  <si>
    <t>This review was done under International Polar Year Project number 172 Birdhealth. This study was supported by Projects CGL2004-01348 and POL2006-05175 funded by the Spanish Ministry of Science and Innovation and by the European Regional Development Fund. MJP was supported by a Ph. D. grant from the Spanish Ministry of Science and Innovation( BES-2005-8465). We specially thank Barbara Wienecke and two anonymous referees for helpful suggestions on an early version of this manuscript. Deborah Faldauer corrected the language.</t>
  </si>
  <si>
    <t>10.1007/s00300-009-0640-3</t>
  </si>
  <si>
    <t>481DP</t>
  </si>
  <si>
    <t>WOS:000268787700001</t>
  </si>
  <si>
    <t>Nielsen, JF; Lavery, S; Lörz, AN</t>
  </si>
  <si>
    <t>Nielsen, Johanna Fonss; Lavery, Shane; Lorz, Anne-Nina</t>
  </si>
  <si>
    <t>Synopsis of a new collection of sea spiders (Arthropoda: Pycnogonida) from the Ross Sea, Antarctica</t>
  </si>
  <si>
    <t>Sea spiders; Antarctic; Ross Sea; 12S; 16S; 18S; COI; DNA barcoding</t>
  </si>
  <si>
    <t>PRIMERS; DNA; AMPLIFICATION; SEQUENCES; EVOLUTION; GENE</t>
  </si>
  <si>
    <t>The biodiversity research expedition TAN0204 with RS Tangaroa to the Ross Sea in 2004 yielded a new collection of 2,687 specimens of pycnogonids. As much as 25 different species encompassing 14 genera and eight families were identified and their records are discussed herein. The collection is archived in the Marine Invertebrate Collection of the New Zealand National Institute of Water and Atmospheric Research (NIWA). The majority (69%) of specimens are from the Nymphon australe group (Nymphonidae), although species richness and abundance varied among the stations sampled. The collection includes several specimens from polymerous taxa; Pentanymphon antarcticum (Nymphonidae), Decolopoda australis (Colossendeidae) and Pentapycnon bouvieri (Pycnogonidae). All species were classified based on morphological characters, and DNA sequences (from the 18S, 12S, 16S and COI regions) for 21 of the representative morphotypes are given. The DNA sequences confirmed the species-level distinctiveness of these morphotypes. No species new to science were identified, although further detailed morphometric and/or molecular analyses may reveal cryptic or sibling species, especially in species such as the highly abundant Nymphon australe group.</t>
  </si>
  <si>
    <t>[Nielsen, Johanna Fonss; Lavery, Shane] Univ Auckland, Sch Biol Sci, Auckland 1142, New Zealand; [Lorz, Anne-Nina] Natl Inst Water &amp; Atmospher Res, Wellington, New Zealand</t>
  </si>
  <si>
    <t>University of Auckland; National Institute of Water &amp; Atmospheric Research (NIWA) - New Zealand</t>
  </si>
  <si>
    <t>Nielsen, JF (corresponding author), Zool Soc London, Inst Zool, Regents Pk, London NW1 4RY, England.</t>
  </si>
  <si>
    <t>johanna.nielsen@ioz.ac.uk</t>
  </si>
  <si>
    <t>Lavery, Shane/AFX-7929-2022; 赵, 鹏/B-8401-2009</t>
  </si>
  <si>
    <t>Lavery, Shane/0000-0003-3038-292X;</t>
  </si>
  <si>
    <t>10.1007/s00300-009-0611-8</t>
  </si>
  <si>
    <t>WOS:000268787700005</t>
  </si>
  <si>
    <t>Vargas, R; Osman, LP; Torres, D</t>
  </si>
  <si>
    <t>Vargas, Romeo; Osman, Layla P.; Torres, Daniel</t>
  </si>
  <si>
    <t>Inter-sexual differences in Antarctic fur seal pup growth rates: evidence of environmental regulation?</t>
  </si>
  <si>
    <t>Arctocephalus gazella; Sexual dimorphism; Pup growth rates; Maternal foraging-attendance cycles; Environmental regulation</t>
  </si>
  <si>
    <t>ARCTOCEPHALUS-GAZELLA PUPS; SOUTH GEORGIA; ISLAND; INVESTMENT; EFFICIENCY; SHETLAND; MASS</t>
  </si>
  <si>
    <t>We investigated the variation of Antarctic fur seal (Arctocephalus gazella) pup growth rates in response to sex, breeding season and duration of both maternal foraging trip and attendance bouts. Data were collected during five consecutive rearing seasons at Cape Shirreff, the most important breeding colony in the South Shetland Islands, Antarctica. Our results showed significant interannual and sexual variations in pup growth rates. Male pups grew significantly faster than female pups during 2000, 2001, 2002 and 2004 seasons, whilst during 2003 no difference was found. The interannual variation in pup growth rates was correlated with the interannual fluctuation in maternal foraging trip and attendance bouts. There was a significant effect of pup sex and maternal foraging trip duration on pup growth rates, which varied between years having foraging trip duration a major effect during 2003, when females spent more time at sea and interestingly on that year there were no sexual differences in pup growth rates. The effect of attendance bout on pup growth rates was not significant. Diet analysis showed that Antarctic krill (Euphausia superba) was the most frequent prey item during the study period. Analysis of krill size distribution showed a significant difference in krill length, during 2003, when A. gazella preyed upon the smallest sizes of krill. In this study, sex was the most important factor on pup growth rates, but when prey availability seemed more limited, there are longer foraging trips and shorter attendance bouts the sex factor became less significant.</t>
  </si>
  <si>
    <t>[Osman, Layla P.] Univ Austral Chile, Ctr Ballena Azul, Inst Ecol &amp; Evoluc, Valdivia, Chile; [Vargas, Romeo] Univ Valparaiso, Fac Ciencias Mar, Renaca, Vina Del Mar, Chile; [Torres, Daniel] Inst Antartico Chileno, Dept Cient, Punta Arenas, Chile</t>
  </si>
  <si>
    <t>Universidad Austral de Chile; Universidad de Valparaiso</t>
  </si>
  <si>
    <t>Osman, LP (corresponding author), Univ Austral Chile, Ctr Ballena Azul, Inst Ecol &amp; Evoluc, Casilla 567, Valdivia, Chile.</t>
  </si>
  <si>
    <t>romeovargas@gmail.com; layla.osman@ballenazul.org</t>
  </si>
  <si>
    <t>10.1007/s00300-009-0615-4</t>
  </si>
  <si>
    <t>WOS:000268787700008</t>
  </si>
  <si>
    <t>Tarling, GA; Cuzin-Roudy, J; Wootton, K; Johnson, ML</t>
  </si>
  <si>
    <t>Tarling, Geraint Andrew; Cuzin-Roudy, J.; Wootton, K.; Johnson, M. L.</t>
  </si>
  <si>
    <t>Egg-release behaviour in Antarctic krill</t>
  </si>
  <si>
    <t>Euphausia superba; Southern Ocean; Scotia Sea; Fecundity; Spawning; Behaviour</t>
  </si>
  <si>
    <t>EUPHAUSIA-SUPERBA DANA; MEGANYCTIPHANES-NORVEGICA; NORTHERN KRILL; FLOW-FIELD; FECUNDITY; HISTORY; TIME</t>
  </si>
  <si>
    <t>The process of egg release is a complex and crucial step in the life cycle of euphausiids, especially with regards mortality and recruitment success. We examined this process in Antarctic krill (Euphausia superba) in terms of the functioning of the female genital apparatus and associated swimming behaviour. A tethering technique combined with video analysis was used to make observations of three females during the release process. We found eggs were steadily extruded over a period of up to 10 h, during which time the krill released between 1,600 and 4,000 eggs and the ovary reduced by a half in length and a third in height. Eggs were mainly released individually or, less commonly, in batches of between 2 and 4 eggs. Release rates were between 5 and 30 eggs min(-1). The steady release of eggs fits well with histological evidence that mature oocytes must pass individually through tight genital ducts with narrow apertures, before coming in to close contact with the sperm plug for fertilisation, and then expulsion from the thelycum as fertilised eggs. During spawning, the female alternated between slow and rapid rates of pleopod beating with egg release occurring at the moment of beat acceleration. At the point of release, the descent of the egg was accelerated through downward beats of the 7th thoracic leg. The cyclic pattern in pleopod beat-rate during spawning may alter swimming performance and contribute to the widely reported sex- and maturity-based biases within krill swarms.</t>
  </si>
  <si>
    <t>[Tarling, Geraint Andrew] British Antarctic Survey, Nat Environm Res Council, Cambridge CB3 0ET, England; [Cuzin-Roudy, J.] Univ Paris 06, LOV Observ Oceanol, UMR 7093, CNRS, F-06230 Villefranche Sur Mer, France; [Wootton, K.; Johnson, M. L.] Univ Hull, Ctr Environm &amp; Marine Sci, Scarborough YO11 3AZ, England</t>
  </si>
  <si>
    <t>UK Research &amp; Innovation (UKRI); Natural Environment Research Council (NERC); NERC British Antarctic Survey; Centre National de la Recherche Scientifique (CNRS); CNRS - National Institute for Earth Sciences &amp; Astronomy (INSU); Sorbonne Universite; University of Hull</t>
  </si>
  <si>
    <t>Tarling, GA (corresponding author), British Antarctic Survey, Nat Environm Res Council, High Cross,Madingley Rd, Cambridge CB3 0ET, England.</t>
  </si>
  <si>
    <t>Johnson, Magnus/0000-0002-8163-4026</t>
  </si>
  <si>
    <t>Natural Environment Research Council [bas0100025] Funding Source: researchfish; NERC [bas0100025] Funding Source: UKRI</t>
  </si>
  <si>
    <t>10.1007/s00300-009-0617-2</t>
  </si>
  <si>
    <t>WOS:000268787700009</t>
  </si>
  <si>
    <t>Säwström, C; Karlsson, J; Laybourn-Parry, J; Granéli, W</t>
  </si>
  <si>
    <t>Sawstrom, Christin; Karlsson, Jan; Laybourn-Parry, Johanna; Graneli, Wilhelm</t>
  </si>
  <si>
    <t>Zooplankton feeding on algae and bacteria under ice in Lake Druzhby, East Antarctica</t>
  </si>
  <si>
    <t>Antarctic lake; Bacteria; Algae; Zooplankton; Feeding rates</t>
  </si>
  <si>
    <t>FRESH-WATER; PLANKTONIC COMMUNITY; DAPHNIOPSIS-STUDERI; PHYTOPLANKTON; BACTERIOPLANKTON; POPULATIONS; DYNAMICS; CULTURES; MATTER; SIZE</t>
  </si>
  <si>
    <t>The feeding of the cladoceran Daphniopsis studeri on algae and bacteria was investigated under ice in an ultra-oligotrophic Antarctic lake from late autumn (May) to early spring (October) in 2004. D. studeri fed on both algae and bacteria with estimated filtering rates of 0.048 and 0.061 l ind(-1) day(-1)), respectively. Algae seemed to be the major food resource for the D. studeri population, however at times of low algal densities the bacterioplankton represented an important alternative food resource. The D. studeri grazing impact on the algal and bacterial standing stock was in general low (0.6-4.6% removed per day), but during the winter period this organism can remove up to 34% of the bacterial production (BP). At times D. studeri grazing can temporarily have a significant impact on the BP rates, though their impact was relatively low when compared to viral-induced bacterial mortality in the lake.</t>
  </si>
  <si>
    <t>[Sawstrom, Christin] Griffith Univ, Australian Rivers Inst, Nathan, Qld 4111, Australia; [Sawstrom, Christin; Karlsson, Jan] Umea Univ, Dept Ecol &amp; Environm Sci, CIRC, S-98107 Abisko, Sweden; [Laybourn-Parry, Johanna] Univ Tasmania, Inst Antarctic &amp; So Ocean Studies, Hobart, Tas 7001, Australia; [Graneli, Wilhelm] Lund Univ, Dept Limnol, S-23362 Lund, Sweden</t>
  </si>
  <si>
    <t>Griffith University; Umea University; University of Tasmania; Lund University</t>
  </si>
  <si>
    <t>Säwström, C (corresponding author), Griffith Univ, Australian Rivers Inst, Nathan, Qld 4111, Australia.</t>
  </si>
  <si>
    <t>c.sawstrom@griffith.edu.au</t>
  </si>
  <si>
    <t>Sawstrom, Christin/F-5462-2018</t>
  </si>
  <si>
    <t>Sawstrom, Christin/0000-0001-9297-3093</t>
  </si>
  <si>
    <t>Marie Curie Scholarship; Australian Antarctic Division; Swedish Research Council</t>
  </si>
  <si>
    <t>Marie Curie Scholarship(European Union (EU)); Australian Antarctic Division; Swedish Research Council(Swedish Research Council)</t>
  </si>
  <si>
    <t>This work was funded by a Marie Curie Scholarship, the Australian Antarctic Division and Vetenskapsradet (VR) the Swedish Research Council. We would like to thank the winter crew at Davis station, Antarctica 2004 for logistical support and field assistance. We also thank Ann-Kristin Bergstrom for help with the identification of the algal culture.</t>
  </si>
  <si>
    <t>10.1007/s00300-009-0619-0</t>
  </si>
  <si>
    <t>WOS:000268787700010</t>
  </si>
  <si>
    <t>Acevedo, J; Aguayo-Lobo, A; Torres, D</t>
  </si>
  <si>
    <t>Acevedo, Jorge; Aguayo-Lobo, Anelio; Torres, Daniel</t>
  </si>
  <si>
    <t>Albino Weddell seal at Cape Shirreff, Livingston Island, Antarctica</t>
  </si>
  <si>
    <t>Albino; Weddell seal; Cape Shirreff; Antarctica; Pagophilic seals</t>
  </si>
  <si>
    <t>SOUTHERN ELEPHANT SEAL; ANOMALOUSLY WHITE CETACEANS; MARION ISLAND; 1ST RECORD; WHALE</t>
  </si>
  <si>
    <t>To our knowledge, this paper is the first record/report of a juvenile light-coloured Weddell seal (Leptonychotes weddellii) at Cape Shirreff, Livingston Island in January 1998, determining that it was an albino individual. Based on available literature, three cases of albino seals have been reported exclusively for Harbour seal pups, and no albino has been reported for Antarctic pagophilic true seals. Therefore, this is the first confirmed case of albinism in Antarctic pagophilic true seals species, indicating that this phenomenon is indeed of a rare occurrence.</t>
  </si>
  <si>
    <t>[Acevedo, Jorge] Fdn Ctr Estudios Cuaternario CEQUA, Punta Arenas, Chile; [Aguayo-Lobo, Anelio] INACH, Punta Arenas, Chile</t>
  </si>
  <si>
    <t>Acevedo, J (corresponding author), Fdn Ctr Estudios Cuaternario CEQUA, POB 737,Avda Bulnes 01890, Punta Arenas, Chile.</t>
  </si>
  <si>
    <t>jorge.acevedo@cequa.cl; aaguayo@inach.cl; dtorres.dir@gmail.com</t>
  </si>
  <si>
    <t>Acevedo, Jorge/AAV-3574-2020</t>
  </si>
  <si>
    <t>Acevedo, Jorge/0000-0002-6106-0838</t>
  </si>
  <si>
    <t>10.1007/s00300-009-0680-8</t>
  </si>
  <si>
    <t>WOS:000268787700016</t>
  </si>
  <si>
    <t>Turner, J; Overland, J</t>
  </si>
  <si>
    <t>Turner, John; Overland, Jim</t>
  </si>
  <si>
    <t>Contrasting climate change in the two polar regions</t>
  </si>
  <si>
    <t>Annular modes; Antarctic; Arctic; climate change; ozone hole</t>
  </si>
  <si>
    <t>GREENLAND ICE-SHEET; ANTARCTIC SEA-ICE; HEMISPHERE ANNULAR MODE; SOUTHERN-OCEAN; INTERANNUAL VARIABILITY; PART I; ENSO; TEMPERATURE; SURFACE; PENINSULA</t>
  </si>
  <si>
    <t>The two polar regions have experienced remarkably different climatic changes in recent decades. The Arctic has seen a marked reduction in sea-ice extent throughout the year, with a peak during the autumn. A new record minimum extent occurred in 2007, which was 40% below the long-term climatological mean. In contrast, the extent of Antarctic sea ice has increased, with the greatest growth being in the autumn. There has been a large-scale warming across much of the Arctic, with a resultant loss of permafrost and a reduction in snow cover. The bulk of the Antarctic has experienced little change in surface temperature over the last 50 years, although a slight cooling has been evident around the coast of East Antarctica since about 1980, and recent research has pointed to a warming across West Antarctica. The exception is the Antarctic Peninsula, where there has been a winter (summer) season warming on the western (eastern) side. Many of the different changes observed between the two polar regions can be attributed to topographic factors and land/sea distribution. The location of the Arctic Ocean at high latitude, with the consequently high level of solar radiation received in summer, allows the ice-albedo feedback mechanism to operate effectively. The Antarctic ozone hole has had a profound effect on the circulations of the high latitude ocean and atmosphere, isolating the continent and increasing the westerly winds over the Southern Ocean, especially during the summer and winter.</t>
  </si>
  <si>
    <t>[Turner, John] British Antarctic Survey, Cambridge CB3 0ET, England; [Overland, Jim] NOAA, Pacific Marine Environm Lab, Seattle, WA 98115 USA</t>
  </si>
  <si>
    <t>UK Research &amp; Innovation (UKRI); Natural Environment Research Council (NERC); NERC British Antarctic Survey; National Oceanic Atmospheric Admin (NOAA) - USA</t>
  </si>
  <si>
    <t>Turner, J (corresponding author), British Antarctic Survey, Madingley Rd, Cambridge CB3 0ET, England.</t>
  </si>
  <si>
    <t>J.Turner@bas.ac.uk</t>
  </si>
  <si>
    <t>10.1111/j.1751-8369.2009.00128.x</t>
  </si>
  <si>
    <t>474RV</t>
  </si>
  <si>
    <t>WOS:000268302600002</t>
  </si>
  <si>
    <t>Yoo, KC; Yoon, HI; Kim, JK; Khim, BK</t>
  </si>
  <si>
    <t>Yoo, Kyu-Cheul; Yoon, Ho Il; Kim, Jin-Kyung; Khim, Boo-Keun</t>
  </si>
  <si>
    <t>Sedimentological, geochemical and palaeontological evidence for a neoglacial cold event during the late Holocene in the continental shelf of the northern South Shetland Islands, West Antarctica</t>
  </si>
  <si>
    <t>Antarctic Peninsula; continental shelf; diatom assemblages; gravity core; Little Ice Age; recent warming</t>
  </si>
  <si>
    <t>KING-GEORGE-ISLAND; GREENLAND ICE-CORE; MAJOR DIATOM TAXA; WEDDELL SEA; GRAIN-SIZE; GLACIOMARINE SEDIMENTATION; PALEOCLIMATIC IMPLICATIONS; OCEAN SEDIMENTS; ORGANIC-MATTER; MARIAN-COVE</t>
  </si>
  <si>
    <t>Two sediment cores obtained from the continental shelf of the northern South Shetland Islands, West Antarctica, consist of: an upper unit of silty mud, bioturbated by a sluggish current, and a lower unit of well-sorted, laminated silty mud, attributed to an intensified Polar Slope Current. Geochemical and accelerator mass spectrometry C-14 analyses yielded evidence for a late Holocene increase in sea-ice extent and a decrease in phytoplankton productivity, inferred from a reduction in the total organic carbon content and higher C : N ratios, at approximately 330 years B.P., corresponding to the Little Ice Age. Prior to this, the shelf experienced warmer marine conditions, with greater phytoplankton productivity, inferred from a higher organic carbon content and C : N ratios in the lower unit. The reduced abundance of Weddell Sea ice-edge bloom species (Chaetoceros resting spores, Fragilariopsis curta and Fragilariopsis cylindrus) and stratified cold-water species (Rhizosolenia antennata) in the upper unit was largely caused by the colder climate. During the cold period, the glacial restriction between the Weddell Sea and the shelf of the northern South Shetland Islands apparently hindered the influx of ice-edge bloom species from the Weddell Sea into the core site. The relative increases in the abundance of Actinocyclus actinochilus and Navicula glaciei, indigenous to the coastal zone of the South Shetland Islands, probably reflects a reduction in the dilution of native species, resulting from the diminished influx of the ice-edge species from the Weddell Sea. We also document the recent reduction of sea-ice cover in the study area in response to recent warming along the Antarctic Peninsula.</t>
  </si>
  <si>
    <t>[Yoo, Kyu-Cheul] Seoul Natl Univ, Sch Earth &amp; Environm Sci, Seoul 151747, South Korea; [Yoon, Ho Il; Kim, Jin-Kyung] Korea Polar Res Inst, Inchon, South Korea; [Khim, Boo-Keun] Pusan Natl Univ, Div Earth Environm Syst, Pusan 609735, South Korea</t>
  </si>
  <si>
    <t>Seoul National University (SNU); Korea Polar Research Institute (KOPRI); Korea Institute of Ocean Science &amp; Technology (KIOST); Pusan National University</t>
  </si>
  <si>
    <t>Yoon, HI (corresponding author), Korea Polar Res Inst, Songdo Techno Pk 7-50, Inchon, South Korea.</t>
  </si>
  <si>
    <t>hiyoon@kopri.re.kr</t>
  </si>
  <si>
    <t>Korea Polar Research Institute [PE09010]; Ministry of Environment as the Eco-technopia 21 Project [PN08020]</t>
  </si>
  <si>
    <t>Korea Polar Research Institute(Korea Polar Research Institute of Marine Research Placement (KOPRI)); Ministry of Environment as the Eco-technopia 21 Project</t>
  </si>
  <si>
    <t>We are grateful for technical assistance from the crew of the RV Yuhzmorgeologiya and Suyun Im in the acquisition of data, and for early discussions with Yong Il Lee and Jong Duk Lee. This research was funded by Korea Polar Research Institute grant PE09010, and by the Ministry of Environment as the Eco-technopia 21 Project (PN08020).</t>
  </si>
  <si>
    <t>10.1111/j.1751-8369.2009.00109.x</t>
  </si>
  <si>
    <t>WOS:000268302600004</t>
  </si>
  <si>
    <t>Amalvict, M; Willis, P; Wöppelmann, G; Ivins, ER; Bouin, MN; Testut, L; Hinderer, J</t>
  </si>
  <si>
    <t>Amalvict, Martine; Willis, Pascal; Woeppelmann, Guy; Ivins, Erik R.; Bouin, Marie-Noelle; Testut, Laurent; Hinderer, Jacques</t>
  </si>
  <si>
    <t>Isostatic stability of the East Antarctic station Dumont d'Urville from long-term geodetic observations and geophysical models</t>
  </si>
  <si>
    <t>Absolute gravity; Antarctica; DORIS; Dumont d'Urville; GPS; tide gauge</t>
  </si>
  <si>
    <t>TERRESTRIAL REFERENCE FRAME; SEA-LEVEL; ICE-SHEET; MASS-BALANCE; ABSOLUTE GRAVIMETRY; SYOWA STATION; GPS; DORIS; GRAVITY; PREDICTIONS</t>
  </si>
  <si>
    <t>Geodetic measurements of the vertical crustal displacement collocated with absolute gravity changes provide a discriminatory measurement of present-day glacial changes, versus more deeply seated rock motions caused by glacial isostatic adjustment (GIA). At the East Antarctic station of Dumont d'Urville, we compare the displacements derived from continuous DORIS (1993.0-2006.0) and Global Positioning System (GPS) (1999.0-2005.7) data, and observed changes in absolute gravity (2000-2006), with the predicted vertical displacement and change in gravity from GIA modelling. The geodetic results have mutual self-consistency, suggest station stability and provide upper bounds on both GIA and secular ice mass changes. The GIA models tend to predict amplitudes of rock motion larger than those observed, and we conclude that this part of Antarctica is probably experiencing a slight gain in ice mass, in contrast to West Antarctica.</t>
  </si>
  <si>
    <t>[Amalvict, Martine; Hinderer, Jacques] ULP, CNRS, UMR 7516, Inst Phys Globe Strasbourg, F-67000 Strasbourg, France; [Willis, Pascal] Inst Geog Natl, Direct Tech, F-94160 St Mande, France; [Willis, Pascal] Inst Phys Globe Strasbourg Paris, F-75013 Paris, France; [Woeppelmann, Guy] Univ La Rochelle, Ctr Littoral Geophys, F-170421 La Rochelle 1, France; [Ivins, Erik R.] CALTECH, Jet Prop Lab, Pasadena, CA 91109 USA; [Bouin, Marie-Noelle] Inst Geog Natl, LAREG, F-77455 Marne La Vallee, France; [Testut, Laurent] CNRS, LEGOS, UMR5566, CNES,UPS,IRD, F-31400 Toulouse, France</t>
  </si>
  <si>
    <t>Centre National de la Recherche Scientifique (CNRS); CNRS - National Institute for Earth Sciences &amp; Astronomy (INSU); Universites de Strasbourg Etablissements Associes; Universite de Strasbourg; Universite Gustave-Eiffel; La Rochelle Universite; National Aeronautics &amp; Space Administration (NASA); NASA Jet Propulsion Laboratory (JPL); California Institute of Technology; Universite Gustave-Eiffel;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</si>
  <si>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Willis, P (corresponding author), Inst Phys Globe Strasbourg Paris, 35 Rue Helene Brion, F-75013 Paris, France.</t>
  </si>
  <si>
    <t>willis@ipgp.jussieu.fr</t>
  </si>
  <si>
    <t>Bouin, Marie-Noelle/P-9236-2015; Ivins, Erik R/C-2416-2011; WOPPELMANN, Guy/N-6386-2014; Bouin, Marie-Noelle/AAV-1680-2021; Willis, Pascal/A-8046-2008</t>
  </si>
  <si>
    <t>Bouin, Marie-Noelle/0000-0002-0437-6561; Willis, Pascal/0000-0002-3257-0679; Testut, Laurent/0000-0002-3969-2919; guy, woppelmann/0000-0001-7178-2503</t>
  </si>
  <si>
    <t>NASA; Institut de Physique du Globe de Paris (IPGP) [2329]</t>
  </si>
  <si>
    <t>NASA(National Aeronautics &amp; Space Administration (NASA)); Institut de Physique du Globe de Paris (IPGP)</t>
  </si>
  <si>
    <t>Part of this research was carried out at the Jet Propulsion Laboratory, California Institute of Technology, under a contract with NASA, and support for ERI was provided by the Earth Surface and Interior Focus Area of NASA's Earth Science Directorate. The financial and logistical support of the Institut Paul-Emile Victor made possible the installation and maintenance of the GPS station DUM1, as well as the data transfer and the AG measurement campaigns. The authors are indebted to the Terres Australes et Antarctiques Francaises for their logistical support. This paper is Institut de Physique du Globe de Paris (IPGP) contribution number 2329.</t>
  </si>
  <si>
    <t>NORWEGIAN POLAR INST</t>
  </si>
  <si>
    <t>TROMSO</t>
  </si>
  <si>
    <t>POLAR ENVIRONMENTAL CENTRE, HJALMAR JOHANSENSGATE 14, TROMSO, FRAMSENTERET, NORWAY</t>
  </si>
  <si>
    <t>10.1111/j.1751-8369.2008.00091.x</t>
  </si>
  <si>
    <t>WOS:000268302600005</t>
  </si>
  <si>
    <t>Gröndahl, F; Sidenmark, J; Thomsen, A</t>
  </si>
  <si>
    <t>Grondahl, Fredrik; Sidenmark, Johan; Thomsen, Ann</t>
  </si>
  <si>
    <t>Survey of waste water disposal practices at Antarctic research stations</t>
  </si>
  <si>
    <t>Antarctica; grey water; pathogens; sewage treatment; Wasa Station; waste water</t>
  </si>
  <si>
    <t>MARINE-ENVIRONMENT; MCMURDO-STATION; COASTAL WATERS; BACTERIA; PENGUINS; SALMONELLA; POLLUTION; SURVIVAL; SEALS</t>
  </si>
  <si>
    <t>To inform the future practices to be employed for handling waste water and grey water at the Swedish Antarctic station, Wasa, in Dronning Maud Land, the Swedish Polar Research Secretariat took the initiative to survey the practices of the 28 nations with stations in Antarctica. A questionnaire was sent out to all members of the Antarctic Environment Officers Network during the autumn of 2005. Questions were asked about the handling of waste water and grey water, the type of sewage treatment, and installation and operational costs. The response to the questionnaire was very good (79%), and the results showed that 37% of the permanent stations and 69% of the summer stations lack any form of treatment facility. When waste water and grey water containing microorganisms are released, these microorganisms can remain viable in low-temperature Antarctic conditions for prolonged periods. Microorganisms may also have the potential to infect and cause disease, or become part of the gut flora of local bird and mammal populations, and fish and marine invertebrates. The results from 71 stations show that much can still be done by the 28 nations operating the 82 research stations in Antarctica. The technology exists for effective waste water treatment in the challenging Antarctic conditions. The use of efficient technology at all permanent Antarctic research stations would greatly reduce the human impact on the pristine Antarctic environment. In order to protect the Antarctic environment from infectious agents introduced by humans, consideration should also be given to preventing the release of untreated waste water and grey water from the smaller summer stations.</t>
  </si>
  <si>
    <t>[Grondahl, Fredrik; Thomsen, Ann] Royal Inst Technol, Dept Ind Ecol, SE-11428 Stockholm, Sweden; [Sidenmark, Johan] Royal Swedish Acad Sci, Swedish Polar Res Secretariat, SE-10405 Stockholm, Sweden</t>
  </si>
  <si>
    <t>Royal Institute of Technology; Royal Swedish Academy of Sciences</t>
  </si>
  <si>
    <t>Gröndahl, F (corresponding author), Royal Inst Technol, Dept Ind Ecol, Teknikringen 34, SE-11428 Stockholm, Sweden.</t>
  </si>
  <si>
    <t>fgro@kth.se</t>
  </si>
  <si>
    <t>10.1111/j.1751-8369.2008.00056.x</t>
  </si>
  <si>
    <t>WOS:000268302600013</t>
  </si>
  <si>
    <t>Carlson, AE</t>
  </si>
  <si>
    <t>Carlson, Anders E.</t>
  </si>
  <si>
    <t>Geochemical constraints on the Laurentide Ice Sheet contribution to Meltwater Pulse 1A</t>
  </si>
  <si>
    <t>Biennial Meeting of the American-Quaternary-Association</t>
  </si>
  <si>
    <t>JUN, 2008</t>
  </si>
  <si>
    <t>Pennsylvania State Univ, University Pk, PA</t>
  </si>
  <si>
    <t>Pennsylvania State Univ</t>
  </si>
  <si>
    <t>YOUNGER DRYAS; THERMOHALINE CIRCULATION; LAST DEGLACIATION; NORTH-ATLANTIC; LATE PLEISTOCENE; SEA; CLIMATE; WATER; RECORD; DYNAMICS</t>
  </si>
  <si>
    <t>Planktonic and benthic delta O-18 records adjacent to the runoff outlets of the Laurentide Ice Sheet (LIS) indicate that the LIS contributed to the abrupt similar to 20 m rise in sea level similar to 14.6 ka, Meltwater Pulse 1A (MWP-1A). However, the magnitude of the LIS contribution still remains unresolved. Here, I use a freshwater runoff-ocean mixing model to calculate the LIS meltwater required to explain the decreases in planktonic and benthic 6180 observed during MWP-1A at the southern, eastern and northern runoff outlets of the LIS. Maximum LIS contributions in equivalent sea level rise for a 500-year long MWP-1A are 2.7 m discharged into the Gulf of Mexico as a combined hyperpycnal and hypopycnal flow, 2.1 m discharged into the North Atlantic, and 0.5 m into the Arctic Ocean, for a total LIS contribution of &lt;= 53 m. A LIS contribution of &lt;30% to MWP-1A supports the hypothesis that a significant component of this MWP was sourced from the Antarctic Ice Sheet. (C) 2009 Elsevier Ltd. All rights reserved.</t>
  </si>
  <si>
    <t>Univ Wisconsin, Dept Geol &amp; Geophys, Madison, WI 53706 USA</t>
  </si>
  <si>
    <t>University of Wisconsin System; University of Wisconsin Madison</t>
  </si>
  <si>
    <t>Carlson, AE (corresponding author), Univ Wisconsin, Dept Geol &amp; Geophys, 1215 W Dayton St, Madison, WI 53706 USA.</t>
  </si>
  <si>
    <t>acarlson@geology.wisc.edu</t>
  </si>
  <si>
    <t>10.1016/j.quascirev.2009.02.011</t>
  </si>
  <si>
    <t>484ZD</t>
  </si>
  <si>
    <t>WOS:000269088900006</t>
  </si>
  <si>
    <t>Peltier, WR</t>
  </si>
  <si>
    <t>Peltier, W. R.</t>
  </si>
  <si>
    <t>Closure of the budget of global sea level rise over the GRACE era: the importance and magnitudes of the required corrections for global glacial isostatic adjustment</t>
  </si>
  <si>
    <t>ANTARCTIC ICE-SHEET; MANTLE VISCOSITY; MASS-LOSS; CLIMATE; EARTH; DEGLACIATION; EVOLUTION; SURFACE; NORTH</t>
  </si>
  <si>
    <t>The budget of global sea level rise includes contributions from several distinct factors, including thermosteric effects, the wasting of small ice sheets and glaciers, and the loss of mass by the great polar ice sheets and by the continents due to desiccation. Since the former contribution may be estimated on the basis of both hydrographic survey data and more recently using Argo float data, the second may be estimated on the basis of mass balance measurements on existing ice-fields, and the latter on the basis of modern GRACE-based time dependent gravity field measurements, the inputs to the globally averaged rate of sea level rise may be directly constrained. Since GRACE also provides a measurement of the rate at which mass is being added to the oceans, we are now in a position to ask whether this rate of mass addition to the oceans matches the rate at which mass is being removed from the continents. As demonstrated herein, the mass component of the budget of global sea level is closed within the observational errors. When the mass-derived contribution is added to the thermosteric contribution it is furthermore shown that the inference of the net rate of global sea level rise by the altimetric satellites Topex/Poseidon and Jason 1 is also reconcilable over the GRACE era. It is noted those individual terms in the budget, especially the contribution from small ice sheets and glaciers, remains insufficiently accurate. It is demonstrated that the lingering influence of the Late Quaternary ice-age upon sea level is profound and that closure of the budget requires an accurate model of its impact. (C) 2009 Elsevier Ltd. All rights reserved.</t>
  </si>
  <si>
    <t>Univ Toronto, Dept Phys, Toronto, ON M5S 1A7, Canada</t>
  </si>
  <si>
    <t>Peltier, WR (corresponding author), Univ Toronto, Dept Phys, 60 St George St, Toronto, ON M5S 1A7, Canada.</t>
  </si>
  <si>
    <t>peltier@atmosp.physics.utoronto.ca</t>
  </si>
  <si>
    <t>Peltier, William R./A-1102-2008</t>
  </si>
  <si>
    <t>10.1016/j.quascirev.2009.04.004</t>
  </si>
  <si>
    <t>WOS:000269088900008</t>
  </si>
  <si>
    <t>Giles, AB; Massom, RA; Warner, RC</t>
  </si>
  <si>
    <t>Giles, A. B.; Massom, R. A.; Warner, R. C.</t>
  </si>
  <si>
    <t>A method for sub-pixel scale feature-tracking using Radarsat images applied to the Mertz Glacier Tongue, East Antarctica</t>
  </si>
  <si>
    <t>Antarctica; Ice sheet; Satellite remote sensing; Feature tracking; Mertz Glacier; Glacier flow</t>
  </si>
  <si>
    <t>SURFACE-VELOCITY; ICE; FIELD</t>
  </si>
  <si>
    <t>Tracking features between pairs of satellite synthetic aperture radar (SAR) images using image cross-correlation methods is a powerful tool for defining regions of image movement such as ice flow of Antarctic glaciers. Unlike optical images, processed SAR images have various instrumental effects such as view angle distortions and lateral displacement errors caused by slant range mapping. Co-registration issues are problematic and need to be addressed if there are few/no suitable stationary tie points at or near sea level within the images. Methods are presented that use Radarsat ScanSAR images to reliably measure sub-pixel displacements with errors of less than or similar to +/- 0.25 pixels but this estimate is target dependent. The techniques and issues are illustrated using examples from a long-term study of the Mertz Glacier Tongue in East Antarctica. For image pairs only a few days apart, this extensive structure forms an excellent grid-like test pattern which provides up to 5000 valid correlation matches. Images separated by 100's of days can then be processed in the same way to reveal many subtle and some large changes over time. The technique described is robust and may be widely applicable. (C) 2009 Elsevier Inc. All rights reserved.</t>
  </si>
  <si>
    <t>[Giles, A. B.; Massom, R. A.; Warner, R. C.] Univ Tasmania, Antarctic Climate &amp; Ecosyst CRC, Hobart, Tas 7001, Australia; [Massom, R. A.; Warner, R. C.] Australian Antarctic Div, Kingston, Tas 7050, Australia; [Giles, A. B.] Spur Technol Pty Ltd, Mt Rumney, Tas 7170, Australia</t>
  </si>
  <si>
    <t>Giles, AB (corresponding author), Univ Tasmania, Antarctic Climate &amp; Ecosyst CRC, Private Bag 80, Hobart, Tas 7001, Australia.</t>
  </si>
  <si>
    <t>Barry.Giles@utas.edu.au</t>
  </si>
  <si>
    <t>Warner, Roland Charles/ISS-2485-2023; Warner, Robert R./M-5342-2013</t>
  </si>
  <si>
    <t>Warner, Roland Charles/0000-0002-9778-3544; Massom, Robert/0000-0003-1533-5084</t>
  </si>
  <si>
    <t>10.1016/j.rse.2009.03.015</t>
  </si>
  <si>
    <t>460CR</t>
  </si>
  <si>
    <t>WOS:000267163200010</t>
  </si>
  <si>
    <t>Tyshko, KP</t>
  </si>
  <si>
    <t>Tyshko, K. P.</t>
  </si>
  <si>
    <t>Formation and consolidation of hummocks on the Arctic seas' one-year ice cover as a result of laboratory and field researches</t>
  </si>
  <si>
    <t>Structural-genetic types of hummocks formed on the Arctic seas' ice cover are considered. A method of the laboratory physical modeling was used for understanding kinematic schemes of the hummocks' formation processes. A methodology of computation of the hummock consolidation intensity for different hummocks' structural types was proposed. The performed computations showed good coherence of the laboratory experiments results and field studies of hummocks' structure in the Barents and Kara seas.</t>
  </si>
  <si>
    <t>Tyshko, KP (corresponding author), Arctic &amp; Antarctic Res Inst, Ul Beringa 38, St Petersburg 199397, Russia.</t>
  </si>
  <si>
    <t>10.3103/S1068373909080081</t>
  </si>
  <si>
    <t>519ZX</t>
  </si>
  <si>
    <t>WOS:000271810600008</t>
  </si>
  <si>
    <t>Ding, X; Gao, LF; Fang, NQ; Qu, WJ; Liu, J; Li, JS</t>
  </si>
  <si>
    <t>Ding Xuan; Gao LianFeng; Fang NianQiao; Qu WenJun; Liu Jian; Li JiangShan</t>
  </si>
  <si>
    <t>The relationship between the growth process of the ferromanganese crusts in the pacific seamount and Cenozoic ocean evolvement</t>
  </si>
  <si>
    <t>Pacific seamount; ferromanganese crust; growth period and growth hiatus period; Cenozoic; ocean evolvement</t>
  </si>
  <si>
    <t>EOCENE THERMAL MAXIMUM; PALEOCENE; CLIMATE; MIOCENE; PRODUCTIVITY; PERSPECTIVE; COBALT; RECORD; RATIO</t>
  </si>
  <si>
    <t>Base on the Os isotope stratigraphy together with the empirical growth rate models using Co concentrations, the growth ages of the ferromanganese crusts MHD79 and MP3D10 distributed in the seamount of Pacific are confirmed. Through the contrast and research on the previous achievements including ODP Leg 144 and the crusts CD29-2, N5E-06 and N1-15 of the seamount of the Central Pacific, the uniform five growth and growth hiatus periods of them are found, and closely related to the Cenozoic ocean evolvement process. In the Paleocene Carbon Isotope Maximum (PCIM), the rise of the global ocean productivity promoted the growth of the seamount crust; the first growth hiatus (I) of the ferromanganese crust finished. In the Paleocene-Eocene Thermal Maximum (PETM), though the vertical exchange of seawater was weakened, the strong terrestrial chemical weathering led to the input of a great amount of the terrigenous nutrients, which made the bioproductivity rise, so there were no crust hiatuses. During 52-50 Ma, the Early Eocene Optimum Climate (EECO), the two poles were warm, the latitudinal temperature gradient was small, the wind-driven sea circulation and upwelling activity were weak, the terrestrial weathering was also weakened, the open ocean bioproductivity decreased, and the ferromanganese crust had growth hiatus again (II). From early Middle Eocene-Late Eocene, Oligocene, it was a long-term gradually cooling process, the strengthening of the sea circulation and upwelling led to a rise of bioproductivity, and increase of the content of the hydrogenous element Fe, Mn and Co and the biogenous element Cu, Zn, so that was the most favorable stage for the growth of ferromanganese crust (growth periods III and IV) in the studied area. The hiatus III corresponded with the Eocene- Oligocene boundary, is inferred to relate with the global climate transformation, celestial body impact event in the Eocene-Oligocene transition. From the early to the middle Miocene, a large-scale growth hiatus (hiatus period IV) of the ferromanganese crust in the studied area is inferred to relate with temporary warm up climate and ephemeral withdrawal of Antarctic bottom water in the early Miocene. After that, the Antarctic ice sheets extended, the bottom water circumfluence strengthened, the ocean fertility increased, and the once interrupted crust continued to grow in the late Miocene (growth period V).</t>
  </si>
  <si>
    <t>[Ding Xuan; Fang NianQiao; Li JiangShan] China Univ Geosci, Sch Marine Sci, Beijing 100083, Peoples R China; [Gao LianFeng] Hebei Polytech Univ, Coll Resources &amp; Environm, Tangshan 063009, Peoples R China; [Qu WenJun] Natl Geol Expt &amp; Test Ctr, Beijing 100037, Peoples R China; [Liu Jian] Guangzhou Marine Geol Survey, Guangzhou 510075, Guangdong, Peoples R China</t>
  </si>
  <si>
    <t>China University of Geosciences; North China University of Science &amp; Technology; China Geological Survey; Guangzhou Marine Geological Survey</t>
  </si>
  <si>
    <t>Ding, X (corresponding author), China Univ Geosci, Sch Marine Sci, Beijing 100083, Peoples R China.</t>
  </si>
  <si>
    <t>dingx@cugb.edu.cn</t>
  </si>
  <si>
    <t>China Ocean Mineral Resources Research and Development Association 10th Five Year Topic [DY105-01-04-14]</t>
  </si>
  <si>
    <t>China Ocean Mineral Resources Research and Development Association 10th Five Year Topic</t>
  </si>
  <si>
    <t>Supported by China Ocean Mineral Resources Research and Development Association 10th Five Year Topic (Grant No. DY105-01-04-14)</t>
  </si>
  <si>
    <t>10.1007/s11430-009-0106-z</t>
  </si>
  <si>
    <t>483QT</t>
  </si>
  <si>
    <t>WOS:000268983300005</t>
  </si>
  <si>
    <t>Gorham, PW; Allison, P; Barwick, SW; Beatty, JJ; Besson, DZ; Binns, WR; Chen, C; Chen, P; Clem, JM; Connolly, A; Dowkontt, PF; DuVernois, MA; Field, RC; Goldstein, D; Goodhue, A; Hast, C; Hebert, CL; Hoover, S; Israel, MH; Kowalski, J; Learned, JG; Liewer, KM; Link, JT; Lusczek, E; Matsuno, S; Mercurio, BC; Miki, C; Miocinovic, P; Nam, J; Naudet, CJ; Ng, J; Nichol, RJ; Palladino, K; Reil, K; Romero-Wolf, A; Rosen, M; Ruckman, L; Saltzberg, D; Seckel, D; Varner, GS; Walz, D; Wang, Y; Wu, F</t>
  </si>
  <si>
    <t>Gorham, P. W.; Allison, P.; Barwick, S. W.; Beatty, J. J.; Besson, D. Z.; Binns, W. R.; Chen, C.; Chen, P.; Clem, J. M.; Connolly, A.; Dowkontt, P. F.; DuVernois, M. A.; Field, R. C.; Goldstein, D.; Goodhue, A.; Hast, C.; Hebert, C. L.; Hoover, S.; Israel, M. H.; Kowalski, J.; Learned, J. G.; Liewer, K. M.; Link, J. T.; Lusczek, E.; Matsuno, S.; Mercurio, B. C.; Miki, C.; Miocinovic, P.; Nam, J.; Naudet, C. J.; Ng, J.; Nichol, R. J.; Palladino, K.; Reil, K.; Romero-Wolf, A.; Rosen, M.; Ruckman, L.; Saltzberg, D.; Seckel, D.; Varner, G. S.; Walz, D.; Wang, Y.; Wu, F.</t>
  </si>
  <si>
    <t>New Limits on the Ultrahigh Energy Cosmic Neutrino Flux from the ANITA Experiment</t>
  </si>
  <si>
    <t>RAY AIR-SHOWERS; COHERENT RADIO EMISSION; SPECTRUM; DETECTOR; CHARGE</t>
  </si>
  <si>
    <t>We report initial results of the first flight of the Antarctic Impulsive Transient Antenna (ANITA-1) 2006-2007 Long Duration Balloon flight, which searched for evidence of a diffuse flux of cosmic neutrinos above energies of E(nu) similar or equal to 3 x 10(18) eV. ANITA-1 flew for 35 days looking for radio impulses due to the Askaryan effect in neutrino-induced electromagnetic showers within the Antarctic ice sheets. We report here on our initial analysis, which was performed as a blind search of the data. No neutrino candidates are seen, with no detected physics background. We set model-independent limits based on this result. Upper limits derived from our analysis rule out the highest cosmogenic neutrino models. In a background horizontal-polarization channel, we also detect six events consistent with radio impulses from ultrahigh energy extensive air showers.</t>
  </si>
  <si>
    <t>[Gorham, P. W.; Allison, P.; Hebert, C. L.; Kowalski, J.; Learned, J. G.; Link, J. T.; Matsuno, S.; Miki, C.; Miocinovic, P.; Romero-Wolf, A.; Rosen, M.; Ruckman, L.; Varner, G. S.] Univ Hawaii Manoa, Dept Phys &amp; Astron, Honolulu, HI 96822 USA; [Barwick, S. W.; Goldstein, D.; Nam, J.] Univ Calif Irvine, Dept Phys, Irvine, CA 92697 USA; [Beatty, J. J.; Mercurio, B. C.; Palladino, K.] Ohio State Univ, Dept Phys, Columbus, OH 43210 USA; [Besson, D. Z.] Univ Kansas, Dept Phys &amp; Astron, Lawrence, KS 66045 USA; [Binns, W. R.; Dowkontt, P. F.; Israel, M. H.] Washington Univ, Dept Phys, St Louis, MO 63130 USA; [Chen, P.; Field, R. C.; Hast, C.; Ng, J.; Reil, K.; Walz, D.] Stanford Linear Accelerator Ctr, Menlo Pk, CA 94025 USA; [Clem, J. M.; Seckel, D.] Univ Delaware, Dept Phys, Newark, DE 19716 USA; [Goodhue, A.; Hoover, S.; Saltzberg, D.] Univ Calif Los Angeles, Dept Phys &amp; Astron, Los Angeles, CA 90095 USA; [DuVernois, M. A.; Lusczek, E.] Univ Minnesota, Sch Phys &amp; Astron, Minneapolis, MN 55455 USA; [Liewer, K. M.; Naudet, C. J.] CALTECH, Jet Prop Lab, Pasadena, CA 91109 USA; [Connolly, A.; Nichol, R. J.] UCL, Dept Phys, London, England; [Chen, C.; Nam, J.; Wang, Y.; Wu, F.] Natl Taiwan Univ, Grad Inst Astrophys, Dept Phys, Taipei, Taiwan; [Chen, C.; Nam, J.; Wang, Y.; Wu, F.] Natl Taiwan Univ, Leung Ctr Cosmol &amp; Particle Astrophys, Taipei, Taiwan</t>
  </si>
  <si>
    <t>University of Hawaii System; University of Hawaii Manoa; University of California System; University of California Irvine; University System of Ohio; Ohio State University; University of Kansas; Washington University (WUSTL); Stanford University; United States Department of Energy (DOE); SLAC National Accelerator Laboratory; University of Delaware; University of California System; University of California Los Angeles; University of Minnesota System; University of Minnesota Twin Cities; California Institute of Technology; National Aeronautics &amp; Space Administration (NASA); NASA Jet Propulsion Laboratory (JPL); University of London; University College London; National Taiwan University; National Taiwan University</t>
  </si>
  <si>
    <t>Gorham, PW (corresponding author), Univ Hawaii Manoa, Dept Phys &amp; Astron, Honolulu, HI 96822 USA.</t>
  </si>
  <si>
    <t>Vieregg, Abigail/D-2287-2012; Connolly, Amy Lynn/J-3958-2013; Nichol, Ryan/C-1645-2008; Beatty, James/D-9310-2011; Chen, Pisin/IAO-8769-2023</t>
  </si>
  <si>
    <t>Nichol, Ryan/0000-0003-0557-0443; Beatty, James/0000-0003-0481-4952; Chen, Pisin/0000-0001-5251-7210; Palladino, Kimberly/0000-0002-5175-5628; Lusczek, Elizabeth/0000-0003-4680-965X; Allison, Patrick/0000-0001-8141-2653; Gorham, Peter/0000-0002-0923-9363; Goldstein, David/0000-0003-3654-8142</t>
  </si>
  <si>
    <t>STFC [PP/E006876/1] Funding Source: UKRI; Science and Technology Facilities Council [PP/E006876/1] Funding Source: researchfish</t>
  </si>
  <si>
    <t>JUL 31</t>
  </si>
  <si>
    <t>10.1103/PhysRevLett.103.051103</t>
  </si>
  <si>
    <t>478WC</t>
  </si>
  <si>
    <t>WOS:000268618300013</t>
  </si>
  <si>
    <t>Deng, Y; Lu, G; Kwak, YS; Sutton, E; Forbes, J; Solomon, S</t>
  </si>
  <si>
    <t>Deng, Yue; Lu, Gang; Kwak, Young-Sil; Sutton, Eric; Forbes, Jeffrey; Solomon, Stan</t>
  </si>
  <si>
    <t>Reversed ionospheric convections during the November 2004 storm: Impact on the upper atmosphere</t>
  </si>
  <si>
    <t>INTERPLANETARY MAGNETIC-FIELD; THERMOSPHERIC GENERAL-CIRCULATION; MAPPING ELECTRODYNAMIC FEATURES; HIGH-LATITUDE THERMOSPHERE; NESTED-GRID MODEL; NEUTRAL WINDS; LOCALIZED OBSERVATIONS; GEOMAGNETIC-ACTIVITY; POLAR THERMOSPHERE; ELECTRIC-FIELDS</t>
  </si>
  <si>
    <t>Using the Assimilative Mapping of Ionospheric Electrodynamics (AMIE) procedure, a particular period (2000-2350 UT on 9 November) in the November 2004 storm is studied. During this time interval, IMF B-z was strongly northward along with a high solar wind dynamic pressure, favorable conditions to form reversed convection in the polar region. Indeed, the AMIE outputs show strong reversed convection cells in both hemispheres for a long period (&gt;1 h), which have rarely been observed. The impact on the thermospheric neutral wind has been investigated using the AMIE outputs as the electrodynamic inputs of the National Center for Atmospheric Research Thermosphere Ionosphere Electrodynamics General Circulation Model. After the ionospheric convection reversed, the neutral wind distribution at 400 km altitude changed correspondingly, and the difference wind patterns reversed in the polar cap region. By comparing the temporal variations of the difference ion convection and the difference neutral wind, it is found that horizontal neutral winds respond to the reversed convection with some time delay. The neutral wind response time (e-folding time) clearly has an altitudinal dependence varying from 45 min at 400 km altitude to almost 1.5 h at 200 km. The vertical component vorticity has a similar magnitude and distribution to previous studies in the northward Bz condition and changes the sign when the convection pattern is reversed. Comparison between the CHAMP observed cross-track wind and the simulated neutral wind exhibits a general agreement, and the temporal variations of CHAMP cross-track wind indicate a strong effect of the ion drag force on neutral winds.</t>
  </si>
  <si>
    <t>[Deng, Yue; Lu, Gang; Solomon, Stan] Natl Ctr Atmospher Res, High Altitude Observ, Boulder, CO 80307 USA; [Sutton, Eric; Forbes, Jeffrey] Univ Colorado, Dept Aerosp Engn Sci, Boulder, CO 80309 USA; [Kwak, Young-Sil] Korea Astron &amp; Space Sci Inst, Taejon 305348, South Korea</t>
  </si>
  <si>
    <t>National Center Atmospheric Research (NCAR) - USA; University of Colorado System; University of Colorado Boulder; Korea Astronomy &amp; Space Science Institute (KASI)</t>
  </si>
  <si>
    <t>Deng, Y (corresponding author), Univ Colorado, CIRES, 325 Broadway, Boulder, CO 80305 USA.</t>
  </si>
  <si>
    <t>yue.deng@noaa.gov; ganglu@ucar.edu; yskwak@kasi.re.kr; eric.sutton@colorado.edu; forbes@colorado.edu; stans@ucar.edu</t>
  </si>
  <si>
    <t>Solomon, Stanley C/J-4847-2012; Forbes, Jeffrey M/B-7234-2016; Lu, Gang/A-6669-2011; Sutton, Eric/A-1574-2016</t>
  </si>
  <si>
    <t>Solomon, Stanley C/0000-0002-5291-3034; Forbes, Jeffrey M/0000-0001-6937-0796; Sutton, Eric/0000-0003-1424-7189</t>
  </si>
  <si>
    <t>Finnish Meteorological Institute; National Science Foundation (NSF) [ATM-0719480, ATM-0823689]; NASA SEC Guest Investigators Program; University of Colorado CIRES fellowship; Science and Technology Facilities Council [PP/E007929/1] Funding Source: researchfish; STFC [PP/E007929/1] Funding Source: UKRI</t>
  </si>
  <si>
    <t>Finnish Meteorological Institute; National Science Foundation (NSF)(National Science Foundation (NSF)); NASA SEC Guest Investigators Program(National Aeronautics &amp; Space Administration (NASA)); University of Colorado CIRES fellowship; Science and Technology Facilities Council(UK Research &amp; Innovation (UKRI)Science &amp; Technology Facilities Council (STFC)); STFC(UK Research &amp; Innovation (UKRI)Science &amp; Technology Facilities Council (STFC))</t>
  </si>
  <si>
    <t>We wish to acknowledge the International Real-time Magnetic Observatory Network (INTERMAGNET) and the Geophysical Institute of the University of Alaska for providing the magnetometer data. We thank the Solar-Terrestrial Environment Laboratory of Nagoya University for providing the magnetometer data at the 210 magnetic meridian plane. The IMAGE magnetometer network is supported by the Finnish Meteorological Institute. CARISMA magnetometer data were supplied by the Canadian Space Agency. SAMNET is operated by Space Plasma Environment and Radio Science ( SPEARS) in the Department of Communication Systems at Lancaster University and is funded by the Science and Technology Facilities Council. We thank F. Rich at the Air Force Research Laboratory for preparing the DMSP particle spectrograms; Larry Paxton at the Johns Hopkins University Applied Physics Laboratory for providing TIMED-GUVI particle data; D. Evans at NOAA for providing NOAA particle data; M. Ruohoniemi at the Johns Hopkins University Applied Physics Laboratory and G. Chisham at the British Antarctic Survey in the United Kingdom for providing Super-DARN radar data; and J. Posch at Augsburg College, A. Weather at Siena College, and O. Troshichev at AARI in Russia for selecting the ground magnetometer data. The National Center for Atmospheric Research (NCAR) is sponsored by the National Science Foundation (NSF). This research was also supported by NASA SEC Guest Investigators Program. E. K. Sutton and J. M. Forbes were supported under grant ATM-0719480 from the National Science Foundation as part of the Space Weather Program. Yue Deng's effort was supported by NSF grant ATM-0823689 and a University of Colorado CIRES fellowship.; [23] Zuyin Pu thanks Miguel Larsen and another reviewer for their assistance in evaluating this paper.</t>
  </si>
  <si>
    <t>JUL 29</t>
  </si>
  <si>
    <t>A07313</t>
  </si>
  <si>
    <t>10.1029/2008JA013793</t>
  </si>
  <si>
    <t>479BH</t>
  </si>
  <si>
    <t>WOS:000268633300001</t>
  </si>
  <si>
    <t>Kedia, S; Ramachandran, S</t>
  </si>
  <si>
    <t>Kedia, Sumita; Ramachandran, S.</t>
  </si>
  <si>
    <t>Variability in aerosol optical and physical characteristics over the Bay of Bengal and the Arabian Sea deduced from Angstrom exponents</t>
  </si>
  <si>
    <t>WAVELENGTH DEPENDENCE; DEPTH</t>
  </si>
  <si>
    <t>Spectral distribution of aerosol optical depths (AODs) measured in the 0.4-0.875 mu m wavelength region using a Sun photometer over Bay of Bengal and Arabian Sea during the 2006 premonsoon season are analyzed to obtain more interesting information on the physical and optical characteristics of aerosols. Examination of spectral AODs measured over the Bay of Bengal and the Arabian Sea by deriving the Angstrom exponent (alpha) for the entire spectral range (0.4-0.875 mu m), alpha for different spectral ranges, and second derivative (alpha') showed that the aerosol size distribution is of mixed type or bimodal with contributions from fine and coarse modes. The alpha-AOD relationships in short (0.4-0.5 mu m), long (0.65-0.9 mu m), and full (0.4-0.9 mu m) spectral ranges determined for various aerosol models (urban, maritime clean, maritime polluted, and desert) suggest that the alpha-AOD relationship can vary depending on whether the size distribution is unimodal, mixed type, or bimodal, similar to the results obtained for measured AOD spectra. Significant curvature in the in AOD versus In lambda is observed which causes spectral variation in alpha derived in different spectral ranges. Over the Bay of Bengal for 76% of AOD spectra, alpha(2) - alpha(1) is &gt; 1, suggesting the presence of fine-mode aerosols from a wide variety of fine-mode fractions or a mixture of modes, while over the Arabian Sea, alpha(2) - alpha(1) is &lt; 1 for 84% of AOD spectra, clearly indicating the dominance of coarse-mode aerosols. These characteristics can be used in modeling the regional and seasonal aerosol radiative effects and in remote sensing.</t>
  </si>
  <si>
    <t>[Kedia, Sumita; Ramachandran, S.] Phys Res Lab, Space &amp; Atmospher Sci Div, Ahmadabad 380009, Gujarat, India</t>
  </si>
  <si>
    <t>Department of Space (DoS), Government of India; Physical Research Laboratory - India</t>
  </si>
  <si>
    <t>Kedia, S (corresponding author), Phys Res Lab, Space &amp; Atmospher Sci Div, Ahmadabad 380009, Gujarat, India.</t>
  </si>
  <si>
    <t>sumita@prl.res.in; ram@prl.res.in</t>
  </si>
  <si>
    <t>Ramachandran, Siddharth/AAC-4306-2020</t>
  </si>
  <si>
    <t>Ramachandran, S./0000-0003-4921-7887</t>
  </si>
  <si>
    <t>ICARB and ISRO-GBP Program Office, ISRO Headquarters, Bengaluru; National Centre for Antarctic and Ocean Research (NCAOR); Department of Ocean Development</t>
  </si>
  <si>
    <t>We thank K. K. Moorthy, Project Director, ICARB and ISRO-GBP Program Office, ISRO Headquarters, Bengaluru, for the efficient planning and conduct of the campaign, and for the support. We acknowledge the National Centre for Antarctic and Ocean Research (NCAOR) and the Department of Ocean Development for giving us an opportunity to sail and conduct measurements onboard Sagar Kanya. The air back trajectories are obtained using the HYSPLIT (Version 4) model from http://www.arl.noaa.gov/ready/hysplit4.html. We thank the reviewers for their constructive comments and suggestions.</t>
  </si>
  <si>
    <t>JUL 28</t>
  </si>
  <si>
    <t>D14207</t>
  </si>
  <si>
    <t>10.1029/2009JD011950</t>
  </si>
  <si>
    <t>479AS</t>
  </si>
  <si>
    <t>WOS:000268631700004</t>
  </si>
  <si>
    <t>Hildebrandt, P; Wanarska, M; Kur, J</t>
  </si>
  <si>
    <t>Hildebrandt, Piotr; Wanarska, Marta; Kur, Jozef</t>
  </si>
  <si>
    <t>A new cold-adapted β-D-galactosidase from the Antarctic Arthrobacter sp 32c-gene cloning, overexpression, purification and properties</t>
  </si>
  <si>
    <t>BMC MICROBIOLOGY</t>
  </si>
  <si>
    <t>LACTOSE; STRAIN; BACTERIUM; YEAST; GENE; CONSTRUCTION; FERMENTATION; EXPRESSION</t>
  </si>
  <si>
    <t>Background: The development of a new cold-active beta-D-galactosidases and microorganisms that efficiently ferment lactose is of high biotechnological interest, particularly for lactose removal in milk and dairy products at low temperatures and for cheese whey bioremediation processes with simultaneous bio-ethanol production. Results: In this article, we present a new beta-D-galactosidase as a candidate to be applied in the above mentioned biotechnological processes. The gene encoding this beta-D-galactosidase has been isolated from the genomic DNA library of Antarctic bacterium Arthrobacter sp. 32c, sequenced, cloned, expressed in Escherichia coli and Pichia pastoris, purified and characterized. 27 mg of beta-D-galactosidase was purified from 1 L of culture with the use of an intracellular E. coli expression system. The protein was also produced extracellularly by P. pastoris in high amounts giving approximately 137 mg and 97 mg of purified enzyme from 1 L of P. pastoris culture for the AOX1 and a constitutive system, respectively. The enzyme was purified to electrophoretic homogeneity by using either one step-or a fast two step-procedure including protein precipitation and affinity chromatography. The enzyme was found to be active as a homotrimeric protein consisting of 695 amino acid residues in each monomer. Although, the maximum activity of the enzyme was determined at pH 6.5 and 50 degrees C, 60% of the maximum activity of the enzyme was determined at 25 degrees C and 15% of the maximum activity was detected at 0 degrees C. Conclusion: The properties of Arthrobacter sp. 32c beta-D-galactosidase suggest that this enzyme could be useful for low-cost, industrial conversion of lactose into galactose and glucose in milk products and could be an interesting alternative for the production of ethanol from lactose-based feedstock.</t>
  </si>
  <si>
    <t>[Hildebrandt, Piotr; Wanarska, Marta; Kur, Jozef] Gdansk Univ Technol, Fac Chem, Dept Microbiol, PL-80952 Gdansk, Poland</t>
  </si>
  <si>
    <t>Kur, J (corresponding author), Gdansk Univ Technol, Fac Chem, Dept Microbiol, Narutowicza 11-12, PL-80952 Gdansk, Poland.</t>
  </si>
  <si>
    <t>piohilde@pg.gda.pl; martka.chem@wp.pl; kur@chem.pg.gda.pl</t>
  </si>
  <si>
    <t>Wanarska, Marta/0000-0001-5343-4302</t>
  </si>
  <si>
    <t>Polish State Committee for Scientific Research [2 P04B 002 29]; European Social Fund</t>
  </si>
  <si>
    <t>Polish State Committee for Scientific Research(Polish State Committee for Scientific Research); European Social Fund(European Social Fund (ESF))</t>
  </si>
  <si>
    <t>This work was supported by the Polish State Committee for Scientific Research Grant 2 P04B 002 29 to J.K.; This research work was supported by the European Social Fund, the State Budget and the Pomeranian Voivodeship Budget in the framework of the Human Capital Operational Programme, priority VIII, action 8.2, under-action 8.2.2 Regional Innovative Strategies, the system project of the Pomorskie Voivodeship Innodoktorant - Scholarships for PhD students, I edition.</t>
  </si>
  <si>
    <t>BMC</t>
  </si>
  <si>
    <t>CAMPUS, 4 CRINAN ST, LONDON N1 9XW, ENGLAND</t>
  </si>
  <si>
    <t>1471-2180</t>
  </si>
  <si>
    <t>BMC MICROBIOL</t>
  </si>
  <si>
    <t>BMC Microbiol.</t>
  </si>
  <si>
    <t>JUL 27</t>
  </si>
  <si>
    <t>10.1186/1471-2180-9-151</t>
  </si>
  <si>
    <t>492SV</t>
  </si>
  <si>
    <t>WOS:000269680700001</t>
  </si>
  <si>
    <t>Barnes, DKA; Galgani, F; Thompson, RC; Barlaz, M</t>
  </si>
  <si>
    <t>Barnes, David K. A.; Galgani, Francois; Thompson, Richard C.; Barlaz, Morton</t>
  </si>
  <si>
    <t>Accumulation and fragmentation of plastic debris in global environments</t>
  </si>
  <si>
    <t>PHILOSOPHICAL TRANSACTIONS OF THE ROYAL SOCIETY B-BIOLOGICAL SCIENCES</t>
  </si>
  <si>
    <t>persistent organic pollutants; marine debris; plastic production; landfill; microplastic</t>
  </si>
  <si>
    <t>SOUTHERN NORTH-SEA; MARINE DEBRIS; CONTINENTAL-SHELF; ISLAND SHORES; RESIN PELLETS; LITTER; TRANSPORT; ABUNDANCE; FLOOR; CHEMICALS</t>
  </si>
  <si>
    <t>One of the most ubiquitous and long-lasting recent changes to the surface of our planet is the accumulation and fragmentation of plastics. Within just a few decades since mass production of plastic products commenced in the 1950s, plastic debris has accumulated in terrestrial environments, in the open ocean, on shorelines of even the most remote islands and in the deep sea. Annual clean-up operations, costing millions of pounds sterling, are now organized in many countries and on every continent. Here we document global plastics production and the accumulation of plastic waste. While plastics typically constitute approximately 10 per cent of discarded waste, they represent a much greater proportion of the debris accumulating on shorelines. Mega- and macro-plastics have accumulated in the highest densities in the Northern Hemisphere, adjacent to urban centres, in enclosed seas and at water convergences ( fronts). We report lower densities on remote island shores, on the continental shelf seabed and the lowest densities (but still a documented presence) in the deep sea and Southern Ocean. The longevity of plastic is estimated to be hundreds to thousands of years, but is likely to be far longer in deep sea and non-surface polar environments. Plastic debris poses considerable threat by choking and starving wildlife, distributing non-native and potentially harmful organisms, absorbing toxic chemicals and degrading to micro-plastics that may subsequently be ingested. Well-established annual surveys on coasts and at sea have shown that trends in mega- and macro-plastic accumulation rates are no longer uniformly increasing: rather stable, increasing and decreasing trends have all been reported. The average size of plastic particles in the environment seems to be decreasing, and the abundance and global distribution of micro-plastic fragments have increased over the last few decades. However, the environmental consequences of such microscopic debris are still poorly understood.</t>
  </si>
  <si>
    <t>[Barnes, David K. A.] NERC, British Antarctic Survey, Cambridge CB3 OET, England; [Galgani, Francois] IFREMER, Ctr Mediterranee, Prov Azur Corse LER PAC, F-83507 La Seyne Sur Mer, France; [Thompson, Richard C.] Univ Plymouth, Inst Marine, Marine Biol &amp; Ecol Res Ctr, Plymouth PL4 8AA, Devon, England; [Barlaz, Morton] N Carolina State Univ, Dept Civil Construct &amp; Environm Engn, Raleigh, NC 27695 USA</t>
  </si>
  <si>
    <t>UK Research &amp; Innovation (UKRI); Natural Environment Research Council (NERC); NERC British Antarctic Survey; Ifremer; University of Plymouth; North Carolina State University</t>
  </si>
  <si>
    <t>Barnes, DKA (corresponding author), NERC, British Antarctic Survey, Madingley Rd, Cambridge CB3 OET, England.</t>
  </si>
  <si>
    <t>dkab@bas.ac.uk</t>
  </si>
  <si>
    <t>galgani, francois/A-1973-2011; Thompson, Richard C/J-8879-2014</t>
  </si>
  <si>
    <t>galgani, francois/0000-0001-8770-6054; Thompson, Richard/0000-0003-2262-6621</t>
  </si>
  <si>
    <t>0962-8436</t>
  </si>
  <si>
    <t>1471-2970</t>
  </si>
  <si>
    <t>PHILOS T R SOC B</t>
  </si>
  <si>
    <t>Philos. Trans. R. Soc. B-Biol. Sci.</t>
  </si>
  <si>
    <t>10.1098/rstb.2008.0205</t>
  </si>
  <si>
    <t>461PU</t>
  </si>
  <si>
    <t>WOS:000267281600004</t>
  </si>
  <si>
    <t>Fiebig, M; Lunder, CR; Stohl, A</t>
  </si>
  <si>
    <t>Fiebig, M.; Lunder, C. R.; Stohl, A.</t>
  </si>
  <si>
    <t>Tracing biomass burning aerosol from South America to Troll Research Station, Antarctica</t>
  </si>
  <si>
    <t>DISPERSION MODEL FLEXPART; PHYSICAL-PROPERTIES; BLACK CARBON; SIZE RANGE; PARTICLES; NEPHELOMETER; SMOKE</t>
  </si>
  <si>
    <t>The atmospheric observatory at the Norwegian Research Station Troll in Queen Maud Land, Antarctica, holds, since February 2007, the first all-year Antarctic atmospheric aerosol particle number size distribution measurements. These are colocated with measurements of the aerosol absorption and spectral scattering coefficients. In June 2007, this instrument set observed an aerosol whose properties were indicative of a biomass burning aerosol. These properties included two log-normal size distribution modes with median particle diameters of 0.105 mu m and 0.36 mu m, sharply falling off to smaller and larger sizes, and peaks in scattering and absorption coefficient. With backward plume calculations of the Lagrangian transport model FLEXPART and the MODIS fire activity product, a source-receptor relationship was established between biomass burning events in Central Brazil and the aerosol seen at Troll. This is the first direct evidence that the Antarctic continent is susceptible to emissions from as far north as Southern tropical latitudes. Citation: Fiebig, M., C. R. Lunder, and A. Stohl (2009), Tracing biomass burning aerosol from South America to Troll Research Station, Antarctica, Geophys. Res. Lett., 36, L14815, doi: 10.1029/2009GL038531.</t>
  </si>
  <si>
    <t>Norwegian Inst Air Res, Dept Atmospher &amp; Climate Res, N-2007 Kjeller, Norway; [Lunder, C. R.] Norwegian Inst Air Res, Monitoring &amp; Informat Technol Dept, N-2007 Kjeller, Norway</t>
  </si>
  <si>
    <t>NILU; NILU</t>
  </si>
  <si>
    <t>Fiebig, M (corresponding author), Norwegian Inst Air Res, Dept Atmospher &amp; Climate Res, Inst Veien 18, N-2007 Kjeller, Norway.</t>
  </si>
  <si>
    <t>markus.fiebig@nilu.no; chris.lunder@nilu.no; andreas.stohl@nilu.no</t>
  </si>
  <si>
    <t>Stohl, Andreas/A-7535-2008; Fiebig, Markus/I-4872-2012</t>
  </si>
  <si>
    <t>Stohl, Andreas/0000-0002-2524-5755; Fiebig, Markus/0000-0002-3380-3470</t>
  </si>
  <si>
    <t>JUL 25</t>
  </si>
  <si>
    <t>L14815</t>
  </si>
  <si>
    <t>10.1029/2009GL038531</t>
  </si>
  <si>
    <t>475HW</t>
  </si>
  <si>
    <t>WOS:000268350200001</t>
  </si>
  <si>
    <t>Clarke, A; Griffiths, HJ; Barnes, DKA; Meredith, MP; Grant, SM</t>
  </si>
  <si>
    <t>Clarke, Andrew; Griffiths, Huw J.; Barnes, David K. A.; Meredith, Michael P.; Grant, Susie M.</t>
  </si>
  <si>
    <t>Spatial variation in seabed temperatures in the Southern Ocean: Implications for benthic ecology and biogeography</t>
  </si>
  <si>
    <t>WEST ANTARCTIC PENINSULA; CLIMATE-CHANGE; CONTINENTAL-SHELF; INTERTIDAL COMMUNITY; BRANSFIELD STRAIT; SHETLAND ISLANDS; MARINE ECOSYSTEM; LITHODID CRAB; WEDDELL SEA; DEEP-SEA</t>
  </si>
  <si>
    <t>The Antarctic seabed has traditionally been regarded as cold and thermally stable, with little spatial or seasonal variation in temperature. Here we demonstrate marked spatial variations in continental shelf seabed temperature around Antarctica, with the western Antarctic Peninsula shelf significantly warmer than shelves around continental Antarctica as a result of flooding of the shelf by Circumpolar Deep Water from the Antarctic Circumpolar Current. The coldest shelf seabed temperatures are in the Weddell Sea, Ross Sea, and Prydz Bay as a consequence of seasonal convection associated with strong air-sea heat fluxes and sea-ice formation. These waters constitute the dense precursors of Antarctic Bottom Water, and can descend down the adjacent slope to inject cold water into the Southern Ocean deep sea. Deep sea seabed temperatures are coldest in the Weddell Sea and are progressively warmer to the east. There is a distinct latitudinal gradient in the difference between seabed temperatures on the shelf and in the deep sea, with the deep sea warmer by up to similar to 2 K at high latitudes and colder by similar to 2 K around sub-Antarctic islands. These differences have important consequences for benthic ecology and biogeography, understanding the evolutionary history of the Antarctic marine biota, and the impact of regional climate change.</t>
  </si>
  <si>
    <t>[Clarke, Andrew; Griffiths, Huw J.; Barnes, David K. A.; Meredith, Michael P.; Grant, Susie M.] British Antarctic Survey, NERC, Div Biol Sci, Cambridge CB3 0ET, England</t>
  </si>
  <si>
    <t>Clarke, A (corresponding author), British Antarctic Survey, NERC, Div Biol Sci, Madingley Rd, Cambridge CB3 0ET, England.</t>
  </si>
  <si>
    <t>accl@bas.ac.uk</t>
  </si>
  <si>
    <t>Griffiths, Huw J/D-4234-2009</t>
  </si>
  <si>
    <t>Griffiths, Huw J/0000-0003-1764-223X; Meredith, Michael/0000-0002-7342-7756</t>
  </si>
  <si>
    <t>Office of Polar Programs (OPP); Directorate For Geosciences [0823101] Funding Source: National Science Foundation; NERC [bas010015] Funding Source: UKRI; Natural Environment Research Council [bas010015] Funding Source: researchfish</t>
  </si>
  <si>
    <t>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</si>
  <si>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JUL 24</t>
  </si>
  <si>
    <t>G03003</t>
  </si>
  <si>
    <t>10.1029/2008JG000886</t>
  </si>
  <si>
    <t>475IU</t>
  </si>
  <si>
    <t>WOS:000268352600001</t>
  </si>
  <si>
    <t>Lörz, AN</t>
  </si>
  <si>
    <t>Loerz, Anne-Nina</t>
  </si>
  <si>
    <t>Synopsis of Amphipoda from two recent Ross Sea voyages with description of a new species of Epimeria (Epimeriidae, Amphipoda, Crustacea)</t>
  </si>
  <si>
    <t>Antarctica; IPY; deep sea; taxonomy; Epimeria; Epimeriidae; Amphipoda; Crustacea</t>
  </si>
  <si>
    <t>Two recent voyages to the Ross Sea in 2004 and 2008 collected over 3000 benthic Amphipoda. The composition of 30 amphipod families is presented, and a focus is given to the family Epimeriidae from which a new species described. Epimeria larsi sp. nov. from 1950 m depth, is the deepest occurring species of the genus known from Antarctic waters. This increases the number of known species of Epimeriidae from Antarctica to 27. Epimeria larsi can be distinguished from similar species by the unique combination of following characters: coxa 5 posteroventral corner produced, epimeral plate posteroventral corner rounded, and coxa 1-3 apically rounded.</t>
  </si>
  <si>
    <t>Natl Inst Water &amp; Atmospher Res, Kilbirnie Wellington, New Zealand</t>
  </si>
  <si>
    <t>National Institute of Water &amp; Atmospheric Research (NIWA) - New Zealand</t>
  </si>
  <si>
    <t>Lörz, AN (corresponding author), Natl Inst Water &amp; Atmospher Res, Private Bag 14901, Kilbirnie Wellington, New Zealand.</t>
  </si>
  <si>
    <t>a.loerz@niwa.co.nz</t>
  </si>
  <si>
    <t>NIWA [CO01X0502]; New Zealand Science Foundation [IPY200701 OBJ9]</t>
  </si>
  <si>
    <t>NIWA; New Zealand Science Foundation</t>
  </si>
  <si>
    <t>I am grateful to my colleagues for the smooth running of the NIWA Invertebrate Collection. I enjoyed identifying the Amphipod material from IPY together with Charles Oliver Coleman (Naturkundemuseum, Berlin). Specimens were collected as part of the New Zealand International Polar Year - Census of Antarctic Marine Life, Ross Sea Biodiversity voyage 2008. We gratefully acknowledge project governance provided by the Ministry of Fisheries Science Team and the Ocean Survey 20/20 CAML Advisory Group (Land Information New Zealand, New Zealand Ministry of Fisheries, Antarctica New Zealand, Ministry of Foreign Affairs and Trade, and NIWA. BIOROSS was a biodiversity survey of the western Ross Sea and Balleny Islands in 2004 undertaken by NIWA and financed by the New Zealand Ministry of Fisheries. Erika McKay (NIWA) kindly inked some of the plates; Stefano Schiaparelli (Genova) took the on board photograph. This research was partly funded by NIWA's Biodiversity &amp; Biosecurity program CO01X0502 of the New Zealand Science Foundation and project IPY200701 OBJ9.</t>
  </si>
  <si>
    <t>10.11646/zootaxa.2167.1.4</t>
  </si>
  <si>
    <t>474XQ</t>
  </si>
  <si>
    <t>WOS:000268318600004</t>
  </si>
  <si>
    <t>Chen, LJ; Thorne, RM; Horne, RB</t>
  </si>
  <si>
    <t>Chen, Lunjin; Thorne, Richard M.; Horne, Richard B.</t>
  </si>
  <si>
    <t>Simulation of EMIC wave excitation in a model magnetosphere including structured high-density plumes</t>
  </si>
  <si>
    <t>ION-CYCLOTRON WAVES; PITCH-ANGLE SCATTERING; GEOMAGNETIC STORMS; RING CURRENT; ELECTRON-PRECIPITATION; OUTER MAGNETOSPHERE; PLASMA; RADIATION; RESONANCE; GROWTH</t>
  </si>
  <si>
    <t>The HOTRAY code is used to evaluate the path integrated gain of electromagnetic ion cyclotron (EMIC) waves as a function of frequency in two propagation bands above the O+ and He+ gyrofrequencies. Calculations are performed over a range of L shell (3 &lt; L &lt; 7) assuming a cold H+-He+-O+ plasma with an additional bi-Maxwellian hot ring current proton distribution. The cold plasma model includes a plasmasphere and high-density storm time plume region containing spatial density fluctuations. The strongest wave gain (&gt;40 dB) is found near the plasmapause, within regions with density structure in the plume, and in the low-density trough at L &gt;= 6.5. As a self-consistent test on whether EMIC waves play an important role in relativistic electron loss from the radiation belts, the minimum cyclotron resonant electron energy is evaluated as a function of wave frequency and L shell for those EMIC waves that exhibit significant gain. The lowest electron resonant energies (approximately a few MeV) are found in structured plumes. The sensitivities of both the wave gain and electron minimum resonant energy to variation in thermal ion compositions, the energetic proton properties, or plume density structure are also investigated.</t>
  </si>
  <si>
    <t>[Chen, Lunjin; Thorne, Richard M.] Univ Calif Los Angeles, Dept Atmospher &amp; Ocean Sci, Los Angeles, CA 90024 USA; [Horne, Richard B.] NERC, British Antarctic Survey, Cambridge CB3 0ET, England</t>
  </si>
  <si>
    <t>Horne, Richard B/U-3764-2019; Chen, Lunjin/L-1250-2013</t>
  </si>
  <si>
    <t>Horne, Richard B/0000-0002-0412-6407; Chen, Lunjin/0000-0003-2489-3571</t>
  </si>
  <si>
    <t>NASA [NNX08A135G, NNX08AF34G]; NERC [bas0100023] Funding Source: UKRI; Natural Environment Research Council [bas0100023] Funding Source: researchfish; NASA [102292, NNX08AF34G] Funding Source: Federal RePORTER</t>
  </si>
  <si>
    <t>NASA(National Aeronautics &amp; Space Administration (NASA)); NERC(UK Research &amp; Innovation (UKRI)Natural Environment Research Council (NERC)); Natural Environment Research Council(UK Research &amp; Innovation (UKRI)Natural Environment Research Council (NERC)); NASA(National Aeronautics &amp; Space Administration (NASA))</t>
  </si>
  <si>
    <t>This research was supported by the NASA Heliosphere Theory grant NNX08A135G and NASA grant NNX08AF34G.</t>
  </si>
  <si>
    <t>JUL 23</t>
  </si>
  <si>
    <t>A07221</t>
  </si>
  <si>
    <t>10.1029/2009JA014204</t>
  </si>
  <si>
    <t>475JX</t>
  </si>
  <si>
    <t>WOS:000268355700001</t>
  </si>
  <si>
    <t>Li, Z; Robinson, W; Liu, AZ</t>
  </si>
  <si>
    <t>Li, Z.; Robinson, W.; Liu, A. Z.</t>
  </si>
  <si>
    <t>Sources of gravity waves in the lower stratosphere above South Pole</t>
  </si>
  <si>
    <t>TROPICAL LOWER STRATOSPHERE; JET-FRONT SYSTEMS; MIDDLE ATMOSPHERE; INTERANNUAL VARIABILITY; GENERAL-CIRCULATION; SYOWA STATION; ENERGY; GCM; TEMPERATURE; TROPOSPHERE</t>
  </si>
  <si>
    <t>Five-year (2001-2005) high-resolution radiosonde data were processed to obtain the gravity wave (GW) variabilities in the lower stratosphere over South Pole (SP). Our results show that GW activities in the lowermost section (10-15 km) are strongest in May and September and weakest in the austral summer, whereas in the altitude range of 15-25 km, strongest/weakest GW kinetic energy is observed around September/January. We also explored the relationships of GWs to the synoptic-scale variations in the troposphere and the ageostrophic motions in the upper troposphere over the Antarctic, which are expected to be significant mechanisms for GW generation. A ray-tracing model (GROGRAT) was used to explore the relationship between GW propagation and the background field. In the altitude of 15-25 km, the annual cycle of GW activity resembles that of adjustment process. Below 15 km, the annual cycle of GW activity has two peaks in May and September. Our analysis suggests that these two peaks are due to the variation of topographic GW generation and filtering of background atmosphere. Due to critical-level filtering in the lowermost section, topographic GWs cannot propagate upward, which makes the shape of GW annual cycle at higher altitudes closer to the annual cycle of adjustment processes. The analysis suggests that the minimum of GW activity at SP during the austral summer may be due to the combination of weaker wave generation from adjustment processes associated with synoptic-scale systems, flow over topography, and unfavorable background field for GW propagation.</t>
  </si>
  <si>
    <t>[Li, Z.; Robinson, W.] Univ Illinois, Dept Atmospher Sci, Urbana, IL 61801 USA; [Liu, A. Z.] Univ Illinois, Dept Elect &amp; Comp Engn, Urbana, IL 61801 USA</t>
  </si>
  <si>
    <t>University of Illinois System; University of Illinois Urbana-Champaign; University of Illinois System; University of Illinois Urbana-Champaign</t>
  </si>
  <si>
    <t>Li, Z (corresponding author), Univ Illinois, Dept Atmospher Sci, 105 S Gregory St, Urbana, IL 61801 USA.</t>
  </si>
  <si>
    <t>zli2@atmos.uiuc.edu; liuzr@uiuc.edu</t>
  </si>
  <si>
    <t>Robinson, Walter A/I-3782-2012; Liu, Alan/C-3738-2008; Li, Zhenhua/B-3739-2008</t>
  </si>
  <si>
    <t>Robinson, Walter A/0000-0002-6669-7408; Liu, Alan/0000-0002-1834-7120; Li, Zhenhua/0000-0003-0220-2696</t>
  </si>
  <si>
    <t>NSF [ATM-0456188, ATM-0334357, ATM-0737656]; AWS Project of University of Wisconsin-Madison</t>
  </si>
  <si>
    <t>NSF(National Science Foundation (NSF)); AWS Project of University of Wisconsin-Madison</t>
  </si>
  <si>
    <t>This work is supported by NSF grants ATM-0456188, ATM-0334357 and ATM-0737656. The balloon data were obtained with the help of AMRC Project of University of Wisconsin-Madison. The surface wind data were obtained with the help of AWS Project of University of Wisconsin-Madison.</t>
  </si>
  <si>
    <t>JUL 22</t>
  </si>
  <si>
    <t>D14103</t>
  </si>
  <si>
    <t>10.1029/2008JD011478</t>
  </si>
  <si>
    <t>475IH</t>
  </si>
  <si>
    <t>WOS:000268351300001</t>
  </si>
  <si>
    <t>Ramos, R; González-Solís, J; Croxall, JP; Oro, D; Ruiz, X</t>
  </si>
  <si>
    <t>Ramos, Rauel; Gonzalez-Solis, Jacob; Croxall, John P.; Oro, Daniel; Ruiz, Xavier</t>
  </si>
  <si>
    <t>Understanding Oceanic Migrations with Intrinsic Biogeochemical Markers</t>
  </si>
  <si>
    <t>STABLE-ISOTOPE SIGNATURES; MOLT STRATEGIES; TRACE-METALS; CARBON; NITROGEN; PREDATORS; AREAS; DIET; SEX; DICHOTOMY</t>
  </si>
  <si>
    <t>Migratory marine vertebrates move annually across remote oceanic water masses crossing international borders. Many anthropogenic threats such as overfishing, bycatch, pollution or global warming put millions of marine migrants at risk especially during their long-distance movements. Therefore, precise knowledge about these migratory movements to understand where and when these animals are more exposed to human impacts is vital for addressing marine conservation issues. Because electronic tracking devices suffer from several constraints, mainly logistical and financial, there is emerging interest in finding appropriate intrinsic markers, such as the chemical composition of inert tissues, to study long-distance migrations and identify wintering sites. Here, using tracked pelagic seabirds and some of their own feathers which were known to be grown at different places and times within the annual cycle, we proved the value of biogeochemical analyses of inert tissue as tracers of marine movements and habitat use. Analyses of feathers grown in summer showed that both stable isotope signatures and element concentrations can signal the origin of breeding birds feeding in distinct water masses. However, only stable isotopes signalled water masses used during winter because elements mainly accumulated during the long breeding period are incorporated into feathers grown in both summer and winter. Our findings shed new light on the simple and effective assignment of marine organisms to distinct oceanic areas, providing new opportunities to study unknown migration patterns of secretive species, including in relation to human-induced mortality on specific populations in the marine environment.</t>
  </si>
  <si>
    <t>[Ramos, Rauel; Gonzalez-Solis, Jacob; Ruiz, Xavier] Univ Barcelona, Dept Biol Anim Vertebrats, Barcelona, Spain; [Gonzalez-Solis, Jacob; Croxall, John P.] British Antarctic Survey, Nat Environm Res Council, Cambridge, England; [Oro, Daniel] CSIC UIB, Inst Mediterraneo Estudios Avanzados IMEDEA, Mallorca, Spain</t>
  </si>
  <si>
    <t>University of Barcelona; UK Research &amp; Innovation (UKRI); Natural Environment Research Council (NERC); NERC British Antarctic Survey; Universitat de les Illes Balears; University of Barcelona; Consejo Superior de Investigaciones Cientificas (CSIC); ATTITUS Educacao</t>
  </si>
  <si>
    <t>Ramos, R (corresponding author), Univ Barcelona, Dept Biol Anim Vertebrats, Barcelona, Spain.</t>
  </si>
  <si>
    <t>ramos@ub.edu</t>
  </si>
  <si>
    <t>Ramos, Raül/S-3112-2016; Oro, Daniel/H-4208-2012; Gonzalez-Solis, Jacob/C-3942-2008; González-Solís, Jacob/AAB-1161-2019</t>
  </si>
  <si>
    <t>Ramos, Raül/0000-0002-0551-8605; Oro, Daniel/0000-0003-4782-3007; Gonzalez-Solis, Jacob/0000-0002-8691-9397;</t>
  </si>
  <si>
    <t>e6236</t>
  </si>
  <si>
    <t>10.1371/journal.pone.0006236</t>
  </si>
  <si>
    <t>474CN</t>
  </si>
  <si>
    <t>Green Accepted, Green Published, gold, Green Submitted</t>
  </si>
  <si>
    <t>WOS:000268260100002</t>
  </si>
  <si>
    <t>Nicholls, KW; Osterhus, S; Makinson, K; Gammelsrod, T; Fahrbach, E</t>
  </si>
  <si>
    <t>Nicholls, Keith W.; Osterhus, Svein; Makinson, Keith; Gammelsrod, Tor; Fahrbach, Eberhard</t>
  </si>
  <si>
    <t>ICE-OCEAN PROCESSES OVER THE CONTINENTAL SHELF OF THE SOUTHERN WEDDELL SEA, ANTARCTICA: A REVIEW</t>
  </si>
  <si>
    <t>REVIEWS OF GEOPHYSICS</t>
  </si>
  <si>
    <t>FILCHNER-RONNE ICE; BOTTOM WATER FORMATION; GROUNDING LINES; THERMOHALINE CIRCULATION; COASTAL POLYNYAS; SLOPE FRONT; MODEL; TRANSPORT; DYNAMICS; STRATIFICATION</t>
  </si>
  <si>
    <t>Interactions between the Southern Ocean and the Weddell Sea ice shelves are important both to the Antarctic Ice Sheet and to the production of globally significant water masses. Here we review the interaction between the Filchner-Ronne Ice Shelf and the shelf sea in which it floats. The continental shelf processes leading to the production of Weddell Sea deep and bottom waters from the original off-shelf source waters are discussed, and a new view is offered of the initial production of High-Salinity Shelf Water. Data from ship-based measurements at the ice front, from glaciological methods, and from measurements made within the sub-ice shelf cavity itself are used to describe the pattern of flows beneath the ice shelf. We also consider the variability observed within the cavity from tidal to interannual time scales and finish with a discussion of future research priorities in the region.</t>
  </si>
  <si>
    <t>[Nicholls, Keith W.; Makinson, Keith] British Antarctic Survey, Cambridge CB3 0ET, England; [Fahrbach, Eberhard] Alfred Wegener Inst Polar &amp; Marine Res, D-27515 Bremerhaven, Germany; [Gammelsrod, Tor] Univ Bergen, Geofysisk Inst, N-5007 Bergen, Norway; [Osterhus, Svein] Univ Bergen, Bjerknes Ctr Climate Res, N-5007 Bergen, Norway; [Gammelsrod, Tor] Univ Ctr Svalbard, Dept Arctic Geophys, Longyearbyen, Norway</t>
  </si>
  <si>
    <t>UK Research &amp; Innovation (UKRI); Natural Environment Research Council (NERC); NERC British Antarctic Survey; Helmholtz Association; Alfred Wegener Institute, Helmholtz Centre for Polar &amp; Marine Research; University of Bergen; Bjerknes Centre for Climate Research; University of Bergen; University Centre Svalbard (UNIS)</t>
  </si>
  <si>
    <t>Nicholls, KW (corresponding author), British Antarctic Survey, Madingley Rd, Cambridge CB3 0ET, England.</t>
  </si>
  <si>
    <t>kwni@bas.ac.uk</t>
  </si>
  <si>
    <t>Makinson, Keith/A-2495-2013</t>
  </si>
  <si>
    <t>Makinson, Keith/0000-0002-5791-1767; Osterhus, Svein/0000-0001-9915-2685</t>
  </si>
  <si>
    <t>8755-1209</t>
  </si>
  <si>
    <t>1944-9208</t>
  </si>
  <si>
    <t>REV GEOPHYS</t>
  </si>
  <si>
    <t>Rev. Geophys.</t>
  </si>
  <si>
    <t>RG3003</t>
  </si>
  <si>
    <t>10.1029/2007RG000250</t>
  </si>
  <si>
    <t>475KJ</t>
  </si>
  <si>
    <t>WOS:000268356900001</t>
  </si>
  <si>
    <t>Clark, MS; Thorne, MAS; Purac, J; Burns, G; Hillyard, G; Popovic, ZD; Grubor-Lajsic, G; Worland, MR</t>
  </si>
  <si>
    <t>Clark, Melody S.; Thorne, Michael A. S.; Purac, Jelena; Burns, Gavin; Hillyard, Guy; Popovic, Zeljko D.; Grubor-Lajsic, Gordana; Worland, M. Roger</t>
  </si>
  <si>
    <t>Surviving the cold: molecular analyses of insect cryoprotective dehydration in the Arctic springtail Megaphorura arctica (Tullberg)</t>
  </si>
  <si>
    <t>BMC GENOMICS</t>
  </si>
  <si>
    <t>AMINO-ACID POOLS; FREEZE TOLERANCE; HEAT-SHOCK; SUBZERO TEMPERATURES; STRESS RESISTANCE; ARGININE KINASE; ANTARCTIC MIDGE; CROSS-TALK; DESICCATION; TREHALOSE</t>
  </si>
  <si>
    <t>Background: Insects provide tractable models for enhancing our understanding of the physiological and cellular processes that enable survival at extreme low temperatures. They possess three main strategies to survive the cold: freeze tolerance, freeze avoidance or cryoprotective dehydration, of which the latter method is exploited by our model species, the Arctic springtail Megaphorura arctica, formerly Onychiurus arcticus (Tullberg 1876). The physiological mechanisms underlying cryoprotective dehydration have been well characterised in M. arctica and to date this process has been described in only a few other species: the Antarctic nematode Panagrolaimus davidi, an enchytraied worm, the larvae of the Antarctic midge Belgica antarctica and the cocoons of the earthworm Dendrobaena octaedra. There are no in-depth molecular studies on the underlying cold survival mechanisms in any species. Results: A cDNA microarray was generated using 6,912 M. arctica clones printed in duplicate. Analysis of clones up-regulated during dehydration procedures (using both cold-and salt-induced dehydration) has identified a number of significant cellular processes, namely the production and mobilisation of trehalose, protection of cellular systems via small heat shock proteins and tissue/cellular remodelling during the dehydration process. Energy production, initiation of protein translation and cell division, plus potential tissue repair processes dominate genes identified during recovery. Heat map analysis identified a duplication of the trehalose-6-phosphate synthase (TPS) gene in M. arctica and also 53 clones co-regulated with TPS, including a number of membrane associated and cell signalling proteins. Q-PCR on selected candidate genes has also contributed to our understanding with glutathione-S-transferase identified as the major antioxdidant enzyme protecting the cells during these stressful procedures, and a number of protein kinase signalling molecules involved in recovery. Conclusion: Microarray analysis has proved to be a powerful technique for understanding the processes and genes involved in cryoprotective dehydration, beyond the few candidate genes identified in the current literature. Dehydration is associated with the mobilisation of trehalose, cell protection and tissue remodelling. Energy production, leading to protein production, and cell division characterise the recovery process. Novel membrane proteins, along with aquaporins and desaturases, have been identified as promising candidates for future functional analyses to better understand membrane remodelling during cellular dehydration.</t>
  </si>
  <si>
    <t>[Clark, Melody S.; Thorne, Michael A. S.; Purac, Jelena; Burns, Gavin; Hillyard, Guy; Worland, M. Roger] British Antarctic Survey, NERC, Cambridge CB3 0ET, England; [Purac, Jelena; Popovic, Zeljko D.; Grubor-Lajsic, Gordana] Univ Novi Sad, Fac Sci, Novi Sad 21000, Serbia</t>
  </si>
  <si>
    <t>UK Research &amp; Innovation (UKRI); Natural Environment Research Council (NERC); NERC British Antarctic Survey; University of Novi Sad</t>
  </si>
  <si>
    <t>Clark, MS (corresponding author), British Antarctic Survey, NERC, High Cross,Madingley Rd, Cambridge CB3 0ET, England.</t>
  </si>
  <si>
    <t>mscl@bas.ac.uk; mior@bas.ac.uk; jelena.purac@dbe.uns.ac.rs; gabu@bas.ac.uk; ghil@bas.ac.uk; zeljko.popovic@dbe.uns.ac.rs; gordana.grubor-lajsic@dbe.uns.ac.rs; mrwo@bas.ac.uk</t>
  </si>
  <si>
    <t>Popović, Željko/F-8257-2010; Clark, Melody/D-7371-2014</t>
  </si>
  <si>
    <t>Popović, Željko/0000-0003-2961-8093; Clark, Melody/0000-0002-3442-3824; Purac, Jelena/0000-0003-0028-9847; Thorne, Michael/0000-0001-7759-612X</t>
  </si>
  <si>
    <t>EU Sleeping Beauty Consortium [012674]; MSTD [143034]; Republic of Serbia; British Scholarship Trust; Natural Environment Research Council [bas010015] Funding Source: researchfish; NERC [bas010015] Funding Source: UKRI</t>
  </si>
  <si>
    <t>EU Sleeping Beauty Consortium; MSTD; Republic of Serbia; British Scholarship Trust; Natural Environment Research Council(UK Research &amp; Innovation (UKRI)Natural Environment Research Council (NERC)); NERC(UK Research &amp; Innovation (UKRI)Natural Environment Research Council (NERC))</t>
  </si>
  <si>
    <t>This paper was produced within the BAS GSAC BIOREACH/BIOFLAME core programmes and also contributes to the SCAR EBA programme. JP was sponsored by the EU Sleeping Beauty Consortium: Specific Targeted Research Project, Contract no 012674 (NEST). JP and GG-L are also funded by the MSTD grant 143034, awarded by the Republic of Serbia. ZP was sponsored by the British Scholarship Trust. The authors would like to thank the NEBC Bio-linux team http://nebc.nox.ac.uk/for assistance with the bioinformatics and provision of software packages. Also NERC for access to the NERC Arctic Research Station (Harland Huset) at Ny-Alesund and Nick Cox, the Arctic base commander. We would also like to thank Pete Convey for critical reading of the manuscript, Barbara Worland for her help with animal collection in the 2007 field season and three anonymous reviewers whose comments have improved the manuscript.</t>
  </si>
  <si>
    <t>1471-2164</t>
  </si>
  <si>
    <t>BMC Genomics</t>
  </si>
  <si>
    <t>JUL 21</t>
  </si>
  <si>
    <t>10.1186/1471-2164-10-328</t>
  </si>
  <si>
    <t>Biotechnology &amp; Applied Microbiology; Genetics &amp; Heredity</t>
  </si>
  <si>
    <t>490NP</t>
  </si>
  <si>
    <t>Green Published, Green Accepted, gold</t>
  </si>
  <si>
    <t>WOS:000269508100001</t>
  </si>
  <si>
    <t>Kern, S</t>
  </si>
  <si>
    <t>Kern, S.</t>
  </si>
  <si>
    <t>Wintertime Antarctic coastal polynya area: 1992-2008</t>
  </si>
  <si>
    <t>NOVA BAY POLYNYA; SEA-ICE; ROSS SEA; DYNAMICS</t>
  </si>
  <si>
    <t>An iterative classification technique based on Special Sensor Microwave/Imager data is used to estimate the total daily circum-Antarctic coastal polynya area for 1992-2008. The average wintertime (June to September) area is estimated at 245,000 +/- 10,000 km(2), and varies between 210,000 km(2) (1997) and 281,000 km(2) (2007). The polynyas along East-Antarctica (60 to 160 degrees E) contribute about 40% to this area. The most persistent polynyas are located along East Antarctica: Lars-Christensen Coast (LCC), Prydz Bay, Western Davis Sea, Mertz Glacier, and in the Ross Sea: Ross Ice Shelf and Terra Nova Bay. The polynya at the LCC is observed on 110 +/- 5 days during winter for 1992-2008. It is the most persistent of the observed polynyas, covering an average area of 2400 km(2) on more than 90 days. Trends in the average wintertime area of the major coastal polynyas during 1992-2008 are small and not significant. Citation: Kern, S. (2009), Wintertime Antarctic coastal polynya area: 1992-2008, Geophys. Res. Lett., 36, L14501, doi:10.1029/2009GL038062.</t>
  </si>
  <si>
    <t>Univ Hamburg, Inst Oceanog, Ctr Marine &amp; Atmospher Sci, D-20146 Hamburg, Germany</t>
  </si>
  <si>
    <t>Kern, S (corresponding author), Univ Hamburg, Inst Oceanog, Ctr Marine &amp; Atmospher Sci, Bundesstr 53, D-20146 Hamburg, Germany.</t>
  </si>
  <si>
    <t>stefan.kern@zmaw.de</t>
  </si>
  <si>
    <t>Kern, Stefan/0000-0001-7281-3746</t>
  </si>
  <si>
    <t>German Science Foundation [ME 487/40-1, ME 487/40-2, STA 410/6-3]</t>
  </si>
  <si>
    <t>German Science Foundation(German Research Foundation (DFG))</t>
  </si>
  <si>
    <t>This work was funded by the German Science Foundation (contracts ME 487/40-1, ME 487/40-2, and STA 410/6-3). Data provision by the Max-Planck Institute for Meteorology, Hamburg, Germany, National Snow and Ice Data Centre, Boulder, CO, U. S. A., and Global Hydrology Resource Center, Huntsville, AL, U. S. A., is greatly acknowledged as are the comments of two anonymous reviewers.</t>
  </si>
  <si>
    <t>JUL 18</t>
  </si>
  <si>
    <t>L14501</t>
  </si>
  <si>
    <t>10.1029/2009GL038062</t>
  </si>
  <si>
    <t>471XL</t>
  </si>
  <si>
    <t>WOS:000268091600002</t>
  </si>
  <si>
    <t>Meredith, NP; Horne, RB; Thorne, RM; Anderson, RR</t>
  </si>
  <si>
    <t>Meredith, Nigel P.; Horne, Richard B.; Thorne, Richard M.; Anderson, Roger R.</t>
  </si>
  <si>
    <t>Survey of upper band chorus and ECH waves: Implications for the diffuse aurora</t>
  </si>
  <si>
    <t>PITCH-ANGLE DIFFUSION; TERRESTRIAL MYRIAMETRIC RADIATION; ELECTRON-CYCLOTRON WAVES; LOW-ENERGY ELECTRONS; WHISTLER-MODE WAVES; PANCAKE DISTRIBUTIONS; OUTER MAGNETOSPHERE; PLASMA FREQUENCY; HARMONIC-WAVES; X-RAY</t>
  </si>
  <si>
    <t>The origin of the diffuse aurora has been a source of controversy for many years. More recently, the question has taken a new significance in view of the associated changes in atmospheric chemistry which may affect the middle atmosphere. Here, we use CRRES data to assess the importance of upper band chorus and electron cyclotron harmonic (ECH) waves in the production of the diffuse aurora. Both wave modes increase with increasing geomagnetic activity, suggesting they are related to periods of enhanced convection and/or substorm activity. They are confined to the near-equatorial region, which excludes the prenoon sector from the wave survey. During active conditions, intense ECH waves and upper band chorus, with amplitudes exceeding 1 mV m(-1), are observed in the region 4 &lt; L &lt; 7 from 2100 to 0600 MLT approximately 20% and 6% of the time, respectively. This suggests that both wave modes can put electrons on strong diffusion, but only during active conditions and not at all local times. Scattering rates fall below the strong diffusion limit at other times when the wave amplitudes are weaker. Fluxes of low energy electrons (100 eV &lt; E &lt; 30 keV) also increase with increasing geomagnetic activity in approximately the same region of geospace as the waves, suggesting that these electrons are responsible for the generation of the waves. The patterns of the upper band chorus, ECH waves, and low-energy electrons are similar to the global morphology of the diffuse aurora, suggesting that both wave modes play significant roles in the production of the diffuse aurora.</t>
  </si>
  <si>
    <t>[Meredith, Nigel P.; Horne, Richard B.] British Antarctic Survey, NERC, Cambridge CB3 0ET, England; [Thorne, Richard M.] Univ Calif Los Angeles, Dept Atmospher &amp; Ocean Sci, Los Angeles, CA 90095 USA; [Anderson, Roger R.] Univ Iowa, Dept Phys &amp; Astron, Iowa City, IA 52242 USA</t>
  </si>
  <si>
    <t>UK Research &amp; Innovation (UKRI); Natural Environment Research Council (NERC); NERC British Antarctic Survey; University of California System; University of California Los Angeles; University of Iowa</t>
  </si>
  <si>
    <t>Meredith, NP (corresponding author), British Antarctic Survey, NERC, Madingley Rd, Cambridge CB3 0ET, England.</t>
  </si>
  <si>
    <t>nmer@bas.ac.uk; r.horne@bas.ac.uk; rmt@atmos.ucla.edu; roger-r-anderson@uiowa.edu</t>
  </si>
  <si>
    <t>Horne, Richard B/U-3764-2019; Meredith, Nigel P/C-5806-2018</t>
  </si>
  <si>
    <t>Horne, Richard B/0000-0002-0412-6407; Meredith, Nigel/0000-0001-5032-3463</t>
  </si>
  <si>
    <t>Natural Environment Research Council and NSF [ATM 0802843]; NERC [bas0100023] Funding Source: UKRI; Natural Environment Research Council [bas0100023] Funding Source: researchfish</t>
  </si>
  <si>
    <t>Natural Environment Research Council and NSF; NERC(UK Research &amp; Innovation (UKRI)Natural Environment Research Council (NERC)); Natural Environment Research Council(UK Research &amp; Innovation (UKRI)Natural Environment Research Council (NERC))</t>
  </si>
  <si>
    <t>We thank the NSSDC Omniweb for providing the AE indices used in this paper. This work was supported by the Natural Environment Research Council and NSF grant ATM 0802843.</t>
  </si>
  <si>
    <t>A07218</t>
  </si>
  <si>
    <t>10.1029/2009JA014230</t>
  </si>
  <si>
    <t>471YV</t>
  </si>
  <si>
    <t>WOS:000268095400003</t>
  </si>
  <si>
    <t>Watkins, NW; Chapman, SC; Rosenberg, SJ</t>
  </si>
  <si>
    <t>Watkins, N. W.; Chapman, S. C.; Rosenberg, S. J.</t>
  </si>
  <si>
    <t>Comment on Coexistence of Self-Organized Criticality and Intermittent Turbulence in the Solar Corona</t>
  </si>
  <si>
    <t>A Comment on the Letter by Vadim M. Uritsky et al., [Phys Rev. Lett. 99, 025001 (2007)]. The authors of the Letter offer a Reply.</t>
  </si>
  <si>
    <t>[Watkins, N. W.; Rosenberg, S. J.] British Antarctic Survey, NERC, Cambridge, England; [Chapman, S. C.] Univ Warwick, Dept Phys, CFSA, Coventry CV4 7AL, W Midlands, England</t>
  </si>
  <si>
    <t>UK Research &amp; Innovation (UKRI); Natural Environment Research Council (NERC); NERC British Antarctic Survey; University of Warwick</t>
  </si>
  <si>
    <t>Watkins, NW (corresponding author), British Antarctic Survey, NERC, Cambridge, England.</t>
  </si>
  <si>
    <t>Chapman, Sandra/C-2216-2008; Watkins, Nick/GPX-7439-2022; Watkins, Nicholas Wynn/C-5140-2008</t>
  </si>
  <si>
    <t>Chapman, Sandra/0000-0003-0053-1584; Watkins, Nick/0000-0003-4484-6588; Watkins, Nicholas Wynn/0000-0003-4484-6588</t>
  </si>
  <si>
    <t>EPSRC [EP/D062837/1, EP/H002189/1, EP/H02395X/1] Funding Source: UKRI; NERC [bas010021, bas0100026] Funding Source: UKRI; STFC [ST/F00205X/1] Funding Source: UKRI; Engineering and Physical Sciences Research Council [EP/H02395X/1, EP/D062837/1] Funding Source: researchfish; Natural Environment Research Council [bas0100026, bas010021] Funding Source: researchfish; Science and Technology Facilities Council [ST/F00205X/1] Funding Source: researchfish</t>
  </si>
  <si>
    <t>JUL 17</t>
  </si>
  <si>
    <t>10.1103/PhysRevLett.103.039501</t>
  </si>
  <si>
    <t>471WF</t>
  </si>
  <si>
    <t>WOS:000268088300074</t>
  </si>
  <si>
    <t>Bard, E; Rickaby, REM</t>
  </si>
  <si>
    <t>Bard, Edouard; Rickaby, Rosalind E. M.</t>
  </si>
  <si>
    <t>Migration of the subtropical front as a modulator of glacial climate</t>
  </si>
  <si>
    <t>ATLANTIC OVERTURNING CIRCULATION; INDIAN-OCEAN; ORGANIC-MATTER; SOUTH ATLANTIC; RECORD; SEDIMENTS; MODEL; FLUCTUATIONS; TEMPERATURE; VARIABILITY</t>
  </si>
  <si>
    <t>Ice cores extracted from the Antarctic ice sheet suggest that glacial conditions, and the relationship between isotopically derived temperatures and atmospheric p(CO2) have been constant over the last 800,000 years of the Late Pleistocene epoch(1). But independent lines of evidence, such as the extent of Northern Hemisphere ice sheets(2), sea level(3) and other temperature records(4), point towards a fluctuating severity of glacial periods, particularly during the more extreme glacial stadials centred around 340,000 and 420,000 years ago (marine isotope stages 10 and 12). Previously unidentified mechanisms therefore appear to have mediated the relationship between insolation, CO2 and climate. Here we test whether northward migration of the subtropical front (STF) off the southeastern coast of South Africa acts as a gatekeeper for the Agulhas current(5,6), which controls the transport of heat and salt from the Indo-Pacific Ocean to the Atlantic Ocean. Using a new 800,000-year record of sea surface temperature and ocean productivity from ocean sediment core MD962077, we demonstrate that during cold stadials (particularly marine isotope stages 10 and 12), productivity peaked and sea surface temperature was up to 6 degrees C cooler than modern temperatures. This suggests that during these cooler stadials, the STF moved northward by up to 76 latitude, nearly shutting off the Agulhas current. Our results, combined with faunal assemblages from the south Atlantic(7,8) show that variable northwards migration of the Southern Hemisphere STF can modulate the severity of each glacial period by altering the strength of the Agulhas current carrying heat and salt to the Atlantic meridional overturning circulation. We show hence that the degree of northwards migration of the STF can partially decouple global climate from atmospheric partial pressure of carbon dioxide, p(CO2), and help to resolve the long-standing puzzle of differing glacial amplitudes within a consistent range of atmospheric p(CO2).</t>
  </si>
  <si>
    <t>[Bard, Edouard] Univ Paul Cezanne Aix Marseille, CNRS, IRD, Coll France,CEREGE,UMR 6635, F-13545 Aix En Provence 4, France; [Rickaby, Rosalind E. M.] Univ Oxford, Dept Earth Sci, Oxford OX1 3PR, England</t>
  </si>
  <si>
    <t>Universite PSL; College de France; Aix-Marseille Universite; Centre National de la Recherche Scientifique (CNRS); Institut de Recherche pour le Developpement (IRD); University of Oxford</t>
  </si>
  <si>
    <t>Bard, E (corresponding author), Univ Paul Cezanne Aix Marseille, CNRS, IRD, Coll France,CEREGE,UMR 6635, Europole Arbois BP 80, F-13545 Aix En Provence 4, France.</t>
  </si>
  <si>
    <t>bard@cerege.fr; rosr@earth.ox.ac.uk</t>
  </si>
  <si>
    <t>Rickaby, Rosalind/0000-0002-6095-8419</t>
  </si>
  <si>
    <t>Gary Comer Foundation; CNRS; College de France</t>
  </si>
  <si>
    <t>Gary Comer Foundation; CNRS(Centre National de la Recherche Scientifique (CNRS)); College de France</t>
  </si>
  <si>
    <t>We thank D. P. Schrag and E. Goddard for their help with analyses in the early stages of this work. We thank C. Sonzogni, F. Rostek, N. Thouveny and J. Carignan for help with analyses and age model, and D. Sansom for help with the figures. We also thank H. Gildor, Y. Ashkenazy, R. Toggweiler, M. Meredith, M.-F. Loutre, P. Huybers and N. Edwards for comments and discussion on an earlier version of this manuscript. R. E. M. R. is grateful to the Royal Society for the International Outgoing Visit award for the exchange visits to CEREGE, which facilitated the development of the ideas and the manuscript. Palaeoclimate work at CEREGE is supported by grants from the Gary Comer Foundation, the CNRS and the College de France. Core MD962077 was collected by the RV Marion Dufresne supported by the Institut Polaire Francais (IPEV).</t>
  </si>
  <si>
    <t>JUL 16</t>
  </si>
  <si>
    <t>U93</t>
  </si>
  <si>
    <t>10.1038/nature08189</t>
  </si>
  <si>
    <t>470MO</t>
  </si>
  <si>
    <t>WOS:000267979000035</t>
  </si>
  <si>
    <t>Silva, N; Rojas, N; Fedele, A</t>
  </si>
  <si>
    <t>Silva, Nelson; Rojas, Nora; Fedele, Aldo</t>
  </si>
  <si>
    <t>Water masses in the Humboldt Current System: Properties, distribution, and the nitrate deficit as a chemical water mass tracer for Equatorial Subsurface Water off Chile</t>
  </si>
  <si>
    <t>Salinity; Dissolved oxygen; Nutrients; Water masses; Nitrate deficit; Chemical water mass tracer; Eastern South Pacific; Peru; Chile</t>
  </si>
  <si>
    <t>ANTARCTIC INTERMEDIATE WATER; CHLOROPHYLL-A DISTRIBUTION; OCEANOGRAPHIC CONDITIONS; UPWELLING REGION; NORTHERN CHILE; EL-NINO; DENITRIFICATION; CIRCULATION; OCEAN; OXYGEN</t>
  </si>
  <si>
    <t>Three sections are used to analyze the physical and chemical characteristics of the water masses in the eastern South Pacific and their distributions. Oceanographic data were taken from the SCORPIO (May-June 1967), PIQUERO (May-June 1969), and KRILL (June 1974) cruises. Vertical sections of temperature, salinity, sigma(theta), dissolved oxygen, nitrate, nitrite, phosphate, and silicate were used to analyze the water column structure. Five water masses were identified in the zone through T-S diagrams: Subantarctic Water, Subtropical Water, Equatorial Subsurface Water, Antarctic Intermediate Water, and Pacific Deep Water. Their proportions in the sea water mixture are calculated using the mixing triangle method. Vertical sections were used to describe the geographical distributions of the water mass cores in the upper 1500 m. Several characteristic oceanographic features in the study area were analyzed: the shallow salinity minimum displacement towards the equator, the equatorial subsurface salinity maximum associated with a dissolved oxygen minimum zone and a high nutrient content displacement towards the south, and the equatorward intermediate Antarctic salinity minimum associated with a dissolved oxygen maximum. The nitrate deficit generated in the denitrification area off Peru and northern Chile is proposed as a conservative chemical tracer for the Equatorial Subsurface Waters off the coast of Chile, south of 25 degrees S. (C) 2009 Elsevier Ltd. All rights reserved.</t>
  </si>
  <si>
    <t>[Silva, Nelson; Rojas, Nora; Fedele, Aldo] Pontificia Univ Catolica Valparaiso, Escuela Ciencias Mar, Lab Biogeoquim Marina, Valparaiso, Chile</t>
  </si>
  <si>
    <t>Pontificia Universidad Catolica de Valparaiso</t>
  </si>
  <si>
    <t>Silva, N (corresponding author), Pontificia Univ Catolica Valparaiso, Escuela Ciencias Mar, Lab Biogeoquim Marina, Casilla 1020, Valparaiso, Chile.</t>
  </si>
  <si>
    <t>nsilva@ucv.cl</t>
  </si>
  <si>
    <t>JUL 15</t>
  </si>
  <si>
    <t>10.1016/j.dsr2.2008.12.013</t>
  </si>
  <si>
    <t>474HB</t>
  </si>
  <si>
    <t>WOS:000268272100002</t>
  </si>
  <si>
    <t>Fuenzalida, R; Schneider, W; Garcés-Vargas, J; Bravo, L; Lange, C</t>
  </si>
  <si>
    <t>Fuenzalida, Rosalino; Schneider, Wolfgang; Garces-Vargas, Jose; Bravo, Luis; Lange, Carina</t>
  </si>
  <si>
    <t>Vertical and horizontal extension of the oxygen minimum zone in the eastern South Pacific Ocean</t>
  </si>
  <si>
    <t>Oxygen minimum zone; Dissolved oxygen; Coastal upwelling; Eastern South Pacific; Peru; Chile</t>
  </si>
  <si>
    <t>EL-NINO; HYPOXIA; WATER; ECOSYSTEM; SYSTEM; FLOW</t>
  </si>
  <si>
    <t>Recent hydrographic measurements within the eastern South Pacific (1999-2001) were combined with vertically high-resolution data from the World Ocean Circulation Experiment, high-resolution profiles and bottle casts from the World Ocean Database 2001, and the World Ocean Atlas 2001 in order to evaluate the vertical and horizontal extension of the oxygen minimum zone (&lt;20 mu mol kg(-1)). These new calculations estimate the total area and volume of the oxygen minimum zone to be 9.82 +/- 3.60 x 10(6) km(2) and 2.18 +/- 0.66 x 10(6) km(3), respectively. The oxygen minimum zone is thickest (&gt; 600 m) off Peru between 5 and 13 degrees S and to about 1000 km offshore. Its upper boundary is shallowest (&lt; 150 m) off Peru, shoaling towards the coast and extending well into the euphotic zone in some places. Offshore, the thickness and meridional extent of the oxygen minimum zone decrease until it finally vanishes at 140 degrees W between 2 degrees and 8 degrees S. Moving southward along the coast of South America, the zonal extension of the oxygen minimum zone gradually diminishes from 3000 km (15 degrees S) to 1200 km (20 degrees S) and then to 25 km (30 degrees S); only a thin band is detected at similar to 37 degrees S off Concepcion, Chile. Simultaneously, the oxygen minimum zone's maximum thickness decreases from 300 m (20 degrees S) to less than 50 m (south of 30 degrees S). The spatial distribution of Ekman suction velocity and oxygen minimum zone thickness correlate well, especially in the core. Off Chile, the eastern South Pacific Intermediate Water mass introduces increased vertical stability into the upper water column, complicating ventilation of the oxygen minimum zone from above. In addition, oxygen-enriched Antarctic Intermediate Water clashes with the oxygen minimum zone at around 30 degrees S, causing a pronounced sub-surface oxygen front. The new estimates of vertical and horizontal oxygen minimum zone distribution in the eastern South Pacific complement the global quantification of naturally hypoxic continental margins by Helly and Levin [2004. Global distribution of naturally occurring marine hypoxia on continental margins. Deep-Sea Research 151, 1159-1168] and provide new baseline data useful for studies on the role of oxygen in the degradation of organic matter in the water column and the related implications for biogeochemical cycles. Coastal upwelling zones along the eastern Pacific combine with general circulation to provide a mechanism that allows renewal of upper Pacific Deep Water, the most oxygen-poor and oldest water mass of the world oceans. (C) 2008 Elsevier Ltd. All rights reserved.</t>
  </si>
  <si>
    <t>[Fuenzalida, Rosalino] Univ Arturo Prat, Dept Ciencias Mar, Ave Arturo Prat 2120,Casilla 121, Iquique, Chile; [Fuenzalida, Rosalino] Univ Concepcion, Dept Oceanog, Programa Postgrad Oceanog, Concepcion, Chile; [Fuenzalida, Rosalino; Schneider, Wolfgang; Garces-Vargas, Jose; Bravo, Luis; Lange, Carina] Univ Concepcion, Ctr Invest Oceanog Pacifico Oriental FONDAP COPAS, Concepcion, Chile; [Schneider, Wolfgang; Lange, Carina] Univ Concepcion, Dept Oceanog, Fac Ciencias Nat &amp; Oceanog, Concepcion, Chile; [Garces-Vargas, Jose] Univ Austral Chile, Inst Biol Marina Dr Jurgen Winter, Valdivia, Chile</t>
  </si>
  <si>
    <t>Universidad Arturo Prat; Universidad de Concepcion; Universidad de Concepcion; Universidad de Concepcion; Universidad Austral de Chile</t>
  </si>
  <si>
    <t>Fuenzalida, R (corresponding author), Univ Arturo Prat, Dept Ciencias Mar, Ave Arturo Prat 2120,Casilla 121, Iquique, Chile.</t>
  </si>
  <si>
    <t>rfuenzal@unap.cl</t>
  </si>
  <si>
    <t>Bravo, Luis/AAE-5790-2019; Garces-Vargas, Jose JGV/F-8219-2013; Lange, Carina/AHC-2015-2022; Garces-Vargas, Jose/B-4692-2008</t>
  </si>
  <si>
    <t>Bravo, Luis/0000-0002-2772-504X; Lange, Carina/0000-0002-2916-4207; Garces-Vargas, Jose/0000-0002-6542-9348</t>
  </si>
  <si>
    <t>universities Arturo Prat and Concepcion; Chilean National Research Council; FONDAP-COPAS [15010007]; MECESUP/UAP001 scholarship program from 2002 to 2004</t>
  </si>
  <si>
    <t>universities Arturo Prat and Concepcion; Chilean National Research Council; FONDAP-COPAS(Comision Nacional de Investigacion Cientifica y Tecnologica (CONICYT)CONICYT FONDAP); MECESUP/UAP001 scholarship program from 2002 to 2004</t>
  </si>
  <si>
    <t>This work was supported by the universities Arturo Prat and Concepcion, and by the Chilean National Research Council through the FONDAP-COPAS Center (Project no. 15010007). R. Fuenzalida was financed by the MECESUP/UAP001 scholarship program from 2002 to 2004. We acknowledge the Comite Oceanografico Nacional (National Oceanographic Committee) of Chile for the CIMAR 5 and CIMAR 6 cruises.</t>
  </si>
  <si>
    <t>10.1016/j.dsr2.2008.11.001</t>
  </si>
  <si>
    <t>WOS:000268272100005</t>
  </si>
  <si>
    <t>Quiroga, E; Sellanes, J; Arntz, WE; Gerdes, D; Gallardo, VA; Hebbeln, D</t>
  </si>
  <si>
    <t>Quiroga, Eduardo; Sellanes, Javier; Arntz, Wolf E.; Gerdes, Dieter; Gallardo, Victor A.; Hebbeln, Dierk</t>
  </si>
  <si>
    <t>Benthic megafaunal and demersal fish assemblages on the Chilean continental margin: The influence of the oxygen minimum zone on bathymetric distribution</t>
  </si>
  <si>
    <t>Oxygen minimum zone; Benthic megafauna; Bathyal; Humboldt Current system; Chile</t>
  </si>
  <si>
    <t>DECAPOD CRUSTACEANS; COMMUNITY STRUCTURE; METHANE SEEPAGE; ORGANIC-MATTER; BIOMASS; SEA; SHELF; SOUTH; PATTERNS; ECOLOGY</t>
  </si>
  <si>
    <t>Benthic megafaunal and demersal fish assemblages were sampled in three areas off Chile during the German-Chilean Expedition PUCK (SO-156) onboard the R/V Sonne from March to May 2001, at depths ranging from 120 to 2201 m. These samples, taken with an Agassiz trawl, are among the deepest ever taken in Chilean waters. A total of 147 species were recorded, mainly decapod crustaceans (Galatheidae, Pandalidae, Crangonidae), gastropods (Trochidae, Muricidae, Volutidae), ophiuroids (Asteronychidae, Gorgonocephalidae, Ophiolepididae, Ophiurinae), asteroids (Pterasteridae, Solasteridae, Goniopectinidae), polychaetes (Onuphidae, Aphroditidae, Maldanidae), and demersal fish (Macrouridae, lpnopidae, Squalidae). Species richness and rarefaction analyses suggest that the fauna was undersampled. From the 147 species identified in this study, 36 species (24.5%) occurred only once and another 24 species occurred only twice (16.3%). Depth and dissolved oxygen levels were found to be the main factors influencing megafaunal changes along the continental shelf and in bathyal areas, as indicated by principal component and Pearson's correlation analyses. Some species appear to be limited to distinct areas in the upper and lower bathyal zones, whereas other species have a wider range, extending from the continental shelf to lower bathyal zones. Biogeographic relations exist with the Pacific, South Atlantic, and Southern Oceans, but the latter seem to be weaker than would be expected considering the connection by Antarctic intermediate water. (C) 2008 Published by Elsevier Ltd.</t>
  </si>
  <si>
    <t>[Quiroga, Eduardo] CIEP, Coyhaique, Chile; [Sellanes, Javier] Univ Catolica Norte, Dept Biol Marina, Coquimbo, Chile; [Arntz, Wolf E.; Gerdes, Dieter] Alfred Wegener Inst Polar &amp; Marine Res, D-27568 Bremerhaven, Germany; [Sellanes, Javier] Univ Concepcion, Dept Oceanog, Concepcion, Chile; [Sellanes, Javier] Univ Concepcion, Ctr Invest Oceanog Pacifico Oriental FONDAP COPAS, Concepcion, Chile; [Gallardo, Victor A.] Univ Concepcion, Lab Bentos, Concepcion, Chile; [Hebbeln, Dierk] Univ Bremen, D-28334 Bremen, Germany</t>
  </si>
  <si>
    <t>Universidad Catolica del Norte; Helmholtz Association; Alfred Wegener Institute, Helmholtz Centre for Polar &amp; Marine Research; Universidad de Concepcion; Universidad de Concepcion; Universidad de Concepcion; University of Bremen</t>
  </si>
  <si>
    <t>Quiroga, E (corresponding author), CIEP, Bilbao 449, Coyhaique, Chile.</t>
  </si>
  <si>
    <t>eduardo.quiroga@ciep.cl</t>
  </si>
  <si>
    <t>Sellanes, Javier/I-5722-2012; Sellanes, Javier/P-4699-2019; Hebbeln, Dierk/P-9766-2016</t>
  </si>
  <si>
    <t>Sellanes, Javier/0000-0002-6942-0762; Sellanes, Javier/0000-0002-6942-0762; Hebbeln, Dierk/0000-0001-5099-6115</t>
  </si>
  <si>
    <t>German BMBF [03GO156A]; FONDAP Humboldt Program 1997-2000; International Bureau of the BMBF [CHL01/010]; COPAS center (CONICYT, Chile)</t>
  </si>
  <si>
    <t>German BMBF(Federal Ministry of Education &amp; Research (BMBF)); FONDAP Humboldt Program 1997-2000(Comision Nacional de Investigacion Cientifica y Tecnologica (CONICYT)CONICYT FONDAP); International Bureau of the BMBF(Federal Ministry of Education &amp; Research (BMBF)); COPAS center (CONICYT, Chile)(Comision Nacional de Investigacion Cientifica y Tecnologica (CONICYT))</t>
  </si>
  <si>
    <t>We thank all participants of the R/V Sonne 156 Cruise (PUCK Expedition 2001) who contributed to the success of this study. The expedition was funded by the German BMBF (No. 03GO156A) and organized in the framework of the FONDAP Humboldt Program 1997-2000 (CONICYT, Chile). Ongoing cooperation between the AW) and UdeC was funded by the International Bureau of the BMBF (Project No. CHL01/010). This research was funded by the COPAS center (CONICYT, Chile). The CIEP center (Gobierno regional de Aysen, BIP, No. 3004258-0) and the Census of Marine Life and affiliated field project COMARGE are thnaked for support given during the writing phase of this work. Taxonomic assistance was provided by Guillermo Guzman (crustaceans), Dr. Maritza Palma (polychaetes), Cynthia Lara de Castro Manso (ophiuroids), and Milton Pedraza and Dr. Ciro Oyarzon (fishes). We acknowledge the comments of two anonymous reviewers that helped to improve previous versions of this work.</t>
  </si>
  <si>
    <t>10.1016/j.dsr2.2008.09.010</t>
  </si>
  <si>
    <t>WOS:000268272100008</t>
  </si>
  <si>
    <t>Kuhnert, H; Bickert, T; Paulsen, H</t>
  </si>
  <si>
    <t>Kuhnert, Henning; Bickert, Torsten; Paulsen, Harald</t>
  </si>
  <si>
    <t>Southern Ocean frontal system changes precede Antarctic ice sheet growth during the middle Miocene</t>
  </si>
  <si>
    <t>middle Miocene; Southern Ocean; Mg/Ca; stable isotopes; Subantarctic Front</t>
  </si>
  <si>
    <t>DEEP-WATER CIRCULATION; SEA-SURFACE TEMPERATURE; ISOTOPE STRATIGRAPHY; ATLANTIC SECTOR; ODP SITE-1092; EVOLUTION; CLIMATE; OXYGEN; MAGNESIUM; SEAWATER</t>
  </si>
  <si>
    <t>The middle Miocene climate approximately 14 Ma ago was characterized by the glaciation of Antarctica, deep-ocean cooling and variations in the global carbon cycle. Although the Southern Ocean underwent significant oceanographic changes, there is limited information on their spatial extent and timing. However, such knowledge is crucial for understanding the role of the Southern Ocean and the Antarctic Circumpolar Current (ACC) for Antarctic glaciation and the coupling between the ocean and continental climate. We have reconstructed surface temperatures and seawater oxygen isotopes at Ocean Drilling Program (ODP) Site 1092 in the Polar Frontal Zone of the Atlantic sector of the Southern Ocean from foraminiferal oxygen isotopes (delta O-18) and magnesium to calcium ratios (Mg/Ca). Sea surface cooling by similar to 4 degrees C and freshening indicated by the similar to 1 parts per thousand reduction of seawater delta O-18 (delta O-18(sw)) at 14.2 Ma precede the major step in Antarctic ice sheet growth at 13.8-13.9 Ma. This pattern qualitatively mirrors previous findings from the Pacific sector, and we interpret the surface hydrographic changes to reflect the circum-Antarctic northward shift of the Southern Ocean fronts and specifically at Site 1092 the passage of the Subantarctic Front. The magnitude of change in reconstructed delta O-18(sw) requires a delta O-18(sw): salinity gradient significantly higher than the modern value (similar to 0.52 parts per thousand) and it possibly exceeded 1.1 parts per thousand. This implies the Polar Frontal Zone was influenced by freshwater derived from Antarctica, which in turn confirms higher than modern continental precipitation. The latter has previously been suggested to have contributed to Antarctic glaciation. (C) 2009 Elsevier B.V. All rights reserved.</t>
  </si>
  <si>
    <t>[Kuhnert, Henning; Bickert, Torsten; Paulsen, Harald] Univ Bremen, MARUM Ctr Marine Environm Sci, D-28334 Bremen, Germany</t>
  </si>
  <si>
    <t>Kuhnert, H (corresponding author), Univ Bremen, MARUM Ctr Marine Environm Sci, Postfach 330440, D-28334 Bremen, Germany.</t>
  </si>
  <si>
    <t>hkuhnert@uni-bremen.de; tbickert@marum.de; hpaulsen@uni-bremen.de</t>
  </si>
  <si>
    <t>Kuhnert, Henning/0000-0001-5242-4495</t>
  </si>
  <si>
    <t>DFG [Bi 657/4]</t>
  </si>
  <si>
    <t>We thank Monika Segl and her team for carrying out the stable isotope measurements. Matthias Prange, Petra Langebroek, and Jurgen Patzold are thanked for many fruitful discussions. This research used samples provided by the Ocean Drilling Program. This study was funded through DFG grant Bi 657/4. Constructive comments by two anonymous reviewers and the editor Peggy Delaney helped to improve the manuscript.</t>
  </si>
  <si>
    <t>10.1016/j.epsl.2009.05.030</t>
  </si>
  <si>
    <t>487NY</t>
  </si>
  <si>
    <t>WOS:000269282700036</t>
  </si>
  <si>
    <t>Schüpbach, S; Federer, U; Kaufmann, PR; Hutterli, MA; Buiron, D; Blunier, T; Fischer, H; Stocker, TF</t>
  </si>
  <si>
    <t>Schuepbach, Simon; Federer, Urs; Kaufmann, Patrik R.; Hutterli, Manuel A.; Buiron, Daphne; Blunier, Thomas; Fischer, Hubertus; Stocker, Thomas F.</t>
  </si>
  <si>
    <t>A New Method for High-Resolution Methane Measurements on Polar Ice Cores Using Continuous Flow Analysis</t>
  </si>
  <si>
    <t>ATMOSPHERIC CH4 GRADIENT; DOME-C; ANTARCTICA; GREENLAND; HOLOCENE; WATER; AIR; CO2</t>
  </si>
  <si>
    <t>Methane (CH(4)) is the second most important anthropogenic greenhouse gas in the atmosphere. Rapid variations of the CH(4) concentration, as frequently registered, for example during the last ice age, have been used as reliable time markers for the definition of a common time scale of polar ice cores. In addition, these variations indicate changes in the sources of methane primarily associated with the presence of wetlands. In order to determine the exact time evolution of such fast concentration changes, CH(4) measurements of the highest resoution in the ice core archive are required. Here,we present a new, semicontinuous and field-deployable CH(4) detection method, which was incorporated in a continuous flow analysis (CFA) system. In CFA, samples cut along the axis of an ice core are melted at a melt speed of typically 3.5 cm/min. The air from bubbles in the ice core is extracted continuously from the meltwater and forwarded to a gas chromatograph (GC) for high-resolution CH(4) Measurements, The GC performs a measurement every 3.5 min, hence, a depth resolution of 15 cm is achieved at the chosen melt rate. An even higher resolution is not necessary due to the low pass filtering of air in ice cores caused by the slow bubble enclosure process and the diffusion of air in firn. Reproducibility of the new method is 3%, thus, for a typical CH(4) concentration of 500 ppb during an ice age, this corresponds to an absolute precision of 15 ppb, comparable to traditional analyses on discrete samples. Results of CFA-CH(4) measurements on the ice core from Talos Dome (Antarctica) illustrate the much higher temporal resolution of our method compared with established melt-refreeze CH(4) measurements and demonstrate the feasibility of the new method.</t>
  </si>
  <si>
    <t>[Schuepbach, Simon; Federer, Urs; Kaufmann, Patrik R.; Fischer, Hubertus; Stocker, Thomas F.] Univ Bern, Inst Phys, CH-3012 Bern, Switzerland; [Schuepbach, Simon; Federer, Urs; Kaufmann, Patrik R.; Fischer, Hubertus; Stocker, Thomas F.] Univ Bern, Oeschger Ctr Climate Change Res, CH-3012 Bern, Switzerland; [Hutterli, Manuel A.] British Antarctic Survey, Cambridge CB3 0ET, England; CNRS, Lab Glaciol &amp; Geophys Environm, Grenoble, France; [Buiron, Daphne] Univ Grenoble, Grenoble, France; [Blunier, Thomas] Univ Copenhagen, Ctr Ice &amp; Climate, Niels Bohr Inst, DK-1168 Copenhagen, Denmark</t>
  </si>
  <si>
    <t>University of Bern; University of Bern; UK Research &amp; Innovation (UKRI); Natural Environment Research Council (NERC); NERC British Antarctic Survey; Communaute Universite Grenoble Alpes; Universite Grenoble Alpes (UGA); Centre National de la Recherche Scientifique (CNRS); Communaute Universite Grenoble Alpes; Universite Grenoble Alpes (UGA); University of Copenhagen; Niels Bohr Institute</t>
  </si>
  <si>
    <t>Schüpbach, S (corresponding author), Univ Bern, Inst Phys, CH-3012 Bern, Switzerland.</t>
  </si>
  <si>
    <t>schuepbach@climate.unibe.ch</t>
  </si>
  <si>
    <t>Stocker, Thomas F/B-1273-2013; Fischer, Hubertus/A-1211-2014; Blunier, Thomas/M-4609-2014</t>
  </si>
  <si>
    <t>Schupbach, Simon/0000-0003-3188-2635; Fischer, Hubertus/0000-0002-2787-4221; Blunier, Thomas/0000-0002-6065-7747</t>
  </si>
  <si>
    <t>Swiss National Science Foundation; Prince Albert II of Monaco Foundation; PNRA at Talos Dome; NERC [bas0100024] Funding Source: UKRI; Natural Environment Research Council [bas0100024] Funding Source: researchfish</t>
  </si>
  <si>
    <t>Swiss National Science Foundation(Swiss National Science Foundation (SNSF)); Prince Albert II of Monaco Foundation; PNRA at Talos Dome; NERC(UK Research &amp; Innovation (UKRI)Natural Environment Research Council (NERC)); Natural Environment Research Council(UK Research &amp; Innovation (UKRI)Natural Environment Research Council (NERC))</t>
  </si>
  <si>
    <t>Financial support by the Swiss National Science Foundation and by the Prince Albert II of Monaco Foundation is acknowledged. The Talos Dome Ice core Project (TALDICE), a joint European programme, is funded by national contributions from Italy, France, Germany, Switzerland, and the United Kingdom. Primary logistical support was provided by PNRA at Talos Dome. This is TALDICE publication no 4.</t>
  </si>
  <si>
    <t>10.1021/es9003137</t>
  </si>
  <si>
    <t>472NE</t>
  </si>
  <si>
    <t>WOS:000268138000035</t>
  </si>
  <si>
    <t>Miljeteig, C; Strom, H; Gavrilo, MV; Volkov, A; Jenssen, BM; Gabrielsen, GW</t>
  </si>
  <si>
    <t>Miljeteig, Cecilie; Strom, Hallvard; Gavrilo, Maria V.; Volkov, Andrey; Jenssen, Bjorn M.; Gabrielsen, Geir W.</t>
  </si>
  <si>
    <t>High Levels of Contaminants in Ivory Gull Pagophila eburnea Eggs from the Russian and Norwegian Arctic</t>
  </si>
  <si>
    <t>PERSISTENT ORGANIC POLLUTANTS; BROMINATED FLAME RETARDANTS; PERFLUORINATED ALKYL SUBSTANCES; POLYBROMINATED DIPHENYL ETHERS; TEMPORAL TRENDS; GLAUCOUS GULLS; LARUS-HYPERBOREUS; SEABIRD EGGS; ORGANOCHLORINE CONTAMINANTS; STABLE ISOTOPES</t>
  </si>
  <si>
    <t>We found high levels of contaminants, in particular organochlorines, in eggs of the ivory gull Pagophila eburnea, a high Arctic seabird species threatened by climate change and contaminants. An 80% decline in the ivory gull breeding population in the Canadian Arctic the last two decades has been documented. Because of the dependence of the ivory gull on sea ice and its high trophic position, suggested environmental threats are climate change and contaminants. The present study investigated contaminant levels (organochlorines, brominated flame retardants, perfluorinated alkyl substances, and mercury) in ivory gull eggs from four colonies in the Norwegian (Svalbard) and Russian Arctic (Franz Josef Land and Severnaya Zemlya). The contaminant levels presented here are among the highest reported in Arctic seabird species, and we identify this as an important stressor in a species already at risk due to environmental change.</t>
  </si>
  <si>
    <t>[Miljeteig, Cecilie; Strom, Hallvard; Gabrielsen, Geir W.] Norwegian Polar Res Inst, N-9296 Tromso, Norway; [Jenssen, Bjorn M.] Norwegian Univ Sci &amp; Technol, Dept Biol, N-7491 Trondheim, Norway; [Gavrilo, Maria V.] Arctic &amp; Antarctic Res Inst, St Petersburg, Russia; [Volkov, Andrey] Fund Sustainable Dev, Moscow, Russia</t>
  </si>
  <si>
    <t>Norwegian Polar Institute; Norwegian University of Science &amp; Technology (NTNU); Arctic &amp; Antarctic Research Institute</t>
  </si>
  <si>
    <t>Miljeteig, C (corresponding author), Norwegian Polar Res Inst, N-9296 Tromso, Norway.</t>
  </si>
  <si>
    <t>cecilie.miljeteig@bio.ntnu.no</t>
  </si>
  <si>
    <t>Jenssen, Bjorn Munro/O-3217-2019; Gabrielsen, Geir Wing/JDC-6415-2023; Gavrilo, Maria V/R-7091-2016</t>
  </si>
  <si>
    <t>Jenssen, Bjorn Munro/0000-0002-7042-2191; Gavrilo, Maria V/0000-0002-3500-9617; Miljeteig, Cecilie/0000-0003-1527-1703; Andrey E., Volkov/0000-0001-5140-0715</t>
  </si>
  <si>
    <t>Norwegian Ministry of the Environment; Norwegian Polar Institute; Norwegian Pollution Control Authority; Governor of Svalbard</t>
  </si>
  <si>
    <t>We thank Vidar Bakken, Audun Igesund, and Elena Volkova for their assistance with collection of samples. We also thank Thor Waaler (National Veterinary Institute) for carrying out the mercury analyses, Urs Berger (Stockholm University) for performing the PFAS analyses, and Katharina Biarnar Loken and Kine Bzek (Norwegian School of Veterinary Science) for work on the OC and BFR analyses. We also thank four anonymous reviewers for valuable comments-bn an earlier draft and James Speed for improvements in the language. Funding for this study was provided by the Norwegian Ministry of the Environment, the Norwegian Polar Institute, the Norwegian Pollution Control Authority, and the Governor of Svalbard.</t>
  </si>
  <si>
    <t>10.1021/es900490n</t>
  </si>
  <si>
    <t>WOS:000268138000058</t>
  </si>
  <si>
    <t>Cannone, N; Guglielmin, M</t>
  </si>
  <si>
    <t>Cannone, Nicoletta; Guglielmin, Mauro</t>
  </si>
  <si>
    <t>Influence of vegetation on the ground thermal regime in continental Antarctica</t>
  </si>
  <si>
    <t>GEODERMA</t>
  </si>
  <si>
    <t>Vegetation; Ground thermal regime; Active layer; Climate change; Antarctica</t>
  </si>
  <si>
    <t>SOUTHERN VICTORIA LAND; ACTIVE-LAYER; LATITUDINAL GRADIENT; CLIMATE-CHANGE; CO2 EXCHANGE; KAR PLATEAU; N-FACTOR; PERMAFROST; ALASKA; FLORA</t>
  </si>
  <si>
    <t>Antarctica provides natural models that are influenced exclusively by climate change and/or other natural processes because the anthropogenic effects are negligible. The key environmental components of these ecosystems consist of vegetation and the underlying permafrost. The surface energy balance and, consequently, the ground surface temperature (GST) and ground thermal regime (GTR) can be influenced by vegetation, as is well known in Arctic areas. The interactions between vegetation, GST, GTR and their potential ecological implications in Antarctica have only recently begun to develop. This paper aims to contribute towards closing the gap of knowledge of these interactions. It does so by considering different spatial (intra-site and inter-site variability) and temporal (seasonal versus annual) scales with reference to dry and wet Antarctic cryptogamic tundra. For this reason, two sites and seven plots (bare ground versus vegetated ground) were instrumented and monitored in Victoria Land (continental Antarctica) to measure the ground temperature at different depths during the summer, as well as during one complete year. Our results demonstrate for the first time for continental Antarctica that vegetation provides an insulating effect with a net cooling effect on the GST varying with the vegetation type, structure, coverage and thickness. Independently of the GST, the soil thermal characteristics constitute the driving factor in determining the thickness of the active layer. We discuss potential future implications of changes in the vegetation, ground thermal regime and permafrost in a climate change scenario, with reference to the activation of feedbacks through changes in the energy balance, in the permafrost conditions and controls over ecosystem C storage and fluxes. (C) 2009 Elsevier B.V. All rights reserved.</t>
  </si>
  <si>
    <t>[Cannone, Nicoletta] Univ Ferrara, Dept Biol &amp; Evolut, I-44100 Ferrara, Italy; [Guglielmin, Mauro] Univ Insubria Varese, DBSF, I-21100 Varese, Italy</t>
  </si>
  <si>
    <t>University of Ferrara; University of Insubria</t>
  </si>
  <si>
    <t>Cannone, N (corresponding author), Univ Ferrara, Dept Biol &amp; Evolut, Corso Ercole Este 32, I-44100 Ferrara, Italy.</t>
  </si>
  <si>
    <t>nicoletta.cannone@unife.it</t>
  </si>
  <si>
    <t>Cannone, Nicoletta/W-8651-2019</t>
  </si>
  <si>
    <t>Cannone, Nicoletta/0000-0002-3390-3965</t>
  </si>
  <si>
    <t>PNRA (Progetto Nazionale di Ricerca in Antartide)</t>
  </si>
  <si>
    <t>The authors wish to thank PNRA (Progetto Nazionale di Ricerca in Antartide) for providing the funding and the opportunity to undertake this research, as well as logistical support.</t>
  </si>
  <si>
    <t>0016-7061</t>
  </si>
  <si>
    <t>1872-6259</t>
  </si>
  <si>
    <t>Geoderma</t>
  </si>
  <si>
    <t>10.1016/j.geoderma.2009.04.007</t>
  </si>
  <si>
    <t>470XU</t>
  </si>
  <si>
    <t>WOS:000268016600018</t>
  </si>
  <si>
    <t>Austin, J; Wilson, RJ; Akiyoshi, H; Bekki, S; Butchart, N; Claud, C; Fomichev, VI; Forster, P; Garcia, RR; Gillett, NP; Keckhut, P; Langematz, U; Manzini, E; Nagashima, T; Randel, WJ; Rozanov, E; Shibata, K; Shine, KP; Struthers, H; Thompson, DWJ; Wu, F; Yoden, S</t>
  </si>
  <si>
    <t>Austin, J.; Wilson, R. J.; Akiyoshi, H.; Bekki, S.; Butchart, N.; Claud, C.; Fomichev, V. I.; Forster, P.; Garcia, R. R.; Gillett, N. P.; Keckhut, P.; Langematz, U.; Manzini, E.; Nagashima, T.; Randel, W. J.; Rozanov, E.; Shibata, K.; Shine, K. P.; Struthers, H.; Thompson, D. W. J.; Wu, F.; Yoden, S.</t>
  </si>
  <si>
    <t>Coupled chemistry climate model simulations of stratospheric temperatures and their trends for the recent past</t>
  </si>
  <si>
    <t>INTERACTIVE CHEMISTRY; OZONE; VARIABILITY; VALIDATION; AEROSOL</t>
  </si>
  <si>
    <t>Temperature results from multi-decadal simulations of coupled chemistry climate models for the recent past are analyzed using multi-linear regression including a trend, solar cycle, lower stratospheric tropical wind, and volcanic aerosol terms. The climatology of the models for recent years is in good agreement with observations for the troposphere but the model results diverge from each other and from observations in the stratosphere. Overall, the models agree better with observations than in previous assessments, primarily because of corrections in the observed temperatures. The annually averaged global and polar temperature trends simulated by the models are generally in agreement with revised satellite observations and radiosonde data over much of their altitude range. In the global average, the model trends underpredict the radiosonde data slightly at the top of the observed range. Over the Antarctic some models underpredict the temperature trend in the lower stratosphere, while others overpredict the trends. Citation: Austin, J., et al. (2009), Coupled chemistry climate model simulations of stratospheric temperatures and their trends for the recent past, Geophys. Res. Lett., 36, L13809, doi: 10.1029/2009GL038462.</t>
  </si>
  <si>
    <t>[Austin, J.; Wilson, R. J.] NOAA, Geophys Fluid Dynam Lab, Princeton, NJ 08542 USA; [Akiyoshi, H.; Nagashima, T.] Natl Inst Environm Studies, Tsukuba, Ibaraki 3050053, Japan; [Manzini, E.] Inst Natl Geofis &amp; Vulcanol, I-40128 Bologna, Italy; [Forster, P.] Univ Leeds, Inst Atmospher Sci, Leeds LS2 9JT, W Yorkshire, England; [Manzini, E.] Ctr Euromediterraneo &amp; Cambiamenti Climat, Bologna, Italy; [Manzini, E.] Inst Natl Geofis &amp; Vulcanol, Bologna, Italy; [Garcia, R. R.; Randel, W. J.; Wu, F.] Natl Ctr Atmospher Res, Div Atmospher Chem, Boulder, CO 80307 USA; [Struthers, H.] NIWA, Omakau 9352, Central Otago, New Zealand; [Yoden, S.] Kyoto Univ, Dept Geophys, Kyoto 6068502, Japan; [Thompson, D. W. J.] Colorado State Univ, Dept Atmospher Sci, Ft Collins, CO 80523 USA; [Shibata, K.] Meteorol Res Inst, Tsukuba, Ibaraki 3050052, Japan; [Rozanov, E.] PMOD WRC, CH-7260 Davos, Switzerland; [Shine, K. P.] Univ Reading, Dept Meteorol, Reading RG6 6BB, Berks, England; [Rozanov, E.] IAC ETHZ, Davos, Switzerland; [Fomichev, V. I.] York Univ, ESSE, Toronto, ON M3J 1P3, Canada; [Langematz, U.] Free Univ Berlin, Inst Meteorol, D-12165 Berlin, Germany; [Keckhut, P.] CNRS, Serv Aeron, F-91371 Verrieres Le Buisson, France; [Gillett, N. P.] Univ Victoria, Environm Canada, Canadian Ctr Climate Modelling &amp; Anal, Victoria, BC V8W 3V6, Canada; [Gillett, N. P.] Univ Victoria, Canadian Ctr Climate Modelling, STN CSC, Victoria, BC V8W 3V6, Canada; [Claud, C.] Ecole Polytech, CNRS, Lab Meteorol Dynam IPSL, F-91128 Palaiseau, France; [Butchart, N.] Met Off, Div Climate Res, Exeter EX1 3PB, Devon, England; [Bekki, S.] Univ Paris 06, CNRS, Inst Pierre Simon Laplace, Serv Aeron, F-75252 Paris 05, France</t>
  </si>
  <si>
    <t>National Oceanic Atmospheric Admin (NOAA) - USA; National Institute for Environmental Studies - Japan; Istituto Nazionale Geofisica e Vulcanologia (INGV); University of Leeds; Istituto Nazionale Geofisica e Vulcanologia (INGV); National Center Atmospheric Research (NCAR) - USA; National Institute of Water &amp; Atmospheric Research (NIWA) - New Zealand; Kyoto University; Colorado State University; Meteorological Research Institute - Japan; University of Reading; Swiss Federal Institutes of Technology Domain; ETH Zurich; York University - Canada; Free University of Berlin; Centre National de la Recherche Scientifique (CNRS); University of Victoria; Environment &amp; Climate Change Canada; Canadian Centre for Climate Modelling &amp; Analysis (CCCma); University of Victoria; Environment &amp; Climate Change Canada; Canadian Centre for Climate Modelling &amp; Analysis (CCCma); Institut Polytechnique de Paris; Sorbonne Universite; Centre National de la Recherche Scientifique (CNRS); Met Office - UK; Universite Paris Cite; Centre National de la Recherche Scientifique (CNRS); CNRS - National Institute for Earth Sciences &amp; Astronomy (INSU); Sorbonne Universite; Universite Paris Saclay</t>
  </si>
  <si>
    <t>Austin, J (corresponding author), NOAA, Geophys Fluid Dynam Lab, Princeton, NJ 08542 USA.</t>
  </si>
  <si>
    <t>john.austin@noaa.gov</t>
  </si>
  <si>
    <t>Thompson, David/C-3520-2008; Thompson, David W J/F-9627-2012; Manzini, Elisa/H-5760-2011; Forster, Piers/F-9829-2010; YODEN, SHIGEO/P-9065-2014; bekki, slimane/J-7221-2015; Akiyoshi, Hideharu/H-8170-2018; Randel, William J/K-3267-2016; Keckhut, Philippe/AFO-0077-2022; Rozanov, Eugene/V-1881-2018; Rozanov, Eugene/A-9857-2012; Shine, Keith/D-9093-2012</t>
  </si>
  <si>
    <t>Thompson, David W J/0000-0002-5413-4376; Forster, Piers/0000-0002-6078-0171; bekki, slimane/0000-0002-5538-0800; Rozanov, Eugene/0000-0003-0479-4488; Rozanov, Eugene/0000-0003-0479-4488; Shine, Keith/0000-0003-2672-9978; Akiyoshi, Hideharu/0000-0001-6463-9004; Claud, Chantal/0000-0001-7613-9525; FORSTER, Philippe/0009-0002-2679-8316</t>
  </si>
  <si>
    <t>Economic and Social Research Council [ES/G021694/1] Funding Source: researchfish; Natural Environment Research Council [NE/E010164/1] Funding Source: researchfish; ESRC [ES/G021694/1] Funding Source: UKRI; NERC [NE/E010164/1] Funding Source: UKRI</t>
  </si>
  <si>
    <t>Economic and Social Research Council(UK Research &amp; Innovation (UKRI)Economic &amp; Social Research Council (ESRC)); Natural Environment Research Council(UK Research &amp; Innovation (UKRI)Natural Environment Research Council (NERC)); ESRC(UK Research &amp; Innovation (UKRI)Economic &amp; Social Research Council (ESRC)); NERC(UK Research &amp; Innovation (UKRI)Natural Environment Research Council (NERC))</t>
  </si>
  <si>
    <t>JUL 14</t>
  </si>
  <si>
    <t>L13809</t>
  </si>
  <si>
    <t>10.1029/2009GL038462</t>
  </si>
  <si>
    <t>500HK</t>
  </si>
  <si>
    <t>WOS:000270289300003</t>
  </si>
  <si>
    <t>McGuinness, MJ; Williams, MJM; Langhorne, PJ; Purdie, C; Crook, J</t>
  </si>
  <si>
    <t>McGuinness, M. J.; Williams, M. J. M.; Langhorne, P. J.; Purdie, C.; Crook, J.</t>
  </si>
  <si>
    <t>Frazil deposition under growing sea ice</t>
  </si>
  <si>
    <t>ANTARCTIC FAST-ICE; BOUNDARY-LAYER; MCMURDO SOUND; STRUCTURAL CHARACTERISTICS; PLATELET ICE; WEDDELL SEA; DYNAMICS; OCEAN; SEDIMENT; GROWTH</t>
  </si>
  <si>
    <t>Platelet ice may be an important component of Antarctic landfast sea ice. Typically, it is found at depth in first-year landfast sea ice cover, near ice shelves. To explain why platelet ice is not commonly observed at shallower depths, we consider a new mechanism. Our hypothesis is that platelet ice eventually appears due to the sudden deposition of frazil ice against the fast ice-ocean interface, providing randomly oriented nucleation sites for crystal growth. Brine rejected in plumes from landfast ice generates stirring sufficient to prevent frazil ice from attaching to the interface, forcing some of it to remain in suspension until ice growth rate and brine rejection slow to the point that frazil can stick. We calculate a brine plume velocity and match this to frazil rise velocity. We consider both laminar and turbulent environments. We find that brine plume velocities are generally powerful enough to prevent a significant range of frazil sizes from sticking in the case of laminar flow and that, in the turbulent case, there may be a critical ice thickness at which most remaining circulating frazil suddenly settles.</t>
  </si>
  <si>
    <t>[McGuinness, M. J.] Korea Adv Inst Sci &amp; Technol, Dept Math Sci, Taejon 305701, South Korea; [McGuinness, M. J.; Crook, J.] Victoria Univ Wellington, Sch Math Stat &amp; Operat Res, Wellington 6140, New Zealand; [Langhorne, P. J.; Purdie, C.] Univ Otago, Dept Phys, Dunedin 9054, New Zealand; [Williams, M. J. M.] Natl Inst Water &amp; Atmospher Res, Marine Phys Grp, Wellington 6021, New Zealand</t>
  </si>
  <si>
    <t>Korea Advanced Institute of Science &amp; Technology (KAIST); Victoria University Wellington; University of Otago; National Institute of Water &amp; Atmospheric Research (NIWA) - New Zealand</t>
  </si>
  <si>
    <t>McGuinness, MJ (corresponding author), Korea Adv Inst Sci &amp; Technol, Dept Math Sci, Taejon 305701, South Korea.</t>
  </si>
  <si>
    <t>mark.mcguinness@vuw.ac.nz; m.williams@niwa.co.nz; pjl@physics.otago.ac.nz; craigp@physics.otago.ac.nz; calljohno1@yahoo.com</t>
  </si>
  <si>
    <t>Williams, Michael/H-9674-2014; Langhorne, Pat/C-3539-2018</t>
  </si>
  <si>
    <t>Langhorne, Pat/0000-0003-0239-7657; McGuinness, Mark/0000-0003-1860-6177</t>
  </si>
  <si>
    <t>Marsden Fund of New Zealand; University of Otago in New Zealand; Korea Advanced Institute of Science and Technology in South Korea; Victoria University of Wellington in New Zealand</t>
  </si>
  <si>
    <t>Marsden Fund of New Zealand(Royal Society of New ZealandMarsden Fund (NZ)); University of Otago in New Zealand; Korea Advanced Institute of Science and Technology in South Korea; Victoria University of Wellington in New Zealand</t>
  </si>
  <si>
    <t>The authors would like to thank the Marsden Fund of New Zealand, the University of Otago in New Zealand, the Korea Advanced Institute of Science and Technology in South Korea, and the Victoria University of Wellington in New Zealand for the support that enabled this work to proceed.</t>
  </si>
  <si>
    <t>C07014</t>
  </si>
  <si>
    <t>10.1029/2007JC004414</t>
  </si>
  <si>
    <t>495UI</t>
  </si>
  <si>
    <t>WOS:000269920100001</t>
  </si>
  <si>
    <t>Shaw, CT; Feinberg, LR; Peterson, WT</t>
  </si>
  <si>
    <t>Shaw, C. Tracy; Feinberg, Leah R.; Peterson, William T.</t>
  </si>
  <si>
    <t>Interannual variations in vital rates of copepods and euphausiids during the RISE study 2004-2006</t>
  </si>
  <si>
    <t>NORTHERN CALIFORNIA CURRENT; COLUMBIA RIVER PLUME; ANTARCTIC KRILL; HATCHING MECHANISM; PLANKTONIC COPEPOD; CALANUS-PACIFICUS; EGG-PRODUCTION; CENTRAL OREGON; BROOD SIZE; VARIABILITY</t>
  </si>
  <si>
    <t>The River Influences on Shelf Ecosystems (RISE) program investigated the role of the Columbia River plume in enhancing productivity in the upwelling zone off Washington during four cruises from 2004 to 2006. Measurements of growth rates and brood sizes of euphausiids and egg production rates of copepods were used as indices of secondary production to determine whether these rates differed (1) among cruises as a function of differences in upwelling strength and (2) with latitude, both within the RISE study area and between the coastal waters of Washington and Oregon. Euphausia pacifica growth rates were significantly higher during June 2006 than during July 2004 and June 2005 but not significantly different between the RISE study area and Newport Hydrographic (NH) Line, Oregon. Euphausiid brood sizes were significantly higher during August 2005 than during any other cruise for both E. pacifica and Thysanoessa spinifera; our experiments did not indicate that brood sizes were higher in the northern part of the RISE study region. E. pacifica broods were larger for NH than RISE, but T. spinifera broods were not. Significant differences in egg production rates (EPRs) were found among cruises for both Calanus pacificus and C. marshallae, with higher EPRs during August 2005. EPRs on other cruises were less than half the maximum rates known for these species. EPRs of C. marshallae were similar between RISE and NH; C. pacificus EPRs were significantly higher (lower) in the RISE region in 2005 (2006). Interannual differences in ocean conditions affected zooplankton production more strongly than differences in latitude.</t>
  </si>
  <si>
    <t>[Shaw, C. Tracy; Feinberg, Leah R.] Oregon State Univ, Cooperat Inst Marine Resources Studies, Newport, OR 97365 USA; [Peterson, William T.] NOAA, Natl Marine Fisheries Serv, NW Fisheries Sci Ctr, Newport, OR 97365 USA</t>
  </si>
  <si>
    <t>Oregon State University; National Aeronautics &amp; Space Administration (NASA); National Oceanic Atmospheric Admin (NOAA) - USA</t>
  </si>
  <si>
    <t>Shaw, CT (corresponding author), Oregon State Univ, Cooperat Inst Marine Resources Studies, 2030 SE Marine Sci Dr, Newport, OR 97365 USA.</t>
  </si>
  <si>
    <t>tracy.shaw@noaa.gov</t>
  </si>
  <si>
    <t>C00B08</t>
  </si>
  <si>
    <t>10.1029/2008JC004826</t>
  </si>
  <si>
    <t>WOS:000269920100002</t>
  </si>
  <si>
    <t>Bottaro, M; Ferrando, S; Ravera, S; Vacchi, M; Gallus, L; Gambardella, C; Tagliafierro, G</t>
  </si>
  <si>
    <t>Bottaro, Massimiliano; Ferrando, Sara; Ravera, Silvia; Vacchi, Marino; Gallus, Lorenzo; Gambardella, Chiara; Tagliafierro, Grazia</t>
  </si>
  <si>
    <t>First detection of neuropeptide Y (NPY)-like immunoreactivity in the lateral line: Presence and distribution in the neuromasts of the Antarctic notothenioid fish Trematomus bernacchii</t>
  </si>
  <si>
    <t>NEUROSCIENCE LETTERS</t>
  </si>
  <si>
    <t>Antarctic fish; Lateral line; Neuromast; Neuropeptide Y</t>
  </si>
  <si>
    <t>GENE-RELATED PEPTIDE; MOTTLED SCULPIN; SUBSTANCE-P; EVOLUTION; SYSTEM; LOCALIZATION; RHEOTAXIS; ZEBRAFISH; RESPONSES; EXPRESSION</t>
  </si>
  <si>
    <t>The mechanosensory lateral line (LL) is involved in many fish and amphibian behaviors, however little is known about the molecules involved in the signal transmission. Neuropeptide Y (NPY) has a number of functions in vertebrate physiology and also plays important roles in different sensory systems. The Antarctic nototheniods are a monophyletic radiation of fishes that have evolved under the extreme environmental conditions of low light and cold, where non-visual sensory structures, such as LL, are of importance. In this study we describe the presence of NPY-like immunoreactivity (IR) in LL of the Antarctic nototheniod fish, Trematomus bernacchii Boulenger. Differences in size and cellular composition between the two neuromasts were in compliance with previous descriptions of these sensory organs. Despite structural and functional differences between canal and superficial neuromasts, the distribution of NPY-like IR was similar within both the receptors classes. In particular, NPY IR was observed in all three cell types which constitute these sensory organs, allowing us to hypothesize the involvement of this molecule in the processing of the sensory information. (C) 2009 Elsevier Ireland Ltd. All rights reserved.</t>
  </si>
  <si>
    <t>[Bottaro, Massimiliano; Vacchi, Marino] Univ Genoa, ISPRA, Natl Antarctic Museum, I-16132 Genoa, Italy; [Bottaro, Massimiliano; Ferrando, Sara; Gallus, Lorenzo; Gambardella, Chiara; Tagliafierro, Grazia] Univ Genoa, LIBiOM, Dept Biol, I-16132 Genoa, Italy; [Ravera, Silvia] Univ Genoa, Biochem Lab, Dept Biol, I-16132 Genoa, Italy</t>
  </si>
  <si>
    <t>University of Genoa; University of Genoa; University of Genoa</t>
  </si>
  <si>
    <t>Bottaro, M (corresponding author), ISPRA, Via Casalotti 300, I-00166 Rome, Italy.</t>
  </si>
  <si>
    <t>m.bottaro@unige.it</t>
  </si>
  <si>
    <t>Gambardella, Chiara/AAA-6260-2022; Ferrando, Sara/AAC-9934-2022; Ravera, Silvia/AAA-7982-2019</t>
  </si>
  <si>
    <t>Gambardella, Chiara/0000-0002-6667-9242; Ferrando, Sara/0000-0002-5781-9709; Ravera, Silvia/0000-0002-0803-1042; Bottaro, Massimiliano/0000-0001-7995-5288</t>
  </si>
  <si>
    <t>PNRA (Italian National Antarctic Research Program); European Communities Council [86/609/EEC]</t>
  </si>
  <si>
    <t>PNRA (Italian National Antarctic Research Program); European Communities Council</t>
  </si>
  <si>
    <t>This work was financially supported by the PNRA (Italian National Antarctic Research Program). We are grateful to Laura Ghigliotti, Federico Mazzei, Eva Pisano (University of Genoa), Clive W. Evans, John A. Macdonald, Mike Taler (University of Auckland, NZ) and Arthur L. DeVries (University of Illinois at Urbana-Champaign, USA) for their collaboration at Terra Nova Bay. Special thanks to Carla J. L. Atkinson (University of Queensland, Australia) and Isabella Panfoli (University of Genoa) for her readily available help and suggestions during this study and to Alessandro Morelli (University of Genoa) for the logistic support. We are also grateful to an anonymous reviewer who greatly improved our work. Experiments were carried out in accordance with the European Communities Council Directive of 24 November 1986 (86/609/EEC).</t>
  </si>
  <si>
    <t>ELSEVIER IRELAND LTD</t>
  </si>
  <si>
    <t>CLARE</t>
  </si>
  <si>
    <t>ELSEVIER HOUSE, BROOKVALE PLAZA, EAST PARK SHANNON, CO, CLARE, 00000, IRELAND</t>
  </si>
  <si>
    <t>0304-3940</t>
  </si>
  <si>
    <t>1872-7972</t>
  </si>
  <si>
    <t>NEUROSCI LETT</t>
  </si>
  <si>
    <t>Neurosci. Lett.</t>
  </si>
  <si>
    <t>JUL 10</t>
  </si>
  <si>
    <t>10.1016/j.neulet.2009.01.063</t>
  </si>
  <si>
    <t>Neurosciences</t>
  </si>
  <si>
    <t>Neurosciences &amp; Neurology</t>
  </si>
  <si>
    <t>455LJ</t>
  </si>
  <si>
    <t>WOS:000266761000009</t>
  </si>
  <si>
    <t>Fang, AM; Liu, XH; Wang, WM; Huang, FX; Yu, LJ</t>
  </si>
  <si>
    <t>Fang, Aimin; Liu, Xiaohan; Wang, Weiming; Huang, Feixin; Yu, Lianjun</t>
  </si>
  <si>
    <t>Cenozoic terrestrial palynological assemblages in the glacial erratics from the Grove Mountains, east Antarctica</t>
  </si>
  <si>
    <t>East Antarctica; Grove Mountains; Glacial erratics; Spores and pollen; Neogene</t>
  </si>
  <si>
    <t>PLIOCENE SORSDAL FORMATION; TRANSANTARCTIC MOUNTAINS; SIRIUS GROUP; LAMBERT GRABEN; VESTFOLD HILLS; ICE-SHEET; STRATIGRAPHY; MARINE; RECORD; VEGETATION</t>
  </si>
  <si>
    <t>Fossiliferous glacial erratics have been found in moraines of the Grove Mountains, east Antarctica since 1998 by Chinese National Antarctic Research Expedition (CHNARE) teams. These erratics were derived from a suite of glaciogene strata hidden beneath the Antarctic Ice Sheet in the Lambert glacier drainage system, and thus provide a record of Cenozoic paleoenvironmental conditions and fossil biotas that are so far unknown from outcrops and drill cores in this region. By microfossil analysis, sparse Neogene spores and pollen grains are revealed, including: Toroisporis (Lygodiaceae), Granulatisporites (Pteridaceae?), Osmunda (Osmundaceae), Polypodiaceae, Magnastriatites (Parkeriaceae), Deltoidospora, Araucariaceae, Taxodiaceae, Podocarpus (Podocarpaceae), Dacrydium (Podocarpaceae), Pinus (Pinaceae), Keteleeria (Pinaceae), Picea (Pinaceae), Tsuga (Pinaceae), Chenopodiaceae, Artemisia (Asteraceae), Asteraceae, Gramineae, Fraxinoipollenites (Oleaceae), Oleoidearumpollenites (Oleaceae), Oleaceae, Operculumpollis, Nothofagidites (Nothofagus), Rhus, Quercus (Fagaceae), Juglans (Juglandaceae), Pterocarya (Juglandaceae), Liquidambar (Hamamelidaceae), Ulmus (Ulmaceae), Ulmoidepites (Ulmaceae), Tilia, Proteacidites (Proteaceae) and Tricolpopollenites; but without any marine diatoms. Most of the spores and pollen grains in the erratics are considered to originate from local sources except for some older exotic components that might be recycled from the basement sedimentary rocks by the ice sheet, so they are in situ sporo-palynological assemblages. Furthermore, since the source areas of the glaciogenic sedimentary rocks are assumed to be local or in the up glacier areas, the palynological assemblages in these erratics represent an inland terrestrial flora during a warmer period of the ice-sheet evolutionary history. The ages of these erratics are also discussed based on the occurrence of some diagnostic pollens such as the Artemisia, Chenopodiaceae and Nothofagus, which implies Neogene (most probably Pliocene). As a preliminary conclusion, we think that the existence of the Cenozoic glaciogenic rocks and their palynological assemblages present new evidence for a large scale glacial retreat event in the Grove Mountains of east Antarctica, and thus support a dynamic East Antarctic Ice Sheet (EAIS). Furthermore, the absence of marine fossils in the samples analyzed not only provides additional evidence for a terrestrial sedimentary environment of these erratics, but also indicates that there is no transportation of Cenozoic marine fossils from the adjacent areas of the Grove Mountains. (C) 2009 National Natural Science Foundation of China and Chinese Academy of Sciences. Published by Elsevier Limited and Science in China Press. All rights reserved.</t>
  </si>
  <si>
    <t>[Fang, Aimin; Yu, Lianjun] Chinese Acad Sci, Inst Geol &amp; Geophys, Beijing 100029, Peoples R China; [Liu, Xiaohan; Huang, Feixin] Chinese Acad Sci, Inst Tibet Plateau Res, Beijing 100029, Peoples R China; [Wang, Weiming] Chinese Acad Sci, Nanjing Inst Geol &amp; Palaeontol, Nanjing 210008, Peoples R China</t>
  </si>
  <si>
    <t>Chinese Academy of Sciences; Institute of Geology &amp; Geophysics, CAS; Chinese Academy of Sciences; Institute of Tibetan Plateau Research, CAS; Chinese Academy of Sciences</t>
  </si>
  <si>
    <t>Fang, AM (corresponding author), Chinese Acad Sci, Inst Geol &amp; Geophys, Beijing 100029, Peoples R China.</t>
  </si>
  <si>
    <t>fam@mail.igcas.ac.cn</t>
  </si>
  <si>
    <t>National Natural Science Foundation of China [40631004, 40202034]</t>
  </si>
  <si>
    <t>The field was provided work was carried out during the l998-2000 Chinese National Antarctic Research Expedition. Logistical support was provided by the Antarctic Administration of China and the Chinese Academy of Sciences and financial support by National Natural Science Foundation of China (Grant Nos. 40631004 and 40202034). We thank Yitai Ju and Jinyan Li for sample collection. Samples were processed by Cuiling He and Shunxue Mai.</t>
  </si>
  <si>
    <t>10.1016/j.pnsc.2008.01.040</t>
  </si>
  <si>
    <t>449QM</t>
  </si>
  <si>
    <t>WOS:000266345100009</t>
  </si>
  <si>
    <t>Dmitrenko, IA; Kirillov, SA; Tremblay, LB; Bauch, D; Willmes, S</t>
  </si>
  <si>
    <t>Dmitrenko, Igor A.; Kirillov, Sergey A.; Tremblay, L. Bruno; Bauch, Dorothea; Willmes, Sascha</t>
  </si>
  <si>
    <t>Sea-ice production over the Laptev Sea shelf inferred from historical summer-to-winter hydrographic observations of 1960s-1990s</t>
  </si>
  <si>
    <t>ARCTIC-OCEAN; VARIABILITY; CIRCULATION; POLYNYAS; EXPORT; WATER</t>
  </si>
  <si>
    <t>The winter net sea-ice production (NSIP) over the Laptev Sea shelf is inferred from continuous summer-to-winter historical salinity records of 1960s-1990s. While the NSIP strongly depends on the assumed salinity of newly formed ice, the NSIP quasi-decadal variability can be linked to the wind-driven circulation anomalies in the Laptev Sea region. The increased wind-driven advection of ice away from the Laptev Sea coast when the Arctic Oscillation (AO) is positive implies enhanced coastal polynya sea-ice production and brine release in the shelf water. When the AO is negative, the NSIP and seasonal salinity amplitude tends to weaken. These results are in reasonable agreement with sea-ice observations and modeling. Citation: Dmitrenko, I. A., S. A. Kirillov, L. B. Tremblay, D. Bauch, and S. Willmes (2009), Sea-ice production over the Laptev Sea shelf inferred from historical summer-to-winter hydrographic observations of 1960s-1990s, Geophys. Res. Lett., 36, L13605, doi: 10.1029/2009GL038775.</t>
  </si>
  <si>
    <t>[Dmitrenko, Igor A.; Bauch, Dorothea] Univ Kiel, Leibniz Inst Marine Sci, D-24148 Kiel, Germany; [Kirillov, Sergey A.] Arctic &amp; Antarctic Res Inst, St Petersburg 199397, Russia; [Tremblay, L. Bruno] McGill Univ, Dept Atmospher &amp; Ocean Sci, Montreal, PQ, Canada; [Willmes, Sascha] Univ Trier, D-54286 Trier, Germany</t>
  </si>
  <si>
    <t>Helmholtz Association; GEOMAR Helmholtz Center for Ocean Research Kiel; University of Kiel; Arctic &amp; Antarctic Research Institute; McGill University; Universitat Trier</t>
  </si>
  <si>
    <t>Dmitrenko, IA (corresponding author), Univ Kiel, Leibniz Inst Marine Sci, Wischhofstr 1-3, D-24148 Kiel, Germany.</t>
  </si>
  <si>
    <t>idmitrenko@ifm-geomar.de</t>
  </si>
  <si>
    <t>Tremblay, Bruno/I-4497-2012; Willmes, Sascha/J-5796-2012</t>
  </si>
  <si>
    <t>Dmitrenko, Igor/0000-0001-8388-7839; Bauch, Dorothea/0000-0002-1419-9714</t>
  </si>
  <si>
    <t>BMBF; Natural Sciences and Engineering Research Council; Office of Polar [OPP-0230325]; Arctic Science Program [ARC-05-20496]; DFG [SP 526/3]</t>
  </si>
  <si>
    <t>BMBF(Federal Ministry of Education &amp; Research (BMBF)); Natural Sciences and Engineering Research Council(Natural Sciences and Engineering Research Council of Canada (NSERC)); Office of Polar; Arctic Science Program; DFG(German Research Foundation (DFG))</t>
  </si>
  <si>
    <t>Financial support through the BMBF projects System Laptev Sea'' and Otto-Schmidt-Laboratory for Polar and Marine Sciences'' is gratefully acknowledged. BT was supported by the Natural Sciences and Engineering Research Council of Canada Discovery Grant Program, and by the National Science Foundation under grant OPP-0230325 from the Office of Polar Programs and grant ARC-05-20496 from the Arctic Science Program. DB acknowledges funds through the DFG grant SP 526/3.</t>
  </si>
  <si>
    <t>JUL 7</t>
  </si>
  <si>
    <t>L13605</t>
  </si>
  <si>
    <t>10.1029/2009GL038775</t>
  </si>
  <si>
    <t>469XK</t>
  </si>
  <si>
    <t>WOS:000267934900002</t>
  </si>
  <si>
    <t>Mervis, J</t>
  </si>
  <si>
    <t>Mervis, Jeffrey</t>
  </si>
  <si>
    <t>NSF ANTARCTIC LOGISTICS A Hot Competition for a Cold Contract</t>
  </si>
  <si>
    <t>JUL 3</t>
  </si>
  <si>
    <t>465NL</t>
  </si>
  <si>
    <t>WOS:000267594000006</t>
  </si>
  <si>
    <t>Zhu, YL</t>
  </si>
  <si>
    <t>Zhu Yali</t>
  </si>
  <si>
    <t>The Antarctic Oscillation-East Asian Summer Monsoon Connections in NCEP-1 and ERA-40</t>
  </si>
  <si>
    <t>ADVANCES IN ATMOSPHERIC SCIENCES</t>
  </si>
  <si>
    <t>Antarctic Oscillation; East Asian summer monsoon; NCEP-1; ERA-40</t>
  </si>
  <si>
    <t>ANNULAR MODE; PRECIPITATION; VARIABILITY; REANALYSES; PACIFIC</t>
  </si>
  <si>
    <t>Connections between the spring Antarctic Oscillation (AAO) and the East Asian summer monsoon (EASM) in two reanalysis datasets-NCEP-1 (NCEP/NCAR Reanalysis 1) and ERA-40 (ECMWF 40 year Reanalysis)-are investigated in this study. Both show significant correlation between AAO and EASM rainfall over the Yangtze River valley, especially after about 1985. Though ERA-40 shows weaker anomalous signals connecting AAO and EASM over southern high latitudes than NCEP-1, both datasets reveal similar connecting patterns between them. A wave-train-like pattern appears in the upper levels, from southern high latitudes through east of Australia and from the Maritime Continent to East Asia. In positive AAO years, the cross equatorial southeasterly flow over the Maritime Continent in the lower levels is strengthened, the specific humidity of the whole atmosphere over East Asia increases, and convective activity is enhanced; thus the summer rainfall over East Asia increases. The spring AAO-EASM connection may be better represented in ERA-40.</t>
  </si>
  <si>
    <t>[Zhu Yali] Chinese Acad Sci, Inst Atmospher Phys, Nansen Zhu Int Res Ctr, Beijing 100029, Peoples R China; [Zhu Yali] Chinese Acad Sci, Grad Univ, Beijing 100049, Peoples R China; [Zhu Yali] Chinese Acad Sci, CCRC, Beijing 100029, Peoples R China</t>
  </si>
  <si>
    <t>Chinese Academy of Sciences; Institute of Atmospheric Physics, CAS; Chinese Academy of Sciences; University of Chinese Academy of Sciences, CAS; Chinese Academy of Sciences</t>
  </si>
  <si>
    <t>Zhu, YL (corresponding author), Chinese Acad Sci, Inst Atmospher Phys, Nansen Zhu Int Res Ctr, Beijing 100029, Peoples R China.</t>
  </si>
  <si>
    <t>zhuyl@mail.iap.ac.cn</t>
  </si>
  <si>
    <t>National Basic Research Program of China (973 Program) [2009CB421406]; Chinese Academy of Sciences [KZCX2-YW-Q1-02]; National Natural Science Foundation of China [40875048, 40620130113, 40631005]</t>
  </si>
  <si>
    <t>National Basic Research Program of China (973 Program)(National Basic Research Program of China); Chinese Academy of Sciences(Chinese Academy of Sciences); National Natural Science Foundation of China(National Natural Science Foundation of China (NSFC))</t>
  </si>
  <si>
    <t>The authors would like to thank Dr. A. Grinsted for providing the wavelet analyses programs. This research was jointly supported by National Basic Research Program of China (973 Program) under Grant No. 2009CB421406, the Chinese Academy of Sciences under Grant KZCX2-YW-Q1-02, and the National Natural Science Foundation of China under Grants Nos. 40875048, 40620130113, and 40631005.</t>
  </si>
  <si>
    <t>0256-1530</t>
  </si>
  <si>
    <t>1861-9533</t>
  </si>
  <si>
    <t>ADV ATMOS SCI</t>
  </si>
  <si>
    <t>Adv. Atmos. Sci.</t>
  </si>
  <si>
    <t>JUL</t>
  </si>
  <si>
    <t>10.1007/s00376-009-8196-2</t>
  </si>
  <si>
    <t>467WM</t>
  </si>
  <si>
    <t>WOS:000267773800011</t>
  </si>
  <si>
    <t>Ahluwalia, HS; Ygbuhaya, RC; Duldig, ML</t>
  </si>
  <si>
    <t>Ahluwalia, H. S.; Ygbuhaya, R. C.; Duldig, M. L.</t>
  </si>
  <si>
    <t>Two intense Forbush decreases of solar activity cycle 22</t>
  </si>
  <si>
    <t>Forbush decrease; Cycle 22; Galactic cosmic rays</t>
  </si>
  <si>
    <t>ANISOTROPY</t>
  </si>
  <si>
    <t>We study two intense Forbush decreases that occurred during two adjacent SOLTIP (Solar connection of Transient Interplanetary Processes) intervals; namely SOLTIP 1 (22-27 March 1991) and SOLTIP 2 (1-17 June 1991); galactic cosmic ray intensity at the depth of the second Forbush decrease was the lowest ever recorded since continuous monitoring by Climax neutron monitor began in 1951 (58% below the solar minimum value of 1954), indicating extreme conditions in the heliosphere that prevented galactic cosmic rays from reaching the Earth. These decreases were seen propagating in outer heliosphere by the deep space missions Voyagers 1, 2 and Pioneer 10, 11, with suitable time delays. We analyze hourly, pressure corrected, neutron monitor data from the global sites in both hemispheres, and muon telescopes located underground; they respond to 10-300 GV range of the galactic cosmic ray spectrum. This circumstance provides us an ideal opportunity to study the rigidity dependence of the amplitudes of the two Forbush decreases. In both cases the amplitude is found to be a power law in rigidity, with negative exponents. (C) 2009 COSPAR. Published by Elsevier Ltd. All rights reserved.</t>
  </si>
  <si>
    <t>[Ahluwalia, H. S.; Ygbuhaya, R. C.] Univ New Mexico, Dept Phys &amp; Astron, Albuquerque, NM 87131 USA; [Duldig, M. L.] Australian Antarctic Div, Kingston, Tas 7050, Australia</t>
  </si>
  <si>
    <t>University of New Mexico; Australian Antarctic Division</t>
  </si>
  <si>
    <t>Ahluwalia, HS (corresponding author), Univ New Mexico, Dept Phys &amp; Astron, MSC07 4220,800 Yale Blvd NE, Albuquerque, NM 87131 USA.</t>
  </si>
  <si>
    <t>hsa@unm.edu; ygbuhay@unm.edu; marc.duldig@aad.gov.au</t>
  </si>
  <si>
    <t>University of New Mexico; 37th COSPAR Scientific Assembly at Montreal, Canada</t>
  </si>
  <si>
    <t>H.S.A. is grateful to the University of New Mexico authorities for travel support to attend the 37th COSPAR Scientific Assembly at Montreal, Canada, and to Tom Hess for technical support. We thank colleagues who work hard to ensure stable operation of cosmic ray detectors at worldwide locations. Referee comments were useful.</t>
  </si>
  <si>
    <t>JUL 1</t>
  </si>
  <si>
    <t>10.1016/j.asr.2009.04.004</t>
  </si>
  <si>
    <t>460IN</t>
  </si>
  <si>
    <t>WOS:000267181500006</t>
  </si>
  <si>
    <t>Crook, JR</t>
  </si>
  <si>
    <t>Crook, John R.</t>
  </si>
  <si>
    <t>United States Hosts Antarctic Treaty Parties; Secretary of State Discusses Polar Issues</t>
  </si>
  <si>
    <t>AMERICAN JOURNAL OF INTERNATIONAL LAW</t>
  </si>
  <si>
    <t>AMER SOC INT LAW</t>
  </si>
  <si>
    <t>2223 MASSACHUSETTS AVE N W, WASHINGTON, DC 20008-2864 USA</t>
  </si>
  <si>
    <t>0002-9300</t>
  </si>
  <si>
    <t>AM J INT LAW</t>
  </si>
  <si>
    <t>Am. J. Int. Law</t>
  </si>
  <si>
    <t>10.1017/S0002930000755242</t>
  </si>
  <si>
    <t>International Relations; Law</t>
  </si>
  <si>
    <t>International Relations; Government &amp; Law</t>
  </si>
  <si>
    <t>511NE</t>
  </si>
  <si>
    <t>WOS:000271171400018</t>
  </si>
  <si>
    <t>Otero, RA; Suárez, ME; Le Roux, JP</t>
  </si>
  <si>
    <t>Otero, Rodrigo A.; Suarez, Mario E.; Le Roux, Jacobus P.</t>
  </si>
  <si>
    <t>First record of Elasmosaurid Plesiosaurs (Sauropterygia: Plesiosauria) in upper levels of the Dorotea Formation, Late Cretaceous (Maastrichtian), Puerto Natales, Chilean Patagonia</t>
  </si>
  <si>
    <t>ANDEAN GEOLOGY</t>
  </si>
  <si>
    <t>Plesiosaurs; Elasmosauridae; Maastrichtian; Dorotea Formation; Magallanes; Chile</t>
  </si>
  <si>
    <t>MARINE REPTILES</t>
  </si>
  <si>
    <t>New remains of plesiosaurs (Diapsida; Sauropterygia) found in a transported block correlated with upper levels of the Dorotea Formation, Late Cretaceous (Maastrichtian)are described herein. They were collected on the southern slopes of Sierra Dorotea located northeast of Puerto Natales (51 degrees 41'20,4S, 72 degrees 26'07,4W), Magallanes Region, Chile. This is the first discovery of the family Elasmosauridae in high latitudes of South America, complementing the previously known paleodistribution of this group in the eastern Pacific Ocean and the Antarctic during the latest Cretaceous.</t>
  </si>
  <si>
    <t>[Otero, Rodrigo A.] Univ Chile, Fac Ciencias, Dept Ciencias Ecol, Lab Zool Vertebrados, Santiago 3425, Chile; [Suarez, Mario E.] Museo Paleontol Caldera, Caldera, Chile; [Le Roux, Jacobus P.] Univ Chile, Dept Geol, Fac Ciencias Fis &amp; Matemat, Santiago 3425, Chile</t>
  </si>
  <si>
    <t>Universidad de Chile; Universidad de Chile</t>
  </si>
  <si>
    <t>Otero, RA (corresponding author), Univ Chile, Fac Ciencias, Dept Ciencias Ecol, Lab Zool Vertebrados, Palmeras 3425, Santiago 3425, Chile.</t>
  </si>
  <si>
    <t>paracrioceras@gmail.com; museopaleontocaldera@gmail.com; jroux@cec.uchile.cl</t>
  </si>
  <si>
    <t>Le Roux, Jacobus/A-9765-2008; Le Roux, Jacobus Philippus/U-7085-2019</t>
  </si>
  <si>
    <t>Le Roux, Jacobus/0000-0003-0173-4471; Le Roux, Jacobus Philippus/0000-0003-0173-4471; Otero, Rodrigo/0000-0002-3046-2973</t>
  </si>
  <si>
    <t>SERVICIO NACIONAL GEOLOGIA MINERVA</t>
  </si>
  <si>
    <t>SANTIAGO</t>
  </si>
  <si>
    <t>AVDA SANTA MARIO 0104, CASILLA 10465, SANTIAGO, CHILE</t>
  </si>
  <si>
    <t>0718-7106</t>
  </si>
  <si>
    <t>ANDEAN GEOL</t>
  </si>
  <si>
    <t>Andean Geol.</t>
  </si>
  <si>
    <t>10.4067/S0718-71062009000200008</t>
  </si>
  <si>
    <t>475VD</t>
  </si>
  <si>
    <t>WOS:000268389700008</t>
  </si>
  <si>
    <t>Heath, C; Hu, XP; Cary, SC; Cowan, D</t>
  </si>
  <si>
    <t>Heath, Caroline; Hu, Xiao Ping; Cary, S. Craig; Cowan, Donald</t>
  </si>
  <si>
    <t>Identification of a Novel Alkaliphilic Esterase Active at Low Temperatures by Screening a Metagenomic Library from Antarctic Desert Soil</t>
  </si>
  <si>
    <t>BACTERIAL DIVERSITY; VICTORIA LAND; GENE CLONING; LIPASE; ENZYME; VALLEY</t>
  </si>
  <si>
    <t>A novel esterase was identified through functional screening of a metagenomic library in Escherichia coli obtained from Antarctic desert soil. The 297-amino-acid sequence had only low (&lt; 29%) similarity to a putative esterase from Burkholderia xenovorans. The enzyme was active over a temperature range of 7 to 54 degrees C and at alkaline pH levels and is a potential candidate for industrial application.</t>
  </si>
  <si>
    <t>[Cary, S. Craig] Univ Waikato, Hamilton, New Zealand; [Heath, Caroline; Hu, Xiao Ping; Cowan, Donald] Univ Western Cape, Dept Biotechnol, Cape Town, South Africa</t>
  </si>
  <si>
    <t>University of Waikato; University of the Western Cape</t>
  </si>
  <si>
    <t>Cowan, D (corresponding author), Univ Western Cape, Dept Biotechnol, Inst Microbial Biotechnol &amp; Metagenom, Private Bag X17, ZA-7535 Bellville, South Africa.</t>
  </si>
  <si>
    <t>Hu, Xiaoyu/JPK-8482-2023; Cowan, Donald A/E-3991-2012; Hu, Xiao/GQI-0007-2022</t>
  </si>
  <si>
    <t>Cowan, Donald A/0000-0001-8059-861X; Hu, Xiao/0000-0003-1128-4099; Cary, Stephen/0000-0002-2876-2387</t>
  </si>
  <si>
    <t>Antarctica New Zealand, University of Waikato Antarctic Terrestrial Biology Programme; National Research Foundation, South Africa [65413, 65416]</t>
  </si>
  <si>
    <t>Antarctica New Zealand, University of Waikato Antarctic Terrestrial Biology Programme; National Research Foundation, South Africa(National Research Foundation - South Africa)</t>
  </si>
  <si>
    <t>This work was supported by Antarctica New Zealand, University of Waikato Antarctic Terrestrial Biology Programme, and the National Research Foundation, South Africa (grants UID 65413 and 65416).</t>
  </si>
  <si>
    <t>10.1128/AEM.02597-08</t>
  </si>
  <si>
    <t>462RI</t>
  </si>
  <si>
    <t>WOS:000267373000055</t>
  </si>
  <si>
    <t>Alchihab, M; Destain, J; Aguedo, M; Majad, L; Ghalfi, H; Wathelet, JP; Thonart, P</t>
  </si>
  <si>
    <t>Alchihab, Mohamed; Destain, Jacqueline; Aguedo, Mario; Majad, Lamia; Ghalfi, Hakim; Wathelet, Jean-Paul; Thonart, Philippe</t>
  </si>
  <si>
    <t>Production of γ-Decalactone by a Psychrophilic and a Mesophilic Strain of the Yeast Rhodotorula aurantiaca</t>
  </si>
  <si>
    <t>APPLIED BIOCHEMISTRY AND BIOTECHNOLOGY</t>
  </si>
  <si>
    <t>Rhodotorula aurantiaca; Psychrophilic; Mesophilic; Castor oil; gamma-Decalactone</t>
  </si>
  <si>
    <t>BETA-OXIDATION PATHWAY; YARROWIA-LIPOLYTICA; SPORIDIOBOLUS-SALMONICOLOR; GENUS SPORIDIOBOLUS; METHYL RICINOLEATE; SPOROBOLOMYCES-ODORUS; PICHIA-GUILLIERMONDII; IMMOBILIZED CELLS; ACID; LACTONES</t>
  </si>
  <si>
    <t>Among 18 psychrophilic strains isolated near the Antarctic Station, the psychrophilic strain Rhodotorula aurantiaca A19 was selected for its ability of growth and gamma-decalactone production at low temperatures. The effects of temperature, initial pH, and castor oil concentration on the growth and gamma-decalactone production by a psychrophilic and a mesophilic strain of R. aurantiaca were investigated. The highest gamma-decalactone production in flasks (5.8 g/l) was obtained with the strain A19 at 14 A degrees C and initial pH 7.0 in medium containing 20 g/l castor oil. On the other hand, these factors did not affect the production of gamma-decalactone by the mesophilic strain. In fermentor, a gamma-decalactone concentration of 6.6 g/l was reached with the strain A19, whereas a maximum of 0.1 g/l was obtained with the mesophilic strain. Our results suggest that the ability to synthesize gamma-decalactone is a particularity of the strain A19, since the mesophilic strain (no. 30645) produced small amounts, and the other (no. 31354) did not exhibit this property. It is, to our knowledge, the first report of gamma-decalactone production by R. aurantiaca and furthermore by a psychrophilic yeast strain. Moreover, the amount of gamma-decalactone obtained in fermentor with the strain 19 was on the order of concentrations usually described in patents.</t>
  </si>
  <si>
    <t>[Alchihab, Mohamed; Destain, Jacqueline; Majad, Lamia; Ghalfi, Hakim; Thonart, Philippe] Fac Univ Sci Agron Gembloux, Ctr Wallon Biol Ind, Unite Bioind, B-5030 Gembloux, Belgium; [Aguedo, Mario; Wathelet, Jean-Paul] Fac Univ Sci Agron Gembloux, Unite Chim Gen &amp; Organ, B-5030 Gembloux, Belgium</t>
  </si>
  <si>
    <t>University of Liege; University of Liege</t>
  </si>
  <si>
    <t>Alchihab, M (corresponding author), Fac Univ Sci Agron Gembloux, Ctr Wallon Biol Ind, Unite Bioind, Passage Deportes 2, B-5030 Gembloux, Belgium.</t>
  </si>
  <si>
    <t>alchihab.m@fsagx.ac.be</t>
  </si>
  <si>
    <t>government of Syria</t>
  </si>
  <si>
    <t>We thank the government of Syria for their financial support to carry out this study.</t>
  </si>
  <si>
    <t>HUMANA PRESS INC</t>
  </si>
  <si>
    <t>TOTOWA</t>
  </si>
  <si>
    <t>999 RIVERVIEW DRIVE SUITE 208, TOTOWA, NJ 07512 USA</t>
  </si>
  <si>
    <t>0273-2289</t>
  </si>
  <si>
    <t>1559-0291</t>
  </si>
  <si>
    <t>APPL BIOCHEM BIOTECH</t>
  </si>
  <si>
    <t>Appl. Biochem. Biotechnol.</t>
  </si>
  <si>
    <t>10.1007/s12010-008-8297-x</t>
  </si>
  <si>
    <t>466LC</t>
  </si>
  <si>
    <t>WOS:000267662700005</t>
  </si>
  <si>
    <t>Wilson, D</t>
  </si>
  <si>
    <t>Wilson, David</t>
  </si>
  <si>
    <t>CAUSES AND BENEFITS OF CHICK AGGREGATIONS IN PENGUINS</t>
  </si>
  <si>
    <t>AUK</t>
  </si>
  <si>
    <t>BREEDING ADELIE PENGUINS; CRECHING BEHAVIOR; PYGOSCELIS-ANTARCTICA; JACKASS-PENGUIN; ROCKHOPPER PENGUINS; KING PENGUIN; NEST-SITE; ADAPTIVE SIGNIFICANCE; REPRODUCTIVE SUCCESS; ADULT AGGRESSIVENESS</t>
  </si>
  <si>
    <t>Australian Antarctic Div, Dept Environm Water Heritage &amp; Arts, Kingston, Tas 7050, Australia</t>
  </si>
  <si>
    <t>david.wilson@aad.gov.au</t>
  </si>
  <si>
    <t>AMER ORNITHOLOGISTS UNION</t>
  </si>
  <si>
    <t>ORNITHOLOGICAL SOC NORTH AMER PO BOX 1897, LAWRENCE, KS 66044-8897 USA</t>
  </si>
  <si>
    <t>0004-8038</t>
  </si>
  <si>
    <t>10.1525/auk.2009.9709</t>
  </si>
  <si>
    <t>484BY</t>
  </si>
  <si>
    <t>WOS:000269019500023</t>
  </si>
  <si>
    <t>Bijleveld, AI; Mullers, RHE</t>
  </si>
  <si>
    <t>Bijleveld, Allert I.; Mullers, Ralf H. E.</t>
  </si>
  <si>
    <t>Reproductive effort in biparental care: an experimental study in long-lived Cape gannets</t>
  </si>
  <si>
    <t>BEHAVIORAL ECOLOGY</t>
  </si>
  <si>
    <t>chick provisioning; foraging behavior; life-history trade-off; long-lived seabird; parental conflict; reproductive investment</t>
  </si>
  <si>
    <t>THIN-BILLED PRION; PARENTAL EFFORT; EXPERIMENTAL MANIPULATION; NATURAL-SELECTION; ANTARCTIC PETREL; PELAGIC SEABIRD; MORUS-CAPENSIS; BROOD SIZE; COSTS; BEHAVIOR</t>
  </si>
  <si>
    <t>Life-history theory predicts a trade-off between current and future reproduction, such that long-lived species should not increase their reproductive effort (RE) at a cost to their own survival. In species with long-term pair bonds and biparental care, each parent must balance its reproductive investment against that of its partner. Although the effects of handicapping studies on the focal individual are sometimes difficult to interpret, they are a powerful approach for investigating compensatory responses of the partner. In the present experiment, we manipulated flying ability of one parent in long-lived Cape gannets (Morus capensis), thereby indirectly increasing the demands on RE of the unmanipulated partner. Handicapped birds doubled their foraging trip duration and reduced nest attendance. Their partners showed behavioral compensation via increased nest attendance for chicks younger than 30 days and increased foraging trip frequency for older chicks. The behavioral responses of partners did not fully compensate for the reduced care of handicapped adults. For manipulated nests, overall foraging trip frequency was 21% lower, chicks were left unattended at 5 days younger, and their growth and survival was reduced compared with control nests. Handicapped adults lost 10% of their body mass during the experiment, but their partners showed no decrease in body mass. Our results show that long-lived Cape gannets can increase current RE when needed, without negative effects on body condition or survival. The reduced care of one parent was partly compensated for by its partner, and remaining costs were borne by the chick.</t>
  </si>
  <si>
    <t>[Bijleveld, Allert I.; Mullers, Ralf H. E.] Univ Groningen, Dept Behav Biol, NL-9751 NN Haren, Netherlands; [Bijleveld, Allert I.] Univ Amsterdam, Dept Populat Biol, Inst Biodivers &amp; Ecosyst Dynam, NL-1090 GB Amsterdam, Netherlands; [Mullers, Ralf H. E.] Univ Cape Town, Dept Zool, Anim Demog Unit, ZA-7701 Rondebosch, South Africa</t>
  </si>
  <si>
    <t>University of Groningen; University of Amsterdam; University of Cape Town</t>
  </si>
  <si>
    <t>Mullers, RHE (corresponding author), Univ Groningen, Dept Behav Biol, Kerklaan 30, NL-9751 NN Haren, Netherlands.</t>
  </si>
  <si>
    <t>r.h.e.mullers@rug.nl</t>
  </si>
  <si>
    <t>Bijleveld, Allert Imre/J-4134-2017; Bijleveld, Allert/D-7143-2011</t>
  </si>
  <si>
    <t>Bijleveld, Allert Imre/0000-0002-3159-8944; Bijleveld, Allert/0000-0002-3159-8944</t>
  </si>
  <si>
    <t>The Netherlands Foundation; Amsterdam Universiteits Vereniging</t>
  </si>
  <si>
    <t>The Netherlands Foundation for the Advancement of Tropical Research (WOTRO) to Prof. G. H. Visser and R. H. E. M.; Amsterdam Universiteits Vereniging partly funded A. I. B.</t>
  </si>
  <si>
    <t>1045-2249</t>
  </si>
  <si>
    <t>1465-7279</t>
  </si>
  <si>
    <t>BEHAV ECOL</t>
  </si>
  <si>
    <t>Behav. Ecol.</t>
  </si>
  <si>
    <t>JUL-AUG</t>
  </si>
  <si>
    <t>10.1093/beheco/arp054</t>
  </si>
  <si>
    <t>Behavioral Sciences; Biology; Ecology; Zoology</t>
  </si>
  <si>
    <t>Behavioral Sciences; Life Sciences &amp; Biomedicine - Other Topics; Environmental Sciences &amp; Ecology; Zoology</t>
  </si>
  <si>
    <t>472CM</t>
  </si>
  <si>
    <t>WOS:000268106800008</t>
  </si>
  <si>
    <t>Cerra, MC; Angelone, T; Parisella, ML; Pellegrino, D; Tota, B</t>
  </si>
  <si>
    <t>Cerra, M. C.; Angelone, T.; Parisella, M. L.; Pellegrino, D.; Tota, B.</t>
  </si>
  <si>
    <t>Nitrite modulates contractility of teleost (Anguilla anguilla and Chionodraco hamatus, i.e. the Antarctic hemoglobinless icefish) and frog (Rana esculenta) hearts</t>
  </si>
  <si>
    <t>BIOCHIMICA ET BIOPHYSICA ACTA-BIOENERGETICS</t>
  </si>
  <si>
    <t>Experimental Biology Annual Meeting</t>
  </si>
  <si>
    <t>APR 05-09, 2008</t>
  </si>
  <si>
    <t>San Diego, CA</t>
  </si>
  <si>
    <t>Nitrite; Nitric oxide; Working heart; Frog; Eel; Icefish; PKG; cGMP; NOS</t>
  </si>
  <si>
    <t>S-NITROSYLATION; OXIDE SYNTHASE; ISCHEMIA-REPERFUSION; CA2+ CURRENT; CYCLIC-GMP; BLOOD-FLOW; NO; PERFORMANCE; EXPRESSION; REDUCTASE</t>
  </si>
  <si>
    <t>Being the largest form of intravascular and tissue storage of nitric oxide (NO) and a signalling molecule itself, the nitrite anion (NO2-) has emerged as a key player in many biological processes. Since the heart is under an important NO-mediated autocrine-paracrine control, in mammals the cardiac effects of nitrite are under intensive investigation. In contrast, nothing is known in non-mammalian vertebrates. We evaluated nitrite influence on cardiac performance in the perfused beating heart of three different cold-blooded vertebrates, i.e. two teleost fishes, the temperate red-blooded Anguilla anguilla, the Antarctic stenotherm, hemoglobinless Chionodraco hamatus (icefish), and the frog Rana esculenta. We showed that, under basal conditions, in all animals nitrite influences cardiac mechanical performance, inducing negative inotropism in eel and frog, while being a positive inotrope in C hamatus. In all species, these responses parallel the inotropic effects of authentic NO. We also demonstrated that the nitrite-dependent inotropic effects are i) dependent from NO synthase (NOS) activity in fish; ii) sensitive to NO scavenging in frog; iii) cGMP/PKG-dependent in both eel and frog. Results suggest that nitrite is an integral physiological source of NO and acts as a signalling molecule in lower vertebrate hearts, exerting relevant inotropic actions through different species-specific mechanisms. (C) 2009 Elsevier B.V. All rights reserved.</t>
  </si>
  <si>
    <t>[Cerra, M. C.; Pellegrino, D.] Univ Calabria, Dept Pharmacobiol, I-87030 Arcavacata Di Rende, CS, Italy; [Angelone, T.; Parisella, M. L.; Tota, B.] Univ Calabria, Dept Cell Biol, I-87030 Arcavacata Di Rende, Italy</t>
  </si>
  <si>
    <t>Cerra, MC (corresponding author), Univ Calabria, Dept Pharmacobiol, I-87030 Arcavacata Di Rende, CS, Italy.</t>
  </si>
  <si>
    <t>cerramc@unical.it</t>
  </si>
  <si>
    <t>Angelone, Tommaso/AAM-1230-2020</t>
  </si>
  <si>
    <t>Angelone, Tommaso/0000-0001-7797-7862; Cerra, Maria Carmela/0000-0002-2091-928X; Pellegrino, Daniela/0000-0002-9815-5195</t>
  </si>
  <si>
    <t>0005-2728</t>
  </si>
  <si>
    <t>1879-2650</t>
  </si>
  <si>
    <t>BBA-BIOENERGETICS</t>
  </si>
  <si>
    <t>Biochim. Biophys. Acta-Bioenerg.</t>
  </si>
  <si>
    <t>10.1016/j.bbabio.2009.03.008</t>
  </si>
  <si>
    <t>467VU</t>
  </si>
  <si>
    <t>WOS:000267772000011</t>
  </si>
  <si>
    <t>Schüttler, E; Klenke, R; McGehee, S; Rozzi, R; Jax, K</t>
  </si>
  <si>
    <t>Schuettler, Elke; Klenke, Reinhard; McGehee, Steven; Rozzi, Ricardo; Jax, Kurt</t>
  </si>
  <si>
    <t>Vulnerability of ground-nesting waterbirds to predation by invasive American mink in the Cape Horn Biosphere Reserve, Chile</t>
  </si>
  <si>
    <t>Artificial nests; Breeding birds; Management; Mustela vison; Nest characteristics; Nest survival</t>
  </si>
  <si>
    <t>MUSTELA-VISON; BREEDING BIOLOGY; REPRODUCTIVE SUCCESS; HABITAT PREFERENCES; WESTERN ISLES; SMALL ISLANDS; BIRD NESTS; REMOVAL; CONSERVATION; ARCHIPELAGO</t>
  </si>
  <si>
    <t>Biological invasions constitute one of the most important threats to biodiversity. This is especially true for naive birds that have evolved in the absence of terrestrial predators in island ecosystems. The American mink (Mustela vison) has recently established a feral population on Navarino Island (55,S), southern Chile, where it represents a new guild of terrestrial mammal predators. We investigated the impact of mink on ground-nesting coastal waterbirds with the aim of deriving a vulnerability profile for birds as a function of different breeding strategies, habitat, and nest characteristics. We compared rates of nest survival and mink predation on 102 nests of solitary nesting species (Chloephaga picta, Tachyeres pteneres), on 361 nests of colonial birds (Larus dominicanus, Larus scoresbii, Sterna hirundinacea), and on 558 artificial nests. We calculated relative mink and bird densities at all nest sites. Nests of colonial species showed the highest nest survival probabilities (67-84%) and no predation by mink. Nest survival rates for solitary nesting species were lower (5-20%) and mink predation rates higher (10-44%). Discriminant analyses revealed that mink preyed upon artificial nests mainly at shores with rocky outcroppings where mink were abundant. High nest concealment increased the probability for predation by mink. Conservation planning should consider that invasive mink might severely affect the reproduction success of bird species with the following characteristics: solitary nesting, nesting habitat at rocky outcrop shores, and concealed nests. We recommend that work starts immediately to control the mink population with a priority in the nesting habitats of vulnerable endemic waterbirds. (C) 2009 Published by Elsevier Ltd.</t>
  </si>
  <si>
    <t>[Schuettler, Elke; Klenke, Reinhard; Jax, Kurt] UFZ Helmholtz Ctr Environm Res, Dept Conservat Biol, D-04318 Leipzig, Germany; [Schuettler, Elke; McGehee, Steven; Rozzi, Ricardo; Jax, Kurt] Univ Magallanes, IEB, Puerto Williams, Antarctic Prov, Chile; [Schuettler, Elke; McGehee, Steven; Rozzi, Ricardo; Jax, Kurt] Omora Fdn, Puerto Williams, Antarctic Prov, Chile; [Schuettler, Elke; Jax, Kurt] Tech Univ Munchen Weihenstephan, Lehrstuhl Landschaftsokol, D-85350 Freising Weihenstephan, Germany; [Klenke, Reinhard] Soc Nat Conservat &amp; Landscape Ecol, D-17237 Kratzeburg, Germany; [McGehee, Steven] Univ Victoria, Dept Biol, Victoria, BC V8W 3N5, Canada; [Rozzi, Ricardo] Univ N Texas, Dept Philosophy, Denton, TX 76201 USA</t>
  </si>
  <si>
    <t>Helmholtz Association; Helmholtz Center for Environmental Research (UFZ); Universidad de Magallanes; Technical University of Munich; University of Victoria; University of North Texas System; University of North Texas Denton</t>
  </si>
  <si>
    <t>Schüttler, E (corresponding author), UFZ Helmholtz Ctr Environm Res, Dept Conservat Biol, Permoserstr 15, D-04318 Leipzig, Germany.</t>
  </si>
  <si>
    <t>elke.schuettler@ufz.de; reinhard.klenke@ufz.de; smcgehee@uvic.ca; rozzi@unt.edu; kurt.jax@ufz.de</t>
  </si>
  <si>
    <t>Rozzi, Ricardo/G-1047-2012; Klenke, Reinhard/J-4686-2013</t>
  </si>
  <si>
    <t>Rozzi, Ricardo/0000-0001-5265-8726; Schuttler, Elke/0000-0001-9143-6237; Klenke, Reinhard/0000-0002-6860-8085; Jax, Kurt/0000-0002-1052-0195</t>
  </si>
  <si>
    <t>10.1016/j.biocon.2009.02.013</t>
  </si>
  <si>
    <t>455IP</t>
  </si>
  <si>
    <t>WOS:000266752500021</t>
  </si>
  <si>
    <t>Hammes, DF; Simoes, JC; Cerón, MS; Santos, MAR; Vieira, R</t>
  </si>
  <si>
    <t>Hammes, Daiane F.; Simoes, Jefferson C.; Ceron, Masiel S.; Santos, Maria A. R.; Vieira, Rosemary</t>
  </si>
  <si>
    <t>GEOCHEMICAL ANALYSIS OF ICE CORES FROM SOUTH POLE TRAVERSE - PRELIMINARY RESULTS</t>
  </si>
  <si>
    <t>BOLETIN DE GEOLOGIA</t>
  </si>
  <si>
    <t>Ice core; glaciochemical; Antarctic</t>
  </si>
  <si>
    <t>Two ice cores, IC-5 (82 degrees 30.5'S, 79 degrees 28' W, 950 m a. s.l.; 42.5 m) and one IC-6 (, 81 degrees 03'S, 79 degrees 51'W, 750 m a. s. l; 36 m) were collected as part of the 2004/2005 Chilean (with Brazilian collaboration) ITASE traverse from Patriot Hills to the South Pole. Mean accumulation rates in water equivalent calculated for the upper 10 m at the IC5 site is 0.37 m a(-1) and 0.33 m a(-1) at the site IC6. Coregistered samples (1595 for IC5 and 1368 for IC6) were obtained using a discrete continuous melter system with a pure nickel melt head at the Climate Change Institute under class 100 clean room conditions. All samples were analysed by ion chromatography (IC), inductively coupled plasma field mass spectrometry (ICP-MS), and stable isotope ratio mass spectrometry (IRMS).</t>
  </si>
  <si>
    <t>[Hammes, Daiane F.; Simoes, Jefferson C.; Santos, Maria A. R.; Vieira, Rosemary] Univ Fed Rio Grande do Sul, Inst Geociencias, NUPAC, Porto Alegre, RS, Brazil; [Ceron, Masiel S.] Ctr Estudios Cientif CECS, Valdivia, Chile</t>
  </si>
  <si>
    <t>Universidade Federal do Rio Grande do Sul</t>
  </si>
  <si>
    <t>Hammes, DF (corresponding author), Univ Fed Rio Grande do Sul, Inst Geociencias, NUPAC, Porto Alegre, RS, Brazil.</t>
  </si>
  <si>
    <t>daianehammes@yahoo.com.br</t>
  </si>
  <si>
    <t>Simoes, Jefferson Cardia/D-7232-2013</t>
  </si>
  <si>
    <t>Simoes, Jefferson Cardia/0000-0001-5555-3401</t>
  </si>
  <si>
    <t>UNIV INDUSTRIAL SANTANDER</t>
  </si>
  <si>
    <t>SANTANDER</t>
  </si>
  <si>
    <t>CIUDAD UNIV, CARRERA 27, CALLE 9, SANTANDER, BUCARAMANGA 00000, COLOMBIA</t>
  </si>
  <si>
    <t>0120-0283</t>
  </si>
  <si>
    <t>2145-8553</t>
  </si>
  <si>
    <t>B GEOLOGIA</t>
  </si>
  <si>
    <t>Bol. Geol.</t>
  </si>
  <si>
    <t>JUL-DEC</t>
  </si>
  <si>
    <t>V0G3F</t>
  </si>
  <si>
    <t>WOS:000216201800009</t>
  </si>
  <si>
    <t>Tampieri, F; Maurizi, A; Viola, A</t>
  </si>
  <si>
    <t>Tampieri, F.; Maurizi, A.; Viola, A.</t>
  </si>
  <si>
    <t>An Investigation on Temperature Variance Scaling in the Atmospheric Surface Layer</t>
  </si>
  <si>
    <t>BOUNDARY-LAYER METEOROLOGY</t>
  </si>
  <si>
    <t>Atmospheric surface layer; Similarity functions; Temperature variance; Unsteadiness effects</t>
  </si>
  <si>
    <t>TURBULENT BOUNDARY-LAYERS; COMPLEX TERRAIN; SIMILARITY; STRATIFICATION; SPECTRA; FLUXES</t>
  </si>
  <si>
    <t>We present surface-layer measurements of temperature fluctuation variance from a site characterized by small-scale inhomogeneities. Periods of marked radiative forcing are selected. The data characterized by diabatic conditions and vertical heat flux larger than some threshold (here, chosen to be 0.01 K ms(-1)) agree quite well with the convective scaling (v'(2)) over bar /v(2)* alpha (-z/L)(-2/3) in unstable cases, and with the z-less parameterisation (v'(2)) over bar /v(2)* similar or equal to const (with a large scatter) in stable cases. For near-neutral cases, the similarity function diverges because of the loss of significance of the temperature scale. Departures from similarity are highlighted in cases with smaller thermal fluxes, because horizontal heterogeneity and unsteadiness become important as production terms.</t>
  </si>
  <si>
    <t>[Tampieri, F.; Maurizi, A.; Viola, A.] CNR, ISAC, I-40126 Bologna, Italy; [Tampieri, F.; Maurizi, A.; Viola, A.] CNR, ISAC, Rome, Italy</t>
  </si>
  <si>
    <t>Consiglio Nazionale delle Ricerche (CNR); Istituto di Scienze dell'Atmosfera e del Clima (ISAC-CNR); Consiglio Nazionale delle Ricerche (CNR); Istituto di Scienze dell'Atmosfera e del Clima (ISAC-CNR)</t>
  </si>
  <si>
    <t>Tampieri, F (corresponding author), CNR, ISAC, I-40126 Bologna, Italy.</t>
  </si>
  <si>
    <t>f.tampieri@isac.cnr.it</t>
  </si>
  <si>
    <t>viola, angelo p/C-7184-2015; maurizi, alberto/D-5031-2017</t>
  </si>
  <si>
    <t>maurizi, alberto/0000-0003-4563-9636; viola, angelo pietro/0000-0002-6545-7496</t>
  </si>
  <si>
    <t>Italian National Programme for Antarctic Research; Italia-USA bilateral Agreement for Research on Climate Changes</t>
  </si>
  <si>
    <t>The authors acknowledge S. Argentini, A. Conidi and G. Mastrantonio for their crucial collaboration in data collection and handling. Critical discussions with G. Bertacci, M. De Franceschi, C. Ratto, M. Tagliazucca, D. Zardi were essential in the preparation of the paper. Comments of the reviewers to the first version are gratefully acknowledged. The present work received the financial support of the Italian National Programme for Antarctic Research and the Italia-USA bilateral Agreement for Research on Climate Changes.</t>
  </si>
  <si>
    <t>0006-8314</t>
  </si>
  <si>
    <t>BOUND-LAY METEOROL</t>
  </si>
  <si>
    <t>Bound.-Layer Meteor.</t>
  </si>
  <si>
    <t>10.1007/s10546-009-9383-5</t>
  </si>
  <si>
    <t>458NB</t>
  </si>
  <si>
    <t>WOS:000267029600003</t>
  </si>
  <si>
    <t>Kim, M; Ahn, IY; Kim, H; Cheon, J; Park, H</t>
  </si>
  <si>
    <t>Kim, Meesun; Ahn, In-Young; Kim, Hakjun; Cheon, Jina; Park, Hyun</t>
  </si>
  <si>
    <t>Molecular characterization and induction of heat shock protein 90 in the Antarctic bivalve Laternula elliptica</t>
  </si>
  <si>
    <t>Antarctic; Heat shock protein 90; Laternula; Thermal stress</t>
  </si>
  <si>
    <t>MESSENGER-RNA; HEAT-SHOCK-PROTEIN-90 GENE; STRESS TOLERANCE; HSP90; EXPRESSION; CLONING; FAMILY; HSP70; CDNA; IDENTIFICATION</t>
  </si>
  <si>
    <t>Heat shock protein 90 (HSP90) is a highly conserved molecular chaperone that plays a key role in protein synthesis, folding, denaturation prevention, and signal transduction. We cloned the complete complementary DNA (cDNA) sequence of the Laternula elliptica HSP90. The full-length cDNA was 2,823 bp in size and contained an open reading frame of 2,190 bp that was translated into 729 amino acids with a calculated molecular weight of 83.4 kDa. The deduced amino acid sequence of HSP90 showed the highest homology to Haliotis tuberculata HSP90 (83%). Reverse-transcriptase polymerase chain reaction analysis revealed the presence of HSP90 transcripts in all of the tissues examined. We also studied the transcriptional expression pattern of HSP90 exposed to thermal stress with real-time polymerase chain reaction. The relative expression level of HSP90 messenger RNA was upregulated and peaked at 12 h in the digestive gland and at 24 h in the gills, then dropped progressively.</t>
  </si>
  <si>
    <t>[Kim, Meesun; Ahn, In-Young; Kim, Hakjun; Cheon, Jina; Park, Hyun] Korea Ocean Res &amp; Dev Inst, Korea Polar Res Inst, Inchon 406840, South Korea</t>
  </si>
  <si>
    <t>Park, H (corresponding author), Korea Ocean Res &amp; Dev Inst, Korea Polar Res Inst, Songdo Dong 7-50, Inchon 406840, South Korea.</t>
  </si>
  <si>
    <t>Status and Changes of Polar Indicator Species and Coastal/Terrestrial Ecosystems [PE08040]; Korea Polar Research Institute (KOPRI); Korean Ocean Research &amp; Development Institute (KORDI)</t>
  </si>
  <si>
    <t>Status and Changes of Polar Indicator Species and Coastal/Terrestrial Ecosystems; Korea Polar Research Institute (KOPRI); Korean Ocean Research &amp; Development Institute (KORDI)</t>
  </si>
  <si>
    <t>This study was supported by a Status and Changes of Polar Indicator Species and Coastal/Terrestrial Ecosystems grant (PE08040) funded by the Korea Polar Research Institute (KOPRI) of the Korean Ocean Research &amp; Development Institute (KORDI).</t>
  </si>
  <si>
    <t>10.1007/s12192-008-0090-9</t>
  </si>
  <si>
    <t>462OH</t>
  </si>
  <si>
    <t>WOS:000267365000004</t>
  </si>
  <si>
    <t>Walker, SR; Carter, EJ; Huff, BC; Morris, JC</t>
  </si>
  <si>
    <t>Walker, Scoff R.; Carter, Erin J.; Huff, Belinda C.; Morris, Jonathan C.</t>
  </si>
  <si>
    <t>Variolins and Related Alkaloids</t>
  </si>
  <si>
    <t>CHEMICAL REVIEWS</t>
  </si>
  <si>
    <t>CYCLIN-DEPENDENT KINASES; SPONGE KIRKPATRICKIA-VARIALOSA; TUNICATE APLIDIUM-MERIDIANUM; TRANSFER-RNA SYNTHETASE; ANTARCTIC SPONGE; DEOXYVARIOLIN-B; TOSYLMETHYL ISOCYANIDE; COUPLING REACTIONS; HYRTINADINE-A; BRUGIA-MALAYI</t>
  </si>
  <si>
    <t>[Walker, Scoff R.; Carter, Erin J.; Huff, Belinda C.; Morris, Jonathan C.] Univ Adelaide, Sch Chem &amp; Phys, Adelaide, SA 5005, Australia</t>
  </si>
  <si>
    <t>University of Adelaide</t>
  </si>
  <si>
    <t>Morris, JC (corresponding author), Univ Adelaide, Sch Chem &amp; Phys, Adelaide, SA 5005, Australia.</t>
  </si>
  <si>
    <t>jonathan.morris@adelaide.edu.au</t>
  </si>
  <si>
    <t>Morris, Jonathan C/HKE-9940-2023; Morris, Jonathan C/A-9923-2008</t>
  </si>
  <si>
    <t>Morris, Jonathan C/0000-0002-5109-9069;</t>
  </si>
  <si>
    <t>PharmaMar [DP0706503]; University of Canterbury</t>
  </si>
  <si>
    <t>PharmaMar; University of Canterbury</t>
  </si>
  <si>
    <t>J.C.M. wishes to thank former and present members of the research group for their contributions to the work discussed here, as well as his collaborators Prof. Laurent Meijer (CNRS, Roscoff), Prof. Leslie Kuhn (Michigan State University), and Prof. Michael Kron (Medical College of Wisconsin). This work has been supported by an ARC Discovery Grant (DP0706503), with initial efforts Supported by contributions from PharmaMar and the University of Canterbury.</t>
  </si>
  <si>
    <t>0009-2665</t>
  </si>
  <si>
    <t>CHEM REV</t>
  </si>
  <si>
    <t>Chem. Rev.</t>
  </si>
  <si>
    <t>10.1021/cr900032s</t>
  </si>
  <si>
    <t>471WW</t>
  </si>
  <si>
    <t>WOS:000268090000012</t>
  </si>
  <si>
    <t>Sun, LS; Huang, BC</t>
  </si>
  <si>
    <t>Sun Li-Sha; Huang Bao-Chun</t>
  </si>
  <si>
    <t>New paleomagnetic result for Ordovician rocks from the Tarim Block, Northwest China and its tectonic implications</t>
  </si>
  <si>
    <t>Tarim block; Ordovician; Paleomagnetism; Tectonic evolution; Paleogeography</t>
  </si>
  <si>
    <t>POLAR WANDER PATH; BASIN NW CHINA; SOUTH CHINA; FOLD TEST; REMAGNETIZATION CIRCLES; HEXI CORRIDOR; MAJOR BLOCKS; CONSTRAINTS; INDIA; RECONSTRUCTIONS</t>
  </si>
  <si>
    <t>This paper reports new Ordovician paleomagnetic results from the Aksu-Kalpin-Bachu area of the Tarim Block. Based on the systematic study of rock magnetism and paleomagnetism with limestone, argillaceous limestone, and argillaceous sandstone specimens from 44 sampling sites, all the samples could be divided into two types: the predominant magnetic minerals of the first type are hematite and subordinate magnetite. For the specimens from this type, characteristic remanent magnetization (ChRM) could generally be isolated by demagnetization temperatures larger than 600 degrees C; we assigned this ChRM as component A; whilst magnetite is the predominant magnetic mineral of the second type; progressive demagnetization yielded another ChRM (component B) with unblocking temperatures of 550 similar to 570 degrees C. The component A obtained from the majority of Ordovician specimens has dual polarity and a negative fold test result; we interpreted it as a remagnetization component acquired during the Cenozoic period. The component B can only be isolated from some Middle-Late Ordovician specimens with unique normal polarity, and has a positive fold test result at 95% confidence. The corresponding paleomagnetic pole of this characteristic component is at 40.7 degrees S, 183.3 degrees E with dp/dm=4.8 degrees/6.9 degrees and is in great difference with the available post-Late Paleozoic paleopoles for the Tarim Block, indicating that the characteristic component B could be primary magnetization acquired in the formation of the rocks. The new Ordovician paleomagnetic result shows that the Tarim Block was located in the low- to intermediate- latitude regions of the Southern Hemisphere during the Middle-Late Ordovician period, and is very likely to situate, together with the South China Block, in the western margin of the Australian-Antarctic continents of East Gondwana. However, it may have subjected to a large northward drift and clockwise rotation after the Middle-Late Ordovician period, which resulted in the separation of Tarim from the East Gondwanaland and subsequent crossing of the paleo-equator; by the Late Carboniferous period the Tarim Block may have accreted to the southern margin of the Altaids.</t>
  </si>
  <si>
    <t>[Sun Li-Sha; Huang Bao-Chun] Chinese Acad Sci, Inst Geol &amp; Geophys, State Key Lab Lithospher Evolut, Beijing 100029, Peoples R China</t>
  </si>
  <si>
    <t>Chinese Academy of Sciences; Institute of Geology &amp; Geophysics, CAS</t>
  </si>
  <si>
    <t>Sun, LS (corresponding author), Chinese Acad Sci, Inst Geol &amp; Geophys, State Key Lab Lithospher Evolut, Beijing 100029, Peoples R China.</t>
  </si>
  <si>
    <t>lisa@mail.iggcas.ac.cn</t>
  </si>
  <si>
    <t>Huang, Baochun/B-6701-2012</t>
  </si>
  <si>
    <t>Huang, Baochun/0000-0002-9442-5661</t>
  </si>
  <si>
    <t>10.3969/j.issn.0001-5733.2009.07.018</t>
  </si>
  <si>
    <t>477ZW</t>
  </si>
  <si>
    <t>WOS:000268558500018</t>
  </si>
  <si>
    <t>Beena, BS; von Storch, JS</t>
  </si>
  <si>
    <t>Beena, Balan Sarojini; von Storch, Jin-Song</t>
  </si>
  <si>
    <t>Effects of fluctuating daily surface fluxes on the time-mean oceanic circulation</t>
  </si>
  <si>
    <t>Fluctuating daily fluxes; Vertical mixing; Meridional overturning circulation; Antarctic circumpolar current; Air-sea interaction</t>
  </si>
  <si>
    <t>NORTH-ATLANTIC; THERMOHALINE CIRCULATION; MODEL; FEEDBACK; FLOW</t>
  </si>
  <si>
    <t>The effect of fluctuating daily surface fluxes on the time-mean oceanic circulation is studied using an empirical flux model. The model produces fluctuating fluxes resulting from atmospheric variability and includes oceanic feedbacks on the fluxes. Numerical experiments were carried out by driving an ocean general circulation model with three different versions of the empirical model. It is found that fluctuating daily fluxes lead to an increase in the meridional overturning circulation (MOC) of the Atlantic of about 1 Sv and a decrease in the Antarctic circumpolar current (ACC) of about 32 Sv. The changes are approximately 7% of the MOC and 16% of the ACC obtained without fluctuating daily fluxes. The fluctuating fluxes change the intensity and the depth of vertical mixing. This, in turn, changes the density field and thus the circulation. Fluctuating buoyancy fluxes change the vertical mixing in a non-linear way: they tend to increase the convective mixing in mostly stable regions and to decrease the convective mixing in mostly unstable regions. The ACC changes are related to the enhanced mixing in the subtropical and the mid-latitude Southern Ocean and reduced mixing in the high-latitude Southern Ocean. The enhanced mixing is related to an increase in the frequency and the depth of convective events. As these events bring more dense water downward, the mixing changes lead to a reduction in meridional gradient of the depth-integrated density in the Southern Ocean and hence the strength of the ACC. The MOC changes are related to more subtle density changes. It is found that the vertical mixing in a latitudinal strip in the northern North Atlantic is more strongly enhanced due to fluctuating fluxes than the mixing in a latitudinal strip in the South Atlantic. This leads to an increase in the density difference between the two strips, which can be responsible for the increase in the Atlantic MOC.</t>
  </si>
  <si>
    <t>[Beena, Balan Sarojini; von Storch, Jin-Song] Max Planck Inst Meteorol, D-20146 Hamburg, Germany</t>
  </si>
  <si>
    <t>von Storch, JS (corresponding author), Max Planck Inst Meteorol, Bundesstr 53, D-20146 Hamburg, Germany.</t>
  </si>
  <si>
    <t>jin-song.von.storch@zmaw.de</t>
  </si>
  <si>
    <t>Balan Sarojini, Beena/0000-0002-3267-6369</t>
  </si>
  <si>
    <t>German Research Foundation in the Special Research Areas [SFB 512]; Cyclones and the North Atlantic Climate System</t>
  </si>
  <si>
    <t>German Research Foundation in the Special Research Areas(German Research Foundation (DFG)); Cyclones and the North Atlantic Climate System</t>
  </si>
  <si>
    <t>This study is supported by the German Research Foundation in the Special Research Areas (SFB 512), Cyclones and the North Atlantic Climate System''. We thank Uwe Mikolajewicz and two anonymous reviewers for valuable suggestions in improving this manuscript. Thanks also to Johann Jungclaus who provided us a program to calculate the volume transports between the Nordic Seas and the North Atlantic which helped us to answer a question raised by a reviewer.</t>
  </si>
  <si>
    <t>10.1007/s00382-009-0575-y</t>
  </si>
  <si>
    <t>448MK</t>
  </si>
  <si>
    <t>Green Submitted, hybrid, Green Accepted</t>
  </si>
  <si>
    <t>WOS:000266266500001</t>
  </si>
  <si>
    <t>Lim, EP; Simmonds, I</t>
  </si>
  <si>
    <t>Lim, Eun-Pa; Simmonds, Ian</t>
  </si>
  <si>
    <t>Effect of tropospheric temperature change on the zonal mean circulation and SH winter extratropical cyclones</t>
  </si>
  <si>
    <t>Climate change; Extratropical cyclones; Baroclinicity; Static stability; Meridional temperature gradient</t>
  </si>
  <si>
    <t>SOUTHERN-HEMISPHERE; CLIMATE-CHANGE; STORM TRACKS; SULFATE AEROSOLS; NUMERICAL SCHEME; GREENHOUSE GASES; NORTH-ATLANTIC; DIGITAL DATA; MODEL; SIMULATIONS</t>
  </si>
  <si>
    <t>This study aims to understand the mechanisms which cause an overall reduction of SH extratropical cyclone activity with a slight increase in the high latitudes in a warmer climate simulated in general circulation models (GCMs) with increasing CO2. For this purpose, we conducted idealized model experiments by forcing warm temperature anomalies to the areas where climate change models exhibit local maximum warming-the tropics in the upper troposphere and the polar regions in the lower troposphere-simultaneously and separately. The Melbourne University atmospheric GCM (R21) coupled with prescribed SST was utilized for the experiments. Our results demonstrate that the reduction of SH extratropical cyclone frequency and depth in the midlatitudes but the slight increase in the high latitudes suggested in climate change models result essentially from the tropical upper tropospheric warming. With this tropical warming, the enhanced static stability which decreases baroclinicity in the low and midlatitudes turns out to be a major contributor to the decrease of cyclone activity equatorward of 45A degrees S whereas the increased meridional temperature gradient in the high latitudes seems an important mechanism for the increase of cyclone activity over 50A degrees aEuro60A degrees S.</t>
  </si>
  <si>
    <t>[Lim, Eun-Pa] Ctr Australian Weather &amp; Climate Res, Melbourne, Vic 3001, Australia; [Lim, Eun-Pa; Simmonds, Ian] Univ Melbourne, Sch Earth Sci, Parkville, Vic 3010, Australia</t>
  </si>
  <si>
    <t>Commonwealth Scientific &amp; Industrial Research Organisation (CSIRO); University of Melbourne</t>
  </si>
  <si>
    <t>Lim, EP (corresponding author), Ctr Australian Weather &amp; Climate Res, GPO Box 1289K, Melbourne, Vic 3001, Australia.</t>
  </si>
  <si>
    <t>e.lim@bom.gov.au</t>
  </si>
  <si>
    <t>Lim, Eun-Pa/0000-0001-8273-5358; Simmonds, Ian/0000-0002-4479-3255</t>
  </si>
  <si>
    <t>Australian Research Council; Antarctic Science Advisory Committee; David Lachlan Hay Memorial Fund at The University of Melbourne</t>
  </si>
  <si>
    <t>Australian Research Council(Australian Research Council); Antarctic Science Advisory Committee; David Lachlan Hay Memorial Fund at The University of Melbourne</t>
  </si>
  <si>
    <t>Parts of this research was made possible by funding from the Australian Research Council, the Antarctic Science Advisory Committee and the David Lachlan Hay Memorial Fund at The University of Melbourne. The authors are grateful for the input from Xingren Wu and the Antarctic CRC and for the help with running the MUGCM experiments from Richard Wardle. Neville Nicholls, Alexandre Pezza, Harun Rashid and two anonymous reviewers are thanked for giving useful comments on the text. We appreciate the help with the IPCC figure from Julie Arblaster and programing assistance from Kevin Keay.</t>
  </si>
  <si>
    <t>10.1007/s00382-008-0444-0</t>
  </si>
  <si>
    <t>WOS:000266266500002</t>
  </si>
  <si>
    <t>Buesseler, KO; Pike, S; Maiti, K; Lamborg, CH; Siegel, DA; Trull, TW</t>
  </si>
  <si>
    <t>Buesseler, K. O.; Pike, S.; Maiti, K.; Lamborg, C. H.; Siegel, D. A.; Trull, T. W.</t>
  </si>
  <si>
    <t>Thorium-234 as a tracer of spatial, temporal and vertical variability in particle flux in the North Pacific</t>
  </si>
  <si>
    <t>Thorium-234; Particle flux; Sediment trap; Scavenging; North Pacific</t>
  </si>
  <si>
    <t>PARTICULATE ORGANIC-CARBON; SEDIMENT TRAPS; TWILIGHT ZONE; TIME-SERIES; COMMUNITY STRUCTURE; SOUTHERN-OCEAN; WATER COLUMN; EXPORT FLUX; SINKING PARTICLES; BIOLOGICAL PUMP</t>
  </si>
  <si>
    <t>An extensive Th-234 data set was collected at two sites in the North Pacific: ALOHA, an oligotrophic site near Hawaii, and K2, a mesotrophic HNLC site in the NW Pacific as part of the VERTIGO (VERtical Transport In the Global Ocean) study. Total Th-234:U-238 activity ratios near 1.0 indicated low particle fluxes at ALOHA, while Th-234:U-238 similar to 0.6 in the euphotic zone at K2 indicated higher particle export. However, spatial variability was large at both sites-even greater than seasonal variability as reported in prior studies. This variability in space and time confounds the use of single profiles of Th-234 for sediment trap calibration purposes. At K2, there was a decrease in export flux and increase in Th-234 activities over time associated with the declining phase of a summer diatom bloom, which required the use of non-steady state models for flux predictions. This variability in space and time confounds the use of single profiles of Th-234 for sediment trap calibration purposes. High vertical resolution profiles show narrow layers (20-30 m) of excess Th-234 below the deep chlorophyll maximum at K2 associated with particle remineralization resulting in a decrease in flux at depth that may be missed with standard sampling for Th-234 and/or with sediment traps. Also, the application of Th-234 as POC flux tracer relies on accurate sampling of particulate POC/Th-234 ratios and here the ratio is similar on sinking particles and mid-sized particles collected by in-situ filtration (&gt;10-50 mu m at ALOHA and &gt;5-350 mu m at K2). To further address variability in particle fluxes at K2, a simple model of the drawdown of Th-234 and nutrients is used to demonstrate that while coupled during export, their ratios in the water column will vary with time and depth after export. Overall these Th-234 data provide a detailed view into particle flux and remineralization in the North Pacific over time and space scales that are varying over days to weeks, and 10's-100's km at a resolution that is difficult to obtain with other methods. (C) 2009 Elsevier Ltd. All rights reserved.</t>
  </si>
  <si>
    <t>[Buesseler, K. O.; Pike, S.; Maiti, K.; Lamborg, C. H.] Woods Hole Oceanog Inst, Dept Marine Chem &amp; Geochem, Woods Hole, MA 02543 USA; [Siegel, D. A.] Univ Calif Santa Barbara, Dept Geog, Santa Barbara, CA 93106 USA; [Siegel, D. A.] Univ Calif Santa Barbara, Inst Computat Earth Syst Sci, Santa Barbara, CA 93106 USA; [Trull, T. W.] Univ Tasmania, CSIRO Marine &amp; Atmospher Res, Antarctic Climate &amp; Ecosyst Cooperat Res Ctr, Hobart, Tas 7001, Australia</t>
  </si>
  <si>
    <t>Woods Hole Oceanographic Institution; University of California System; University of California Santa Barbara; University of California System; University of California Santa Barbara; Antarctic Climate &amp; Ecosystems Cooperative Research Centre (ACE CRC); Commonwealth Scientific &amp; Industrial Research Organisation (CSIRO); University of Tasmania</t>
  </si>
  <si>
    <t>Buesseler, KO (corresponding author), Woods Hole Oceanog Inst, Dept Marine Chem &amp; Geochem, Woods Hole, MA 02543 USA.</t>
  </si>
  <si>
    <t>kbuesseler@whoi.edu</t>
  </si>
  <si>
    <t>Siegel, David A/C-5587-2008; Maiti, Kanchan/E-1936-2013; Trull, Tom W/B-7028-2014</t>
  </si>
  <si>
    <t>Siegel, David/0000-0003-1674-3055; Lamborg, Carl/0000-0003-4379-3904</t>
  </si>
  <si>
    <t>US National Science Foundation Programs in Chemical and Biological Oceanography; US Department of Energy (DAS); Australian Cooperative Research Centres program</t>
  </si>
  <si>
    <t>US National Science Foundation Programs in Chemical and Biological Oceanography(National Science Foundation (NSF)); US Department of Energy (DAS)(United States Department of Energy (DOE)); Australian Cooperative Research Centres program(Australian GovernmentDepartment of Industry, Innovation and ScienceCooperative Research Centres (CRC) Programme)</t>
  </si>
  <si>
    <t>We thank the officers, crew and shore based support teams for the R/V Kilo Moana (2004) and R/V Roger Revelle (2005). We also thank our many VERTIGO collaborators, in particular S. Manganini and S. Bray for on-deck leadership in many successful sediment trap deployments, J. Valdes for NBST design and engineering, J. Andrews and C. Bertrand for NBST and Clap trap analytical programs, J. Bishop for collection of size-fractionated particle samples, E. Fields and J. Hummon for assistance in estimating particle source funnels, R. Bidigare for HPLC pigments, and the W.H.O.I. Plasma Mass Spectrometry Facility and W.H.O.I. Nutrient Analytical Facility. Constructive comments by three anonymous reviewers and S. Owens are greatly appreciated. Funding for VERTIGO in the US was provided primarily by research grants from the US National Science Foundation Programs in Chemical and Biological Oceanography with additional support by the US Department of Energy (DAS). For TWT, support came from the Australian Cooperative Research Centres program.</t>
  </si>
  <si>
    <t>10.1016/j.dsr.2009.04.001</t>
  </si>
  <si>
    <t>469PT</t>
  </si>
  <si>
    <t>WOS:000267912800007</t>
  </si>
  <si>
    <t>Forster, G; Upstill-Goddard, RC; Gist, N; Robinson, C; Uher, G; Woodward, EMS</t>
  </si>
  <si>
    <t>Forster, Grant; Upstill-Goddard, Rob C.; Gist, Niki; Robinson, Carol; Uher, Gunther; Woodward, E. Malcolm S.</t>
  </si>
  <si>
    <t>Nitrous oxide and methane in the Atlantic Ocean between 50°N and 52°S: Latitudinal distribution and sea-to-air flux</t>
  </si>
  <si>
    <t>Nitrous oxide; Methane; Atlantic Ocean; Depth Profile; Gas Exchange; Ocean atmosphere interaction</t>
  </si>
  <si>
    <t>NEAR-SURFACE WATERS; GLOBAL N2O BUDGET; TROPICAL ATLANTIC; NORTH-ATLANTIC; GAS-EXCHANGE; ARABIAN SEA; ATMOSPHERIC METHANE; EMISSIONS; SEAWATER; OXYGEN</t>
  </si>
  <si>
    <t>We discuss nitrous oxide (N(2)O) and methane (CH(4)) distributions in 49 vertical profiles covering the upper similar to 300 m of the water column along two similar to 13,500 km transects between similar to 50 degrees N and similar to 52 degrees S during the Atlantic Meridional Transect (AMT) programme (AMT cruises 12 and 13). Vertical N(2)O profiles were amenable to analysis on the basis of common features coincident with Longhurst provinces. In contrast, CH(4) showed no such pattern. The most striking feature of the latitudinal depth distributions was a well-defined plume of exceptionally high N(2)O concentrations coincident with very low levels of CH(4), located between similar to 23.5 degrees N and similar to 23.5 degrees S: this feature reflects the upwelling of deep waters containing N(2)O derived from nitrification, as identified by an analysis of N(2)O, apparent oxygen utilization (AOU) and NO(3)(-), and presumably depleted in CH(4) by bacterial oxidation. Sea-to-air emissions fluxes for a region equivalent to similar to 42% of the Atlantic Ocean surface area were in the range 0.40-0.68 Tg N(2)O yr(-1) and 0.81-1.43 Tg CH(4) yr(-1). Based on contemporary estimates of the global ocean source strengths of atmospheric N(2)O and CH(4), the Atlantic Ocean could account for similar to 6-15% and 4-13%, respectively, of these source totals. Given that the Atlantic Ocean accounts for around 20% of the global ocean surface, on unit area basis it appears that the Atlantic may be a slightly weaker source of atmospheric N(2)O than other ocean regions but it could make a somewhat larger contribution to marine-derived atmospheric CH(4) than previously thought. Crown Copyright (C) 2008 Published by Elsevier Ltd. All rights reserved.</t>
  </si>
  <si>
    <t>[Forster, Grant; Upstill-Goddard, Rob C.; Uher, Gunther] Newcastle Univ, Sch Marine Sci &amp; Technol, Ocean Res Grp, Newcastle Upon Tyne NE1 7RU, Tyne &amp; Wear, England; [Gist, Niki; Robinson, Carol; Woodward, E. Malcolm S.] Plymouth Marine Lab, Plymouth PL1 3DH, Devon, England</t>
  </si>
  <si>
    <t>Newcastle University - UK; Plymouth Marine Laboratory</t>
  </si>
  <si>
    <t>Forster, G (corresponding author), Newcastle Univ, Sch Marine Sci &amp; Technol, Ocean Res Grp, Newcastle Upon Tyne NE1 7RU, Tyne &amp; Wear, England.</t>
  </si>
  <si>
    <t>G.forster@uea.ac.uk</t>
  </si>
  <si>
    <t>Woodward, Ernest M S/D-5755-2016; Robinson, Carol/F-7649-2011; Uher, Guenther/AAC-7920-2022; Robinson, Carol/AAW-1857-2021</t>
  </si>
  <si>
    <t>Robinson, Carol/0000-0003-3033-4565; Uher, Guenther/0000-0001-5105-4445; Robinson, Carol/0000-0003-3033-4565; Upstill-Goddard, Robert/0000-0003-3396-284X</t>
  </si>
  <si>
    <t>UK Natural Environment Research Council (NERC) [NER/O/S/2001/00680]; UK Oceanographic Research Services (UKORS); Research Ships Unit (RSU); British Antarctic Survey (BAS); Natural Environment Research Council [pml010002, NER/O/S/2001/00680] Funding Source: researchfish; NERC [pml010002] Funding Source: UKRI</t>
  </si>
  <si>
    <t>UK Natural Environment Research Council (NERC)(UK Research &amp; Innovation (UKRI)Natural Environment Research Council (NERC)); UK Oceanographic Research Services (UKORS); Research Ships Unit (RSU); British Antarctic Survey (BAS); Natural Environment Research Council(UK Research &amp; Innovation (UKRI)Natural Environment Research Council (NERC)); NERC(UK Research &amp; Innovation (UKRI)Natural Environment Research Council (NERC))</t>
  </si>
  <si>
    <t>Numerous colleagues assisted us in many ways during AMT and without them this study would not have been realized. In particular we recognize the sterling efforts of the captains and crews of RRS. James Clark Ross and the Principal Scientists Tim Jickells and Carol Robinson on AMT12 and AMT13, support given to us by staff from the UK Natural Environment Research Council (NERC), in particular UK Oceanographic Research Services (UKORS) and Research Ships Unit (RSU), the British Antarctic Survey (BAS), and all those AMT scientists whom we have failed to include here. This work was supported by NERC through an award (NER/O/S/2001/00680) made to the Atlantic Meridional Transect Consortium. This is contribution number 170 of the AMT programme.</t>
  </si>
  <si>
    <t>10.1016/j.dsr2.2008.12.002</t>
  </si>
  <si>
    <t>479FL</t>
  </si>
  <si>
    <t>WOS:000268645000007</t>
  </si>
  <si>
    <t>Ryskov, YG; Velichko, AA; Nikolaev, VI; Morozova, TD; Timireva, SN; Oleinik, SA</t>
  </si>
  <si>
    <t>Ryskov, Ya. G.; Velichko, A. A.; Nikolaev, V. I.; Morozova, T. D.; Timireva, S. N.; Oleinik, S. A.</t>
  </si>
  <si>
    <t>Comparison of pedogenic CO2-containing carbonates in fossil soil and loess from the Antarctic ice core</t>
  </si>
  <si>
    <t>[Velichko, A. A.; Nikolaev, V. I.; Morozova, T. D.; Timireva, S. N.] Russian Acad Sci, Inst Geog, Moscow 119017, Russia</t>
  </si>
  <si>
    <t>Institute of Geography, Russian Academy of Sciences; Russian Academy of Sciences</t>
  </si>
  <si>
    <t>paleo_igras@mail.ru; v.nikolaev@relcom.ru</t>
  </si>
  <si>
    <t>Timireva, Svetlana/AAG-2862-2021</t>
  </si>
  <si>
    <t>Timireva, Svetlana/0000-0003-2985-1127</t>
  </si>
  <si>
    <t>Russian Foundation for Basic Research [08-05-00275, 0805-00562]</t>
  </si>
  <si>
    <t>This work was supported by the Russian Foundation for Basic Research, project nos. 08-05-00275 and 0805-00562.</t>
  </si>
  <si>
    <t>1531-8354</t>
  </si>
  <si>
    <t>10.1134/S1028334X09050377</t>
  </si>
  <si>
    <t>474UC</t>
  </si>
  <si>
    <t>WOS:000268308700037</t>
  </si>
  <si>
    <t>Bonacci, S; Corsi, I; Focardi, S</t>
  </si>
  <si>
    <t>Bonacci, Stefano; Corsi, Ilaria; Focardi, Silvano</t>
  </si>
  <si>
    <t>Cholinesterases in the Antarctic scallop Adamussium colbecki: Characterization and sensitivity to pollutants</t>
  </si>
  <si>
    <t>ECOTOXICOLOGY AND ENVIRONMENTAL SAFETY</t>
  </si>
  <si>
    <t>Cholinesterases; Antarctic scallop; Adamussium colbecki; Organophosphates; PAH; PCB; Biomarker</t>
  </si>
  <si>
    <t>POLYCYCLIC AROMATIC-HYDROCARBONS; ACETYLCHOLINESTERASE ACTIVITY; ESTERASE-ACTIVITIES; MYTILUS-EDULIS; ROSS SEA; EXPOSURE; FISH; BIOMARKERS; ORGANOPHOSPHATE; CHLORPYRIFOS</t>
  </si>
  <si>
    <t>Antarctica is affected by man-made contamination and development of sensitive ecotoxicological tools for impact assessment is a priority task. The aims of the present study were to characterize cholinesterase (ChE) activities in an Antarctic key species, the scallop Adamussium colbecki, and to investigate their sensitivity as biological markers (biomarkers) of exposure to pollutants and of their effects. Our results show that ChEs in gills share most characteristics with true acetylcholinesterase. The present results show that ChE activities in A. colbecki are significantly inhibited by organophosphates (OPs) and somehow affected by in vitro exposure to mixtures of marine contaminants such as polycyclic aromatic hydrocarbons (PAHs), even if no concentration-dependent pattern of response was observed and no effect was elicited by polychlorinated biphenyls (PCBs). The present results do not demonstrate ChEs in A. colbecki as sensitive tools to measure exposure to the above chemicals, but they may be worthy of further study considering the importance of the scallop in Antarctic marine ecosystems and its suitability as a sentinel species. (C) 2009 Elsevier Inc. All rights reserved.</t>
  </si>
  <si>
    <t>[Bonacci, Stefano; Corsi, Ilaria; Focardi, Silvano] Univ Siena, Dept Environm Sci G Sarfatti, I-53100 Siena, Italy</t>
  </si>
  <si>
    <t>Bonacci, S (corresponding author), Univ Siena, Dept Environm Sci G Sarfatti, Via PA Mattioli 4, I-53100 Siena, Italy.</t>
  </si>
  <si>
    <t>bonacci@unisi.it</t>
  </si>
  <si>
    <t>Corsi, Ilaria/D-3795-2012; Bonacci, Stefano/ABI-5676-2020</t>
  </si>
  <si>
    <t>Corsi, Ilaria/0000-0002-1811-3041;</t>
  </si>
  <si>
    <t>PNRA (Programma Nazionale di Ricerche in Antartide) Italian Antarctic Programme</t>
  </si>
  <si>
    <t>The present study was financed by funds of the PNRA (Programma Nazionale di Ricerche in Antartide) Italian Antarctic Programme and is part of S. Bonacci's Ph.D. research. We thank Dr Helen Ampt for revising the English and Dr Mauro Alberti for supplying Antarctic maps. The authors declare that the studies described here were conducted in accordance with national and institutional guidelines for the protection of human subjects and animal welfare.</t>
  </si>
  <si>
    <t>0147-6513</t>
  </si>
  <si>
    <t>1090-2414</t>
  </si>
  <si>
    <t>ECOTOX ENVIRON SAFE</t>
  </si>
  <si>
    <t>Ecotox. Environ. Safe.</t>
  </si>
  <si>
    <t>10.1016/j.ecoenv.2009.01.002</t>
  </si>
  <si>
    <t>Environmental Sciences; Toxicology</t>
  </si>
  <si>
    <t>Environmental Sciences &amp; Ecology; Toxicology</t>
  </si>
  <si>
    <t>455KU</t>
  </si>
  <si>
    <t>WOS:000266759200022</t>
  </si>
  <si>
    <t>Cincinelli, A; Martellini, T; Del Bubba, M; Lepri, L; Corsolini, S; Borghesi, N; King, MD; Dickhut, RM</t>
  </si>
  <si>
    <t>Cincinelli, Alessandra; Martellini, Tania; Del Bubba, Massimo; Lepri, Luciano; Corsolini, Simonetta; Borghesi, Nicoletta; King, Martin D.; Dickhut, Rebecca M.</t>
  </si>
  <si>
    <t>Organochlorine pesticide air-water exchange and bioconcentration in krill in the Ross Sea</t>
  </si>
  <si>
    <t>ENVIRONMENTAL POLLUTION</t>
  </si>
  <si>
    <t>Antarctica; Hexachlorocyclohexanes; Hexachlorobenzene; Fugacity; Bioconcentration</t>
  </si>
  <si>
    <t>PERSISTENT ORGANIC POLLUTANTS; HENRYS LAW CONSTANTS; GAS-EXCHANGE; AMBIENT AIR; OCEAN; HEXACHLOROCYCLOHEXANES; TRANSPORT; BIPHENYLS; POPS</t>
  </si>
  <si>
    <t>Mean hexachlorobenzene (HCB) and hexachlorocyclohexane (HCH) concentrations, measured in seawater and air samples, confirmed the decline in levels of these compounds in Antarctic air and water. However, low alpha/gamma-HCH ratios in air at the beginning of the sampling period suggest a predominance of fresh lindane entering the Antarctic atmosphere during the Austral spring probably due to current use in the Southern Hemisphere. Water-air fugacity ratios demonstrate the potential for HCH gas deposition to coastal Antarctic seas, while the water-air fugacity ratios for HCB imply that volatilization does not account for the observed decrease of HCB in surface seawater. HCH concentrations found in krill samples were correlated with seawater concentrations indicative of bioconcentration of HCHs from seawater. (C) 2009 Elsevier Ltd. All rights reserved.</t>
  </si>
  <si>
    <t>[Cincinelli, Alessandra; Martellini, Tania; Del Bubba, Massimo; Lepri, Luciano] Univ Florence, Dept Chem, Florence, Italy; [Corsolini, Simonetta; Borghesi, Nicoletta] Univ Siena, Dept Environm Sci, I-53100 Siena, Italy; [King, Martin D.] Univ London Royal Holloway &amp; Bedford New Coll, Dept Earth Sci, Surrey, England; [Dickhut, Rebecca M.] Virginia Inst Marine Sci, Gloucester Point, VA 23062 USA</t>
  </si>
  <si>
    <t>University of Florence; University of Siena; University of London; Royal Holloway University London; William &amp; Mary; Virginia Institute of Marine Science</t>
  </si>
  <si>
    <t>Cincinelli, A (corresponding author), Univ Florence, Dept Chem, Florence, Italy.</t>
  </si>
  <si>
    <t>acincinelli@unifi.it</t>
  </si>
  <si>
    <t>Corsolini, Simonetta/B-9460-2012; Cincinelli, Alessandra/A-8468-2011; Martellini, Tania/AAD-1095-2020; King, Martin/B-1308-2009</t>
  </si>
  <si>
    <t>Corsolini, Simonetta/0000-0002-9772-2362; Martellini, Tania/0000-0001-6803-1928; King, Martin/0000-0002-0089-7693; Cincinelli, Alessandra/0000-0002-6977-4595</t>
  </si>
  <si>
    <t>Italian National Project of Antarctic Research (PNRA); Natural Environment Research Council [NE/F010788/1] Funding Source: researchfish; NERC [NE/F010788/1] Funding Source: UKRI</t>
  </si>
  <si>
    <t>Italian National Project of Antarctic Research (PNRA); Natural Environment Research Council(UK Research &amp; Innovation (UKRI)Natural Environment Research Council (NERC)); NERC(UK Research &amp; Innovation (UKRI)Natural Environment Research Council (NERC))</t>
  </si>
  <si>
    <t>This project is part of the Project 9.1 Micropollutants and microchemicals in the environment: Cycling and relationships with climate changes and Project 1.4 Use of bioindicators to detect natural and anthropic change in Antarctic ecosystems, Research task: Flow, energy flow and contaminants through Antarctic trophic webs supported by Italian National Project of Antarctic Research (PNRA). The authors gratefully acknowledge the NOAA Air Resources Laboratory (ARL) for the provision of the HYSPLIT transport and dispersion model and/or READY website (http://www.arl.noaa.gov/ready.html) used in this publication.</t>
  </si>
  <si>
    <t>0269-7491</t>
  </si>
  <si>
    <t>1873-6424</t>
  </si>
  <si>
    <t>ENVIRON POLLUT</t>
  </si>
  <si>
    <t>Environ. Pollut.</t>
  </si>
  <si>
    <t>10.1016/j.envpol.2009.02.010</t>
  </si>
  <si>
    <t>449SR</t>
  </si>
  <si>
    <t>WOS:000266350800024</t>
  </si>
  <si>
    <t>Schafer, AN; Snape, I; Siciliano, SD</t>
  </si>
  <si>
    <t>Schafer, Alexis N.; Snape, Ian; Siciliano, Steven D.</t>
  </si>
  <si>
    <t>INFLUENCE OF LIQUID WATER AND SOIL TEMPERATURE ON PETROLEUM HYDROCARBON TOXICITY IN ANTARCTIC SOIL</t>
  </si>
  <si>
    <t>ENVIRONMENTAL TOXICOLOGY AND CHEMISTRY</t>
  </si>
  <si>
    <t>Soil respiration; Nitrification; Denitrification; Diesel contamination</t>
  </si>
  <si>
    <t>TIME-DOMAIN REFLECTOMETRY; OIL-POLLUTED SOIL; AMMONIA MONOOXYGENASE; NITROSOMONAS-EUROPAEA; COMMUNITY COMPOSITION; FROZEN SOIL; FUEL SPILLS; BIOREMEDIATION; CONTAMINATION; BIODEGRADATION</t>
  </si>
  <si>
    <t>Fuel spills in Antarctica typically occur in rare ice-free oases along the coast, which are areas of extreme seasonal freezing. Spills often occur at subzero temperatures, but little is known of ecosystem sensitivity to pollutants, in particular the influence that soil liquid water and low temperature have on toxicity of petroleum hydrocarbons (PHC) in Antarctic soil. To evaluate PHC toxicity, 32 locations at an aged diesel spill site in Antarctica were sampled nine times to encompass frozen, thaw, and refreeze periods. Toxicity was assessed using potential activities of substrate-induced respiration, basal respiration, nitrification, denitrification, and metabolic quotient as well as microbial community composition and bacterial biomass. The most sensitive indicator was community composition with a PHC concentration effecting 25% of the population (EC25) of 800 mg/kg, followed by nitrification (2,000 mg/kg), microbial biomass (2,400 mg/kg), and soil respiration (3,500 mg/kg). Despite changes in potential microbial activities and composition over the frozen, thaw, and refreeze period, the sensitivity of these endpoints to PHC did not change with liquid water or temperature. However, the variability associated with ecotoxicity data increased at low liquid water contents. As a consequence of this variability, highly replicated (n = 50) experiments are needed to quantify a 25% ecological impairment by PHCs in Antarctic soils at a 95% level of significance. Increases in biomass and respiration associated with changes in community composition suggest that PHC contamination in Antarctic soils may have irrevocable effects on the ecosystem.</t>
  </si>
  <si>
    <t>[Schafer, Alexis N.; Siciliano, Steven D.] Univ Saskatchewan, Toxicol Grp, Saskatoon, SK S7N 5B3, Canada; [Schafer, Alexis N.; Siciliano, Steven D.] Univ Saskatchewan, Dept Soil Sci, Saskatoon, SK S7N 5A8, Canada; [Snape, Ian] Australian Antarctic Div, Environm Protect &amp; Change Program, Kingston, Tas 7050, Australia</t>
  </si>
  <si>
    <t>University of Saskatchewan; University of Saskatchewan; Australian Antarctic Division</t>
  </si>
  <si>
    <t>Siciliano, SD (corresponding author), Univ Saskatchewan, Toxicol Grp, 44 Campus Dr, Saskatoon, SK S7N 5B3, Canada.</t>
  </si>
  <si>
    <t>steven.siciliano@usask.ca</t>
  </si>
  <si>
    <t>Siciliano, Steven D/G-3370-2011</t>
  </si>
  <si>
    <t>Siciliano, Steven/0000-0002-8994-3341</t>
  </si>
  <si>
    <t>Natural Sciences and Engineering Research Council of Canada Special Opportunities Research Grant; Australian Antarctic Division</t>
  </si>
  <si>
    <t>Natural Sciences and Engineering Research Council of Canada Special Opportunities Research Grant(Natural Sciences and Engineering Research Council of Canada (NSERC)); Australian Antarctic Division</t>
  </si>
  <si>
    <t>Funding was provided by a Natural Sciences and Engineering Research Council of Canada Special Opportunities Research Grant and by the Australian Antarctic Division. The authors would also like to thank John Rayner, Paul Harvey, Kate Mumford, Chris Rigby, Susan Ferguson, and Nina Cadman from the Australian Antarctic Division for their help with logistics and field sampling.</t>
  </si>
  <si>
    <t>0730-7268</t>
  </si>
  <si>
    <t>1552-8618</t>
  </si>
  <si>
    <t>ENVIRON TOXICOL CHEM</t>
  </si>
  <si>
    <t>Environ. Toxicol. Chem.</t>
  </si>
  <si>
    <t>10.1897/08-434.1</t>
  </si>
  <si>
    <t>457XM</t>
  </si>
  <si>
    <t>WOS:000266969500007</t>
  </si>
  <si>
    <t>Ward, NL; Steven, B; Penn, K; Methé, BA; Detrich, WH</t>
  </si>
  <si>
    <t>Ward, Naomi L.; Steven, Blaire; Penn, Kevin; Methe, Barbara A.; Detrich, William H., III</t>
  </si>
  <si>
    <t>Characterization of the intestinal microbiota of two Antarctic notothenioid fish species</t>
  </si>
  <si>
    <t>Antarctic microbiology; Notothenioid; Intestine; Bacteria; Diversity; 16S rRNA</t>
  </si>
  <si>
    <t>EARLY-LIFE STAGES; BACTERIAL-FLORA; MICROFLORA; GENE; DIVERSITY; EVOLUTION; SEA; IDENTIFICATION; HEMOGLOBIN; EXPRESSION</t>
  </si>
  <si>
    <t>The fish fauna of the Southern Ocean is dominated by species of the perciform suborder Notothenioidei, which constitute 46% of fish species and 90% of biomass. Notothenioids have undergone rapid morphological and ecological diversification and developed physiological adaptations to a cold, highly oxygenated environment. Microbes inhabiting animal intestines include those that perform essential nutritional functions, but notothenioid gut microbial communities have not been investigated using cultivation-independent approaches. We analyzed bacterial 16S rRNA gene sequences obtained from the intestinal tract of Notothenia coriiceps and Chaenocephalus aceratus, which differ in their pelagic distribution and feeding strategies. Both samples showed dominance of Gammaproteobacteria (mostly Vibrionaceae), as has been reported for temperate teleost species. Both samples showed low diversity relative to that reported for other fish microbiota studies, with C. aceratus containing fewer OTUs than N. coriiceps. Despite the small sample size of this preliminary study, our findings suggest that Antarctic notothenioids carry a gut microbiota similar in composition to that of temperate fish, but exhibiting lower species-level diversity. The omnivorous N. coriiceps individual exhibited greater diversity than the exclusively carnivorous C. aceratus individual, which may indicate that increasing herbivory in fish leads to gut microbe diversification, as found in mammals. Lastly, we detected members of taxa containing known microbial pathogens, which have not been previously reported in Antarctic notothenioid fish.</t>
  </si>
  <si>
    <t>[Ward, Naomi L.; Steven, Blaire] Univ Wyoming, Dept Mol Biol, Dept 3944, Laramie, WY 82071 USA; [Penn, Kevin] Univ Calif San Diego, Scripps Inst Oceanog, San Diego, CA 92103 USA; [Methe, Barbara A.] J Craig Venter Inst, Rockville, MD USA; [Detrich, William H., III] Northeastern Univ, Dept Biol, Boston, MA 02115 USA</t>
  </si>
  <si>
    <t>University of Wyoming; University of California System; University of California San Diego; Scripps Institution of Oceanography; J. Craig Venter Institute; Northeastern University</t>
  </si>
  <si>
    <t>Ward, NL (corresponding author), Univ Wyoming, Dept Mol Biol, Dept 3944, 1000 E Univ Ave, Laramie, WY 82071 USA.</t>
  </si>
  <si>
    <t>nlward@uwyo.edu</t>
  </si>
  <si>
    <t>Ward, Naomi/JHU-9086-2023; Steven, Blaire/E-5295-2012</t>
  </si>
  <si>
    <t>Steven, Blaire/0000-0001-5940-2432</t>
  </si>
  <si>
    <t>NSF [OPP-0089451, OPP-0336932, ANT-0635470, EPS-0447681]</t>
  </si>
  <si>
    <t>We gratefully acknowledge the excellent logistic support provided to our Antarctic field research program, performed at Palmer Station and on the seas of the Palmer Archipelago, by the staff of the Office of Polar Programs of the National Science Foundation, by the officers and crew of the ARSV Laurence M. Gould, and by the personnel of Raytheon Polar Services Company. Funding was provided by NSF grants OPP-0089451, OPP-0336932, and ANT-0635470 ( to H.W.D.). N. L. W. was also supported by NSF grant EPS-0447681.</t>
  </si>
  <si>
    <t>10.1007/s00792-009-0252-4</t>
  </si>
  <si>
    <t>467ZA</t>
  </si>
  <si>
    <t>WOS:000267781200010</t>
  </si>
  <si>
    <t>Pavlova, K; Panchev, I; Krachanova, M; Gocheva, M</t>
  </si>
  <si>
    <t>Pavlova, K.; Panchev, I.; Krachanova, M.; Gocheva, M.</t>
  </si>
  <si>
    <t>Production of an exopolysaccharide by Antarctic yeast</t>
  </si>
  <si>
    <t>FOLIA MICROBIOLOGICA</t>
  </si>
  <si>
    <t>EXTRACELLULAR PRODUCT; CANDIDA-UTILIS; POLYSACCHARIDES; GLUCOMANNAN</t>
  </si>
  <si>
    <t>Psychrophilic Antarctic yeasts produce polysaccharides in different concentrations. According to morphological, cultural, physiological and biochemical characteristics, the best producer strain was identified as Cryptococcus flavus A(51). The highest values for viscosity (59.1 mPa s) and crude polysaccharide productivity (5.75 g/L) were obtained in a medium containing 5 % sucrose and 0.25 % (NH4)(2)SO4, at 24 A degrees C for 6 d. The chemical composition and sugar constituents of the crude exopolysaccharide were determined (92.5 % saccharides, 3.34 % protein, and 4.16 % ash). The monosaccharide composition of the exopolysaccharide obtained from C. flavus strain AL(51) was established (55.1 % mannose, 26.1 % glucose, 9.60 % xylose, 1.90 % galactose). The microbial biopolymer has a high molar mass and homogeneity: 82 % of it had M 1.01 MDa.</t>
  </si>
  <si>
    <t>[Pavlova, K.] Bulgarian Acad Sci, Inst Microbiol, Lab Appl Microbiol, Plovdiv 4002, Bulgaria; [Panchev, I.] Univ Food Technol, Plovdiv 4002, Bulgaria; [Krachanova, M.; Gocheva, M.] Bulgarian Acad Sci, Inst Organ Chem, Ctr Phytochem, Plovdiv 4002, Bulgaria</t>
  </si>
  <si>
    <t>Bulgarian Academy of Sciences; University of Food Technology - Bulgaria; Bulgarian Academy of Sciences</t>
  </si>
  <si>
    <t>Pavlova, K (corresponding author), Bulgarian Acad Sci, Inst Microbiol, Lab Appl Microbiol, Plovdiv 4002, Bulgaria.</t>
  </si>
  <si>
    <t>konpavlova@yahoo.com</t>
  </si>
  <si>
    <t>Nikolova, Mariana/0000-0001-6640-8226</t>
  </si>
  <si>
    <t>National Fund Scientific Investigation [B-1615]</t>
  </si>
  <si>
    <t>National Fund Scientific Investigation</t>
  </si>
  <si>
    <t>This work was supported by grant B-1615 of the National Fund Scientific Investigation.</t>
  </si>
  <si>
    <t>0015-5632</t>
  </si>
  <si>
    <t>1874-9356</t>
  </si>
  <si>
    <t>FOLIA MICROBIOL</t>
  </si>
  <si>
    <t>Folia Microbiol.</t>
  </si>
  <si>
    <t>10.1007/s12223-009-0049-y</t>
  </si>
  <si>
    <t>506MY</t>
  </si>
  <si>
    <t>WOS:000270780400007</t>
  </si>
  <si>
    <t>Guido, DM; Campbell, KA</t>
  </si>
  <si>
    <t>Guido, Diego M.; Campbell, Kathleen A.</t>
  </si>
  <si>
    <t>Jurassic hot-spring activity in a fluvial setting at La Marciana, Patagonia, Argentina</t>
  </si>
  <si>
    <t>Hot-springs; siliceous sinter; microbial fossils; Jurassic; Argentina</t>
  </si>
  <si>
    <t>TAUPO VOLCANIC ZONE; ANTARCTIC PENINSULA; SINTERS; DEPOSITS; QUEENSLAND; BIOFACIES; SYSTEM</t>
  </si>
  <si>
    <t>Silicified rocks at La Marciana farm, Deseado Massif, Argentinean Patagonia, represent ail ancient hot-spring discharging into ail active fluvial setting. Their fortuitous burial-erosion history and minimal post-depositional structural modification provide an unparalleled view of a complete, exhumed, late Jurassic geothermal landscape, and thus ail opportunity to illuminate hot-spring geological context and palaeoenvironmental gradients. Geological mapping, stratigraphy and petrography revealed hydrothermal eruption events, the spring vent Source, structural relationships, dimensions of the discharge apron, and hot-spring facies distributions. Remarkable similarities to Quaternary analogues from the Taupo Volcanic Zone, New Zealand, and Yellowstone National Park, USA, are apparent with respect to scale, spatial distribution of facies, and types of microbial and other palaeoenvironmentally significant fabrics.</t>
  </si>
  <si>
    <t>[Campbell, Kathleen A.] Univ Auckland, Sch Geog Geol &amp; Environm Sci, Auckland 1142, New Zealand; [Guido, Diego M.] UNLP, CONICET, Inst Recursos Minerales, RA-1900 La Plata, Argentina</t>
  </si>
  <si>
    <t>University of Auckland; National University of La Plata; Consejo Nacional de Investigaciones Cientificas y Tecnicas (CONICET)</t>
  </si>
  <si>
    <t>Campbell, KA (corresponding author), Univ Auckland, Sch Geog Geol &amp; Environm Sci, Private Bag 92019, Auckland 1142, New Zealand.</t>
  </si>
  <si>
    <t>ka.campbell@auckland.ac.nz</t>
  </si>
  <si>
    <t>Guido, Diego/0000-0003-4696-5644; Campbell, Kathleen/0000-0002-4815-2519</t>
  </si>
  <si>
    <t>INREMI; UNLP; CONICET in Argentina; SGGES; National Geographic Society; Marsden Fund Council; Royal Society of New Zealand</t>
  </si>
  <si>
    <t>INREMI; UNLP(National University of La Plata); CONICET in Argentina(Consejo Nacional de Investigaciones Cientificas y Tecnicas (CONICET)); SGGES; National Geographic Society(National Geographic Society); Marsden Fund Council(Royal Society of New ZealandMarsden Fund (NZ)); Royal Society of New Zealand(Royal Society of New Zealand)</t>
  </si>
  <si>
    <t>The project was supported by INREMI, UNLP and CONICET in Argentina, SGGES at the University of Auckland, the National Geographic Society, and the Marsden Fund Council for government funding, administered by the Royal Society of New Zealand. Thanks also to Nancy Hinman for Yellowstone areal data and comments on an earlier draft of the manuscript.</t>
  </si>
  <si>
    <t>10.1017/S0016756809006426</t>
  </si>
  <si>
    <t>466TV</t>
  </si>
  <si>
    <t>WOS:000267686600011</t>
  </si>
  <si>
    <t>Forcada, J; Trathan, PN</t>
  </si>
  <si>
    <t>Forcada, Jaume; Trathan, Philip N.</t>
  </si>
  <si>
    <t>Penguin responses to climate change in the Southern Ocean</t>
  </si>
  <si>
    <t>adaptation; climate change; dispersal; ecosystem change; ENSO; penguins; phenology; SAM; Southern Ocean</t>
  </si>
  <si>
    <t>SEA-ICE EXTENT; WESTERN ANTARCTIC PENINSULA; KRILL EUPHAUSIA-SUPERBA; ROSS SEA; CHINSTRAP PENGUINS; EMPEROR PENGUINS; ADELIE PENGUINS; ANNULAR MODE; EVOLUTIONARY RESPONSES; REPRODUCTIVE SUCCESS</t>
  </si>
  <si>
    <t>Penguins are adapted to live in extreme environments, but they can be highly sensitive to climate change, which disrupts penguin life history strategies when it alters the weather, oceanography and critical habitats. For example, in the southwest Atlantic, the distributional range of the ice-obligate emperor and AdElie penguins has shifted poleward and contracted, while the ice-intolerant gentoo and chinstrap penguins have expanded their range southward. In the Southern Ocean, the El Nino-Southern Oscillation and the Southern Annular Mode are the main modes of climate variability that drive changes in the marine ecosystem, ultimately affecting penguins. The interaction between these modes is complex and changes over time, so that penguin responses to climate change are expected to vary accordingly, complicating our understanding of their future population processes. Penguins have long life spans, which slow microevolution, and which is unlikely to increase their tolerance to rapid warming. Therefore, in order that penguins may continue to exploit their transformed ecological niche and maintain their current distributional ranges, they must possess adequate phenotypic plasticity. However, past species-specific adaptations also constrain potential changes in phenology, and are unlikely to be adaptive for altered climatic conditions. Thus, the paleoecological record suggests that penguins are more likely to respond by dispersal rather than adaptation. Ecosystem changes are potentially most important at the borders of current geographic distributions, where penguins operate at the limits of their tolerance; species with low adaptability, particularly the ice-obligates, may therefore be more affected by their need to disperse in response to climate and may struggle to colonize new habitats. While future sea-ice contraction around Antarctica is likely to continue affecting the ice-obligate penguins, understanding the responses of the ice-intolerant penguins also depends on changes in climate mode periodicities and interactions, which to date remain difficult to reproduce in general circulation models.</t>
  </si>
  <si>
    <t>[Forcada, Jaume; Trathan, Philip N.] British Antarctic Survey, NERC, Cambridge CB3 0ET, England</t>
  </si>
  <si>
    <t>Forcada, J (corresponding author), British Antarctic Survey, NERC, Madingley Rd, Cambridge CB3 0ET, England.</t>
  </si>
  <si>
    <t>jfor@bas.ac.uk</t>
  </si>
  <si>
    <t>Forcada, Jaume/GYU-0677-2022</t>
  </si>
  <si>
    <t>BAS GSAC-Discovery 2010 Programme; NERC [bas0100025, bas010017] Funding Source: UKRI; Natural Environment Research Council [bas010017, bas0100025] Funding Source: researchfish</t>
  </si>
  <si>
    <t>BAS GSAC-Discovery 2010 Programme; NERC(UK Research &amp; Innovation (UKRI)Natural Environment Research Council (NERC)); Natural Environment Research Council(UK Research &amp; Innovation (UKRI)Natural Environment Research Council (NERC))</t>
  </si>
  <si>
    <t>We thank EJ Murphy and two anonymous reviewers for their contribution and improvement of the manuscript. This paper contributes to the BAS GSAC-Discovery 2010 Programme.</t>
  </si>
  <si>
    <t>10.1111/j.1365-2486.2009.01909.x</t>
  </si>
  <si>
    <t>454RK</t>
  </si>
  <si>
    <t>WOS:000266700000002</t>
  </si>
  <si>
    <t>Day, TA; Ruhland, CT; Strauss, SL; Park, JH; Krieg, ML; Krna, MA; Bryant, DM</t>
  </si>
  <si>
    <t>Day, Thomas A.; Ruhland, Christopher T.; Strauss, Sarah L.; Park, Ji-Hyung; Krieg, Michelle L.; Krna, Matthew A.; Bryant, David M.</t>
  </si>
  <si>
    <t>Response of plants and the dominant microarthropod, Cryptopygus antarcticus, to warming and contrasting precipitation regimes in Antarctic tundra</t>
  </si>
  <si>
    <t>Antarctic Peninsula; climate change; Collembola; Colobanthus quitensis; Cryptopygus antarcticus; Deschampsia antarctica; microarthropods; moss; primary production</t>
  </si>
  <si>
    <t>CLIMATE-CHANGE; VASCULAR PLANTS; TERRESTRIAL MICROARTHROPODS; SOIL ARTHROPODS; ECOSYSTEMS; POPULATION; SPRINGTAIL; INCREASES; PENINSULA; SELECTION</t>
  </si>
  <si>
    <t>We examined the influence of warming and supplemental precipitation on plant production and abundance of the dominant microarthropod, the springtail Cryptopygus antarcticus (Collembola), in tundra dominated by the vascular plants Colobanthus quitensis and Deschampsia antarctica along the Antarctic Peninsula. Tundra cores were placed in plots near Palmer Station where they were warmed with infrared heaters in combination with receiving supplemental precipitation. Diel canopy air and soil temperatures and air vapor pressure deficits in warmed plots were elevated 0.8 degrees C, 2.2 degrees C and 0.13 kPa, respectively. After two growing seasons, total aboveground plant production was greater under warming as a result of enhanced production by C. quitensis, which more than offset declines in moss biomass. Total aboveground plant production was also greater under supplemental precipitation primarily as a result of enhanced moss production. Total aboveground plant production was greatest under the combination of warming and supplemental precipitation, primarily as a result of enhanced C. quitensis production. C. antarcticus were more abundant in cores receiving supplemental precipitation and there was a strong treatment interaction; these springtails were most abundant in warmed cores receiving supplemental precipitation. Over 50% of the variability in the abundance of C. antarcticus could be explained by differences in aboveground plant biomass. However, plant production did not appear directly responsible for differences in C. antarcticus abundance; when we examined C. antarcticus abundance per unit of aboveground plant biomass, differences in its abundance among treatments were still apparent implying these differences were not the direct result of plant biomass. The responses of C. antarcticus were consistent with its known moisture and thermal preferences, suggesting that abiotic factors played a dominant role in controlling its abundance. Precipitation regime had large impacts on warming responses and these were species specific, illustrating the importance of future precipitation regimes in predicting system responses to warming.</t>
  </si>
  <si>
    <t>[Day, Thomas A.; Strauss, Sarah L.; Krieg, Michelle L.; Bryant, David M.] Arizona State Univ, Sch Life Sci, Tempe, AZ 85287 USA; [Ruhland, Christopher T.; Krna, Matthew A.] Minnesota State Univ, TS Trafton Sci Ctr 242, Dept Biol Sci, Mankato, MN 56001 USA; [Park, Ji-Hyung] Kangwon Natl Univ, Coll Forest &amp; Environm Sci, Chunchon 200701, South Korea</t>
  </si>
  <si>
    <t>Arizona State University; Arizona State University-Tempe; Minnesota State Colleges &amp; Universities; Minnesota State University Mankato; Kangwon National University</t>
  </si>
  <si>
    <t>Day, TA (corresponding author), Arizona State Univ, Sch Life Sci, Tempe, AZ 85287 USA.</t>
  </si>
  <si>
    <t>tadday@asu.edu</t>
  </si>
  <si>
    <t>We thank Caroline DeVan and Michell Thomey for field and laboratory assistance, and Dr. Scott A.L. Hayward for advice on microarthropod identification. The staff at Palmer Station provided invaluable assistance in logistics, and construction and maintenance of field plots. David Lowry and Dr. Robert Robertson of the School of Life Sciences Bioimaging Laboratory at Arizona State University provided microarthropod sample preparation and electron microscopy services. This work was supported by National Science Foundation grant OPP-0230579.</t>
  </si>
  <si>
    <t>10.1111/j.1365-2486.2009.01919.x</t>
  </si>
  <si>
    <t>WOS:000266700000004</t>
  </si>
  <si>
    <t>Parnikoza, I; Convey, P; Dykyyz, I; Trokhymets, V; Milinevsky, G; Tyschenko, O; Inozemtseva, D; Kozeretska, I</t>
  </si>
  <si>
    <t>Parnikoza, I.; Convey, P.; Dykyyz, I.; Trokhymets, V.; Milinevsky, G.; Tyschenko, O.; Inozemtseva, D.; Kozeretska, I.</t>
  </si>
  <si>
    <t>Current status of the Antarctic herb tundra formation in the Central Argentine Islands</t>
  </si>
  <si>
    <t>biological response; Colobanthus quitensis; Deschampsia antarctica; population; regional climate warming</t>
  </si>
  <si>
    <t>VASCULAR PLANTS; CLIMATE-CHANGE; PENINSULA; REPRODUCTION; RESPONSES</t>
  </si>
  <si>
    <t>Changes in the higher plant populations of the Argentine Islands over the last four to five decades have been central to developing an understanding of the likely biological responses to the globally exceptional rates of regional climate change, in particular warming, experienced along the western Antarctic Peninsula over the same period. In this study, we reassessed local populations and distribution of the two indigenous flowering plants on two islands in this archipelago, the grass Deschampsia antarctica and the pearlwort Colobanthus quitensis, in order to compare with previous partial and detailed surveys carried out by the British Antarctic Survey between 1963 and 1990. Our major finding was that the strong trend of recent increase in population size documented in 1990 has not continued, with current population sizes of both higher plants now being slightly lower than but still comparable with those recorded in the last survey in 1990. We discuss reasons underlying this, including possible limits imposed by the suitability of available habitat, and a recent plateauing of the local climate warming trend in comparison with that seen before the 1990 survey, with no significant short-term warming apparent in annual or seasonal meteorological data since 1990.</t>
  </si>
  <si>
    <t>[Parnikoza, I.; Trokhymets, V.; Milinevsky, G.; Tyschenko, O.; Inozemtseva, D.; Kozeretska, I.] Natl Taras Shevchenko Univ Kyiv, UA-01033 Kiev, Ukraine; [Convey, P.] British Antarctic Survey, NERC, Cambridge CB3 0ET, England; [Dykyyz, I.] Ivan Franko Natl Univ Lviv, UA-79002 Lvov, Ukraine</t>
  </si>
  <si>
    <t>Ministry of Education &amp; Science of Ukraine; Taras Shevchenko National University of Kyiv; UK Research &amp; Innovation (UKRI); Natural Environment Research Council (NERC); NERC British Antarctic Survey; Ministry of Education &amp; Science of Ukraine; Ivan Franko National University Lviv</t>
  </si>
  <si>
    <t>Parnikoza, I (corresponding author), Natl Taras Shevchenko Univ Kyiv, Volodymirskya Str 64, UA-01033 Kiev, Ukraine.</t>
  </si>
  <si>
    <t>parnikoza@gmail.com</t>
  </si>
  <si>
    <t>Milinevsky, Gennadi/AAD-8801-2019; Tyshchenko, Oksana/GLU-2147-2022; Ivan, Parnikoza/O-2781-2019; Convey, Peter/AAV-5728-2020; Parnikoza, Ivan/I-2398-2016; Kozeretska, Iryna/F-1383-2010</t>
  </si>
  <si>
    <t>Milinevsky, Gennadi/0000-0002-2342-2615; Tyshchenko, Oksana/0000-0002-5709-1252; Ivan, Parnikoza/0000-0002-0490-8134; Convey, Peter/0000-0001-8497-9903; Trokhymets, Vladlen/0000-0001-6367-1897; Kozeretska, Iryna/0000-0002-6485-1408</t>
  </si>
  <si>
    <t>National Scientific Antarctic Center of Ukraine; NERC [bas010015] Funding Source: UKRI; Natural Environment Research Council [bas010015] Funding Source: researchfish</t>
  </si>
  <si>
    <t>National Scientific Antarctic Center of Ukraine; NERC(UK Research &amp; Innovation (UKRI)Natural Environment Research Council (NERC)); Natural Environment Research Council(UK Research &amp; Innovation (UKRI)Natural Environment Research Council (NERC))</t>
  </si>
  <si>
    <t>We thank the National Scientific Antarctic Center of Ukraine, Dr S. Loparev and Dr M. Chesalin for assistance in data collection and O. Kolbasko and M. Shevchehko for help with translation. The maps were prepared by the BAS Mapping and Geographical Information Centre, and we thank P. Fretwell. We thank T. Bracegirdle (BAS) for discussion on climate trends, and G. J. Marshall (BAS) for access to the data and analyses at http://www.antarctica.ac.uk. Three anonymous referees are thanked for their helpful comments.</t>
  </si>
  <si>
    <t>10.1111/j.1365-2486.2009.01906.x</t>
  </si>
  <si>
    <t>WOS:000266700000008</t>
  </si>
  <si>
    <t>Ryan, KG; Burne, A; Seppelt, RD</t>
  </si>
  <si>
    <t>Ryan, Ken G.; Burne, Allan; Seppelt, Rodney D.</t>
  </si>
  <si>
    <t>Historical ozone concentrations and flavonoid levels in herbarium specimens of the Antarctic moss Bryum argenteum</t>
  </si>
  <si>
    <t>Antarctica; Bryum; flavonoids; historical ozone levels; moss; ozone; UVB radiation</t>
  </si>
  <si>
    <t>UV-B RADIATION; SOLAR ULTRAVIOLET-RADIATION; STRATOSPHERIC OZONE; TERRESTRIAL ECOSYSTEMS; PLEUROZIUM-SCHREBERI; PIGMENTATION; DEPLETION; RESPONSES; TOXICITY; INCREASE</t>
  </si>
  <si>
    <t>Depletion of stratospheric ozone since the mid 1970s has led to significant increases in ultraviolet B (UVB) irradiation over Antarctica. The detrimental effects of UVB on plants are many, but plants produce photoprotective flavonoids that reduce cellular damage. We used herbarium samples of the moss Bryum argenteum collected in Antarctica to compare the levels of flavone aglycones in plants collected before and after the formation of the ozone hole. The interpretation of historical data is difficult, because environmental conditions immediately before sample collection are unknown. Factors such as cloud cover can have a significant influence on UVB dose at ground level, modifying the flavonoid content of the specimen and adding considerable variability to the results. Nevertheless, our results revealed significant relationships between total flavone concentration and pooled year classes (P = 0.001). Furthermore, regression analysis showed a significant negative relationship of total flavone concentration and the level of ozone immediately before the time of collection (P = 0.016). In addition, the ratio of luteolin (an ortho-dihydroxylated flavone) to apigenin (a monohydroxylated flavone) increased significantly with several environmental parameters. These included (a) increasing modelled midday UVB radiation (P = 0.002), (b) increasing modelled midday UVB/PAR ratio (P &lt; 0.001), and (c) decreasing ozone concentration (P &lt; 0.001). We emphasise the utility of this ratio in interpreting the historical ozone trends rather than relying on changes in total flavone concentrations alone. These results illustrate that herbarium specimens may reveal historical levels of UVB radiation.</t>
  </si>
  <si>
    <t>[Ryan, Ken G.; Burne, Allan] Victoria Univ Wellington, Sch Biol Sci, Wellington, New Zealand; [Seppelt, Rodney D.] Australian Antarctic Div, Hobart, Tas, Australia</t>
  </si>
  <si>
    <t>Victoria University Wellington; Australian Antarctic Division</t>
  </si>
  <si>
    <t>Ryan, KG (corresponding author), Victoria Univ Wellington, Sch Biol Sci, POB 600, Wellington, New Zealand.</t>
  </si>
  <si>
    <t>Ryan, Ken/F-5652-2013</t>
  </si>
  <si>
    <t>Ryan, Ken/0000-0001-7075-0112</t>
  </si>
  <si>
    <t>British Antarctic Survey Cambridge; Antarctica New Zealand; LGP team at Cape Hallett [K043, K024]; FRST [COX019]; Wellington Botanical Society; National Institutes of Health Research (NIHR) [K024] Funding Source: National Institutes of Health Research (NIHR)</t>
  </si>
  <si>
    <t>British Antarctic Survey Cambridge; Antarctica New Zealand; LGP team at Cape Hallett; FRST(New Zealand Foundation for Research, Science and Technology); Wellington Botanical Society; National Institutes of Health Research (NIHR)(National Institutes of Health Research (NIHR))</t>
  </si>
  <si>
    <t>We are grateful to the British Antarctic Survey Cambridge, UK, for ozone data from Halley Station (J. Shanklin). Herbarium specimens were obtained from the British Antarctic Survey Cambridge (H. Peat), The Museum of New Zealand Te Papa Tongarewa, Wellington (P. Brownsey), The Natural History Museum, London (L. Ellis) and Australian Antarctic Division, Hobart. We gratefully acknowledge the support of Antarctica New Zealand and the LGP team at Cape Hallett for the support of events K043 and K024, especially Shulamit Gordon, Rachel Brown and Gus McAlister. The help of Rilka Taskova-Stamenova, Phil Garnock-Jones, and Lisa Bryant (Victoria University of Wellington), Kevin Mitchell (Industrial Research Ltd, Lower Hutt), Ken Markham, Peter Beveridge, Barbara Polly and Phil Taylor is gratefully acknowledged. RDS acknowledges Prof. T. G. Allan Green who has facilitated participation in the University of Waikato Antarctic Research Program over many years. This work was part of a BSc(Hons) thesis by A. B. and was supported in part by FRST grant COX019 (K. G. R.), VUW research grants and Wellington Botanical Society grants (A. B.). We thank two anonymous referees for their helpful comments.</t>
  </si>
  <si>
    <t>10.1111/j.1365-2486.2009.01885.x</t>
  </si>
  <si>
    <t>WOS:000266700000009</t>
  </si>
  <si>
    <t>Morgan, GA; Head, JW</t>
  </si>
  <si>
    <t>Morgan, Gareth A.; Head, James W., III</t>
  </si>
  <si>
    <t>Sinton crater, Mars: Evidence for impact into a plateau icefield and melting to produce valley networks at the Hesperian-Amazonian boundary</t>
  </si>
  <si>
    <t>Mars, surface</t>
  </si>
  <si>
    <t>ANTARCTIC DRY VALLEYS; OUTFLOW CHANNELS; MARTIAN GULLIES; ORBITER CAMERA; CLIMATE-CHANGE; DEVON ISLAND; WATER; ORIGIN; EVOLUTION; IDENTIFICATION</t>
  </si>
  <si>
    <t>The majority of martian valley networks are found on Noachian-aged terrain and are attributed to be the result of a 'warm and wet' climate that prevailed early in Mars' history. Younger valleys have been identified, though these are largely interpreted to be the result of localized conditions associated with the melting of ice from endogenic heat sources. Sinton crater, a 60 km diameter impact basin in the Deuteronilus Mensae region of the dichotomy boundary, is characterized by small anastomosing valley networks that are located radial to the crater rim. Large scale deposits, interpreted to be the remains of debris covered glaciers, have been identified in the area surrounding Sinton, and our observations have revealed the occurrence of an ice rich fill deposit within the crater itself. We have conducted a detailed investigated into the Sinton valley networks with all the available remote data sets and have dated their formation to the Amazonian/Hesperian boundary. The spatial and temporal association between Sinton crater and the valley networks suggest that the impact was responsible for their formation. We find that the energy provided by an asteroid impact into surficial deposits of snow/ice is sufficient to generate the required volumes of melt water needed for the valley formation. We therefore interpret these valleys to represent a distinct class of martian valley networks. This example demonstrates the potential for impacts to cause the onset of fluvial erosion on Mars. Our results also Suggest that periods of glacial activity occurred throughout the Amazonian and into the Hesperian in association with variations in spin orbital parameters. (C) 2009 Elsevier Inc. All rights reserved.</t>
  </si>
  <si>
    <t>[Morgan, Gareth A.; Head, James W., III] Brown Univ, Dept Geol Sci, Providence, RI 02912 USA</t>
  </si>
  <si>
    <t>Brown University</t>
  </si>
  <si>
    <t>Head, JW (corresponding author), Brown Univ, Dept Geol Sci, 324 Brook St, Providence, RI 02912 USA.</t>
  </si>
  <si>
    <t>james_head@brown.edu</t>
  </si>
  <si>
    <t>Morgan, Gareth/0000-0002-9513-8736</t>
  </si>
  <si>
    <t>NASA [NNX07AN95G, JPL1237163, NNG05CA61G]</t>
  </si>
  <si>
    <t>We gratefully acknowledge financial support from the NASA Mars Data Analysis program (NNX07AN95G), the NASA US participation in the Mars Express High-Resolution Stereo Camera (HRSC) (JPL1237163), and the NASA Applied Information Systems Research Program (NNG05CA61G). Thanks are also extended to Caleb Fassett, James Dickson and Wes Patterson for their technical assistance in data analysis and contribution to scientific discussions during preparation of the manuscript.</t>
  </si>
  <si>
    <t>10.1016/j.icarus.2009.02.025</t>
  </si>
  <si>
    <t>460ZD</t>
  </si>
  <si>
    <t>WOS:000267231000005</t>
  </si>
  <si>
    <t>Korneliussen, RJ; Heggelund, Y; Eliassen, IK; Oye, OK; Knutsen, T; Dalen, J</t>
  </si>
  <si>
    <t>Korneliussen, Rolf J.; Heggelund, Yngve; Eliassen, Inge K.; Oye, Ola K.; Knutsen, Tor; Dalen, John</t>
  </si>
  <si>
    <t>Combining multibeam-sonar and multifrequency-echosounder data: examples of the analysis and imaging of large euphausiid schools</t>
  </si>
  <si>
    <t>ICES Symposium on the Ecosystem Approach to Fisheries Acoutics and Complementary Technologies</t>
  </si>
  <si>
    <t>JUN 16-20, 2008</t>
  </si>
  <si>
    <t>Bergen, NORWAY</t>
  </si>
  <si>
    <t>acoustics; acoustic inversion; Simrad EK60; Simrad MS70; three-dimensional sonar</t>
  </si>
  <si>
    <t>SOUND</t>
  </si>
  <si>
    <t>The first high-resolution, quantitative, multibeam sonar (Simrad MS70) ever developed was mounted in a keel of RV G. O. Sars with port-orientated beams. Each ping samples a volume of 60 degrees horizontally x 45 degrees vertically with 500 beams, which is often enough to insonify a complete school of fish or zooplankton. The large amount of resulting data is efficiently preprocessed with automatic, real-time detections of school candidates; these are accepted or rejected during post-processing. The system was used on the continental shelf near the Subantarctic island of South Georgia to study Antarctic krill (Euphausia superba), and some of the detected schools were immediately sampled with a six-frequency echosounder (Simrad EK60), then trawled with various nets to verify the target species and their size composition. For schools acoustically categorized as euphausiids, data from the two acoustic systems were used to estimate the school morphometrics and the krill size distributions. The principal objectives of this study were to explore the potential of combining data from a multibeam sonar, multifrequency echosounders, and nets, and to describe the efficient processing methods and software that facilitate the multi-instrument analyses. Three-dimensional morphometrics based on the MS70 data were consistent with corresponding two-dimensional morphometrics based on the echosounder data and could be used to improve the acoustic classifications of taxa or species. Additionally, automatic preprocessing and integration of data from different sources into the same user interface allowed efficient exploration and interpretation of all the acoustic data.</t>
  </si>
  <si>
    <t>[Korneliussen, Rolf J.; Knutsen, Tor; Dalen, John] Inst Marine Res, N-5817 Bergen, Norway; [Heggelund, Yngve; Eliassen, Inge K.; Oye, Ola K.] Christian Michelsen Res AS, N-5892 Bergen, Norway</t>
  </si>
  <si>
    <t>Institute of Marine Research - Norway</t>
  </si>
  <si>
    <t>Korneliussen, RJ (corresponding author), Inst Marine Res, POB 1870 Nordnes, N-5817 Bergen, Norway.</t>
  </si>
  <si>
    <t>rolf@imr.no</t>
  </si>
  <si>
    <t>Eliassen, Inge Kristian/0009-0005-0400-3342; Heggelund, Yngve/0000-0002-4754-5724; Knutsen, Tor/0000-0003-3531-5611</t>
  </si>
  <si>
    <t>10.1093/icesjms/fsp092</t>
  </si>
  <si>
    <t>460WG</t>
  </si>
  <si>
    <t>WOS:000267221600005</t>
  </si>
  <si>
    <t>Fässler, SMM; Brierley, AS; Fernandes, PG</t>
  </si>
  <si>
    <t>Faessler, Sascha M. M.; Brierley, Andrew S.; Fernandes, Paul G.</t>
  </si>
  <si>
    <t>A Bayesian approach to estimating target strength</t>
  </si>
  <si>
    <t>acoustic target strength; Bayesian statistics; herring; survey uncertainty</t>
  </si>
  <si>
    <t>HERRING CLUPEA-HARENGUS; ACOUSTIC SCATTERING; SWIMBLADDER COMPRESSION; SOUND-SCATTERING; STOCK ASSESSMENT; ANTARCTIC KRILL; FISH; ORIENTATION; ABUNDANCE; ATLANTIC</t>
  </si>
  <si>
    <t>Currently, conventional models of target strength (TS) vs. fish length, based on empirical measurements, are used to estimate fish density from integrated acoustic data. These models estimate a mean TS, averaged over variables that modulate fish TS (tilt angle, physiology, and morphology); they do not include information about the uncertainty of the mean TS, which could be propagated through to estimates of fish abundance. We use Bayesian methods, together with theoretical TS models and in situ TS data, to determine the uncertainty in TS estimates of Atlantic herring (Clupea harengus). Priors for model parameters (surface swimbladder volume, tilt angle, and s.d. of the mean TS) were used to estimate posterior parameter distributions and subsequently build a probabilistic TS model. The sensitivity of herring abundance estimates to variation in the Bayesian TS model was also evaluated. The abundance of North Sea herring from the area covered by the Scottish acoustic survey component was estimated using both the conventional TS-length formula (5.34x10(9) fish) and the Bayesian TS model (mean = 3.17x10(9) fish): this difference was probably because of the particular scattering model employed and the data used in the Bayesian model. The study demonstrates the relative importance of potential bias and precision of TS estimation and how the latter can be so much less important than the former.</t>
  </si>
  <si>
    <t>[Faessler, Sascha M. M.; Brierley, Andrew S.] Univ St Andrews, Gatty Marine Lab, St Andrews KY16 8LB, Fife, Scotland; [Fernandes, Paul G.] FRS Marine Lab, Aberdeen AB11 9DB, Scotland</t>
  </si>
  <si>
    <t>Fässler, SMM (corresponding author), Univ St Andrews, Gatty Marine Lab, St Andrews KY16 8LB, Fife, Scotland.</t>
  </si>
  <si>
    <t>s.faessler@marlab.ac.uk</t>
  </si>
  <si>
    <t>Fässler, Sascha MM/C-8949-2009; Fernandes, Paul George/H-2972-2013; Brierley, Andrew/G-8019-2011</t>
  </si>
  <si>
    <t>Fernandes, Paul George/0000-0003-4135-115X; Brierley, Andrew/0000-0002-6438-6892</t>
  </si>
  <si>
    <t>10.1093/icesjms/fsp008</t>
  </si>
  <si>
    <t>WOS:000267221600033</t>
  </si>
  <si>
    <t>Cutter, GR; Renfree, JS; Cox, MJ; Brierley, AS; Demer, DA</t>
  </si>
  <si>
    <t>Cutter, George R.; Renfree, Josiah S.; Cox, Martin J.; Brierley, Andrew S.; Demer, David A.</t>
  </si>
  <si>
    <t>Modelling three-dimensional directivity of sound scattering by Antarctic krill: progress towards biomass estimation using multibeam sonar</t>
  </si>
  <si>
    <t>Antarctic krill; directivity; incidence angle; multibeam sonar; orientation; target strength</t>
  </si>
  <si>
    <t>TARGET STRENGTH MEASUREMENTS; WAVE BORN APPROXIMATION; IMPROVED PARAMETERIZATION; ACOUSTIC SCATTERING; BROAD-BANDWIDTH; FISH SCHOOLS; 120 KHZ; ORIENTATION; BEHAVIOR; AVOIDANCE</t>
  </si>
  <si>
    <t>Target strength (TS) estimation is a principal source of uncertainty in acoustic surveys of Antarctic krill (Euphausia superba). Although TS is strongly dependent on krill orientation, there is a paucity of information in this regard. This paper considers the potential for narrow-bandwidth, multibeam-echosounder (MBE) data to be used for estimating the orientations of krill beneath survey vessels. First, software was developed to predict MBE measurements of the directivity patterns of acoustic scattering from individual or aggregated krill in any orientation. Based on the distorted-wave, Born approximation model (DWBA), scattering intensities are predicted vs. MBE angles for specified distributions of krill orientations (pitch, roll, and yaw angles) and swarm densities. Results indicate that certain distributions of orientations, perhaps indicative of particular behaviour, should be apparent from the sonar data. The model results are compared with measurements on krill made using a 200-kHz MBE deployed from a small craft off Cape Shirreff, Livingston Island, Antarctica, in summer 2006. The stochastic DWBA model is then invoked to explain disparities between the model predictions and MBE measurements.</t>
  </si>
  <si>
    <t>[Cutter, George R.; Renfree, Josiah S.; Demer, David A.] SW Fisheries Sci Ctr, La Jolla, CA 92037 USA; [Cox, Martin J.; Brierley, Andrew S.] Univ St Andrews, Gatty Marine Lab, Sch Biol, St Andrews KY16 8LB, Fife, Scotland</t>
  </si>
  <si>
    <t>National Oceanic Atmospheric Admin (NOAA) - USA; University of St Andrews</t>
  </si>
  <si>
    <t>Cutter, GR (corresponding author), SW Fisheries Sci Ctr, 8604 La Jolla Shores Dr, La Jolla, CA 92037 USA.</t>
  </si>
  <si>
    <t>george.cutter@noaa.gov</t>
  </si>
  <si>
    <t>, David/ABC-8990-2022; Brierley, Andrew/G-8019-2011</t>
  </si>
  <si>
    <t>, David/0000-0001-5083-8854; Brierley, Andrew/0000-0002-6438-6892</t>
  </si>
  <si>
    <t>10.1093/icesjms/fsp040</t>
  </si>
  <si>
    <t>WOS:000267221600040</t>
  </si>
  <si>
    <t>Simard, Y; Sourisseau, M</t>
  </si>
  <si>
    <t>Simard, Yvan; Sourisseau, Marc</t>
  </si>
  <si>
    <t>Diel changes in acoustic and catch estimates of krill biomass</t>
  </si>
  <si>
    <t>avoidance; diel vertical migration; feeding; in situ orientation; krill; Meganyctiphanes norvegica; St Lawrence Estuary; strobe light; target strength; Thysanoessa raschi</t>
  </si>
  <si>
    <t>ANTARCTIC KRILL; EUPHAUSIA-SUPERBA; TARGET-STRENGTH; VERTICAL MIGRATION; IMPROVED PARAMETERIZATION; SOUND-SPEED; 120 KHZ; ZOOPLANKTON; BACKSCATTERING; ORIENTATION</t>
  </si>
  <si>
    <t>Krill-biomass estimates can be compromised by diel variabilities in acoustic backscatter and the catch efficiencies of various nets. This paper describes an effort to quantify these variabilities at fine temporal and spatial scales during a three-day experiment at a fixed location, using high-resolution, stratified Bioness samples and echo-integration, and assuming a fixed distribution of krill orientations. Night-time catches in the krill scattering layer (SL) were 15 times the acoustic estimates. The situation was reversed during daytime, when the acoustic estimates in the SL were 5 times larger than the catches. This collectively resulted in a +/- 10-dB gradual diel cycle in the difference of vertically integrated biomass from both sampling methods. Use of a strobe light on the Bioness reduced avoidance of the net by krill and significantly increased (x10) daytime catches in the SL, but had no significant effect on night-time catches. The difference in volume-backscattering strength at 120 and 38 kHz (Delta S(v120-38)) in the densest parts of the SL agreed with predictions using a target-strength (TS) model and an assumed normal distribution of tilt (mean theta = 11 degrees; s.d. = 4 degrees). The Delta S(v120-38) was smaller for lower densities and during night-time. It appears that the theta and, therefore, TS distributions of krill significantly change during their diel vertical migrations. At twilight and at night, when they are feeding and swimming vertically, they exhibit lower mean TS and Delta S(v120-38) and react less to strong strobe-light pulses, in contrast to daytime. Diel patterns in TS and net avoidance should be taken into account in krill-biomass assessments that use round the clock acoustic-survey data and multi-frequency TS models for target classification.</t>
  </si>
  <si>
    <t>[Simard, Yvan] Univ Quebec, Inst Marine Sci, Rimouski, PQ G5L 3A1, Canada; [Simard, Yvan] Fisheries &amp; Oceans Canada, Maurice Lamontagne Inst, Mont Joli, PQ G5H 3Z4, Canada; [Sourisseau, Marc] IFREMER, Ctr Brest, DYNECO, F-29280 Plouzane, France</t>
  </si>
  <si>
    <t>University of Quebec; Fisheries &amp; Oceans Canada; Ifremer</t>
  </si>
  <si>
    <t>Simard, Y (corresponding author), Univ Quebec, Inst Marine Sci, 310 Allee Ursulines, Rimouski, PQ G5L 3A1, Canada.</t>
  </si>
  <si>
    <t>yvan.simard@dfo-mpo.gc.ca</t>
  </si>
  <si>
    <t>Simard, Yvan/AAG-6158-2020</t>
  </si>
  <si>
    <t>sourisseau, marc/0000-0002-0778-0076</t>
  </si>
  <si>
    <t>10.1093/icesjms/fsp055</t>
  </si>
  <si>
    <t>WOS:000267221600051</t>
  </si>
  <si>
    <t>Scalabrin, C; Marfia, C; Boucher, J</t>
  </si>
  <si>
    <t>Scalabrin, Carla; Marfia, Christian; Boucher, Jean</t>
  </si>
  <si>
    <t>How much fish is hidden in the surface and bottom acoustic blind zones?</t>
  </si>
  <si>
    <t>acoustic blind zone; anchovy; autonomous underwater vehicles; Bay of Biscay; hake</t>
  </si>
  <si>
    <t>AUTONOMOUS UNDERWATER VEHICLE; ANTARCTIC KRILL; BISCAY ANCHOVY; BAY; FISHERIES; BEHAVIOR; FUTURE</t>
  </si>
  <si>
    <t>This paper presents results from the ALLEGRO-07 survey that was carried out from 1 to 15 September 2007 across the continental shelf in the Bay of Biscay by the RV Thalassa. The main objectives were to conduct experiments with a medium-sized, autonomous underwater vehicle (AUV) equipped with a fishery-acoustic scientific payload. This was needed to overcome the difficulties of sampling the surface and bottom blind zones, which are inaccessible to conventional, vessel-mounted transducers used for acoustic surveys in the Bay of Biscay. The AUV acoustic datasets from four dives were compared with those from the research vessel. The results were expressed for the nautical-area-scattering coefficient (s(A)) and biomass estimates. The AUV provided higher s(A) measurements than did the vessel. For particular environmental and fish-distribution patterns, the biomass estimated by the AUV was more than ten times that estimated by the vessel alone. The results presented indicate the magnitude of the error that may occur in acoustic surveys, if the biomass in the two blind zones is undetected.</t>
  </si>
  <si>
    <t>[Scalabrin, Carla; Boucher, Jean] IFREMER, F-29280 Plouzane, France; [Marfia, Christian] IFREMER, F-83530 La Seyne Sur Mer, France</t>
  </si>
  <si>
    <t>Ifremer; Ifremer</t>
  </si>
  <si>
    <t>Scalabrin, C (corresponding author), IFREMER, POB 70, F-29280 Plouzane, France.</t>
  </si>
  <si>
    <t>carla.scalabrin@ifremer.fr</t>
  </si>
  <si>
    <t>Scalabrin, Carla/0000-0001-9276-980X</t>
  </si>
  <si>
    <t>10.1093/icesjms/fsp136</t>
  </si>
  <si>
    <t>WOS:000267221600056</t>
  </si>
  <si>
    <t>Sun, JQ; Wang, HJ; Yuan, W</t>
  </si>
  <si>
    <t>Sun, Jianqi; Wang, Huijun; Yuan, Wei</t>
  </si>
  <si>
    <t>A possible mechanism for the co-variability of the boreal spring Antarctic Oscillation and the Yangtze River valley summer rainfall</t>
  </si>
  <si>
    <t>Antarctic Oscillation; precipitation; western Pacific subtropical high</t>
  </si>
  <si>
    <t>SOUTHERN-HEMISPHERE; SEA-ICE; INTERANNUAL VARIABILITY; SURFACE-TEMPERATURE; PART I; MONSOON; ENSO; CIRCULATION; PACIFIC; ANOMALIES</t>
  </si>
  <si>
    <t>A significant correlation between the boreal spring Antarctic Oscillation (AAO) and the Yangtze River valley summer rainfall (YRVSR) has been found in previous studies, although the mechanisms that might lead to such far-reaching teleconnection remain unresolved. In this study. one of possible mechanisms responsible for the co-variability of the boreal spring AAO and the YRVSR is proposed. It follows that the convection activity over the region of the Maritime Continent serves as a bridge linking the boreal spring AAO and the YRVSR. This physical process can be described schematically as follows: during the boreal spring, a positive-phase (negative-phase) AAO is concurrent with a strong (weak) convection activity over the region of the Maritime Continent via anomalous meridional circulations along the central South Pacific and two meridional teleconnection wave train patterns, with one over the southern Indian Ocean at the lower level and the other along the central South Pacific at the upper level. Thereafter, the anomalous convection propagates northward along the seasonal cycle. and then changes the western Pacific subtropical high in the following seasons, consequently impacting oil the summer rainfall in the Yangtze River valley. Copyright (C) 2008 Royal Meteorological Society</t>
  </si>
  <si>
    <t>[Sun, Jianqi; Wang, Huijun; Yuan, Wei] Chinese Acad Sci, Inst Atmospher Phys, Nansen Zhu Int Res Ctr NZC, Beijing 100029, Peoples R China</t>
  </si>
  <si>
    <t>Chinese Academy of Sciences; Institute of Atmospheric Physics, CAS</t>
  </si>
  <si>
    <t>Sun, JQ (corresponding author), Chinese Acad Sci, Inst Atmospher Phys, NZC, POB 9804, Beijing 100029, Peoples R China.</t>
  </si>
  <si>
    <t>sunjq@mail.iap.ac.cn</t>
  </si>
  <si>
    <t>Sun, Jianqi/A-7084-2016</t>
  </si>
  <si>
    <t>Knowledge Innovation Project of Chinese Academy of Sciences [KZCX2-YW-217]; National Basic Research Program of China [2006CB403600]</t>
  </si>
  <si>
    <t>Knowledge Innovation Project of Chinese Academy of Sciences(Knowledge Innovation Program of the Chinese Academy of Sciences); National Basic Research Program of China(National Basic Research Program of China)</t>
  </si>
  <si>
    <t>The authors are grateful to Prof. Helge Drange. Prof. Yongqi Gao, Prof. Jiping Liu. and two anonymous reviewers for their Valuable comments and helpful advices. This research was jointly Supported by the Knowledge Innovation Project of Chinese Academy of Sciences Under grants KZCX2-YW-217 and the National Basic Research Program Of China under Grant 2006CB403600.</t>
  </si>
  <si>
    <t>10.1002/joc.1773</t>
  </si>
  <si>
    <t>471LT</t>
  </si>
  <si>
    <t>WOS:000268059900006</t>
  </si>
  <si>
    <t>Rao, J; Biswas, S</t>
  </si>
  <si>
    <t>Rao, Jayanthi; Biswas, Subir</t>
  </si>
  <si>
    <t>A biologically inspired mobility control framework for energy conservation in sensor networks</t>
  </si>
  <si>
    <t>INTERNATIONAL JOURNAL OF COMMUNICATION SYSTEMS</t>
  </si>
  <si>
    <t>biologically inspired algorithms; controlled mobility; sensor networks; network lifetime</t>
  </si>
  <si>
    <t>This paper presents a paradigm for extending network life by introducing energy-aware mobility in wireless sensor networks. The concept of controlled mobility for energy saving has been motivated by a natural grouping behavior that is observed in Emperor penguins in the Antarctic region. During the winters, a group of those penguins form a closely huddled group to improve their collective heat insulation. Individual penguins within a group exhibit a local mobility pattern that ensures that each individual spends roughly equal amount of time at the periphery of the group, where heat loss is the maximum. As a result, the total heat loss of the group is thought to be evenly distributed across all the individuals. In this paper, we first draw a parallel between the heat loss of a penguin at the group periphery, and the routing energy burden of sensor nodes near the aggregating base stations in a sensor network. Then we develop a fully distributed and localized mobility control algorithm for collective extension of the network life. Experimental results demonstrate that the proposed controlled mobility paradigm can significantly extend a sensor network's operating life even in situations where the energy cost of physical node movement is modeled as high as up to four orders of magnitude larger than the energy cost for packet transmission. Copyright (C) 2009 John Wiley &amp; Sons, Ltd.</t>
  </si>
  <si>
    <t>[Rao, Jayanthi; Biswas, Subir] Michigan State Univ, E Lansing, MI 48824 USA</t>
  </si>
  <si>
    <t>Michigan State University</t>
  </si>
  <si>
    <t>Biswas, S (corresponding author), Michigan State Univ, E Lansing, MI 48824 USA.</t>
  </si>
  <si>
    <t>sbiswas@egr.msu.edu</t>
  </si>
  <si>
    <t>1074-5351</t>
  </si>
  <si>
    <t>1099-1131</t>
  </si>
  <si>
    <t>INT J COMMUN SYST</t>
  </si>
  <si>
    <t>Int. J. Commun. Syst.</t>
  </si>
  <si>
    <t>10.1002/dac.1006</t>
  </si>
  <si>
    <t>Engineering, Electrical &amp; Electronic; Telecommunications</t>
  </si>
  <si>
    <t>Engineering; Telecommunications</t>
  </si>
  <si>
    <t>477LQ</t>
  </si>
  <si>
    <t>WOS:000268521000007</t>
  </si>
  <si>
    <t>Wesche, C; Riedel, S; Steinhage, D</t>
  </si>
  <si>
    <t>Wesche, C.; Riedel, S.; Steinhage, D.</t>
  </si>
  <si>
    <t>Precise surface topography of the grounded ice ridges at the Ekstromisen, Antarctica, based on several geophysical data sets</t>
  </si>
  <si>
    <t>ISPRS JOURNAL OF PHOTOGRAMMETRY AND REMOTE SENSING</t>
  </si>
  <si>
    <t>GPS; ICESat; Radar altimetry</t>
  </si>
  <si>
    <t>DIGITAL ELEVATION MODELS; MASS-BALANCE; SHEET; ALTIMETRY; ACCURACY</t>
  </si>
  <si>
    <t>As part of the CryoSat Cal/Val activities and the pre-site survey for an ice core drilling contributing to the International Partnerships in Ice Core Sciences (IPICS), ground-based kinematic GPS measurements were conducted in early 2007 in the hinterland of the German overwintering station Neumayer (8.25 degrees W, 70.65 degrees S). The investigated area comprises the regions of the ice ridges Halvfarryggen and Sorasen, which rise from the Ekstromisen to a maximum of about 760 m surface elevation, and have an areal extent of about 100 km x 50 km each. Available digital elevation models (DEMs) from radar altimetry and the Antarctic Digital Database show elevation differences of up to hundreds of meters in this region, which necessitated an accurate survey of the conditions on-site. An improved DEM of the Ekstromisen surroundings is derived by a combination of highly accurate ground-based GPS measurements, satellite derived laser altimetry data (ICESat), airborne radar altimetry (ARA), and radio echo sounding (RES). The DEM presented here achieves a vertical accuracy of about 1.3 m and can be used for improved ice dynamic modelling and mass balance studies. (C) 2009 International Society for Photogrammetry and Remote Sensing, Inc. (ISPRS). Published by Elsevier B.V. All rights reserved.</t>
  </si>
  <si>
    <t>[Wesche, C.; Riedel, S.; Steinhage, D.] Alfred Wegener Inst Polar &amp; Marine Res, D-27515 Bremerhaven, Germany</t>
  </si>
  <si>
    <t>Wesche, C (corresponding author), Alfred Wegener Inst Polar &amp; Marine Res, POB 12 01 61, D-27515 Bremerhaven, Germany.</t>
  </si>
  <si>
    <t>christine.wesche@awi.de</t>
  </si>
  <si>
    <t>Wesche, Christine/0000-0002-9786-4010</t>
  </si>
  <si>
    <t>Bundesministerium fur Wirtschaft (BMWi); Deutsche Forschungsgerneinschaft (DFG) [Di 473/17-1, Jo 191/8-1]</t>
  </si>
  <si>
    <t>Bundesministerium fur Wirtschaft (BMWi)(Federal Ministry for Economic Affairs and Energy (BMWi)); Deutsche Forschungsgerneinschaft (DFG)(German Research Foundation (DFG))</t>
  </si>
  <si>
    <t>The authors thank Dr. Doris and Martin Bertges for their support. Preparation of this work was supported by the Bundesministerium fur Wirtschaft (BMWi) through the CryoVEx activities 50EE0505. The airborne data mapped within the VISA project were supported by Deutsche Forschungsgerneinschaft (DFG), founded under grants Di 473/17-1 and Jo 191/8-1. Thanks to the National Snow and Ice Data Center (NSIDC) for providing the ICESat data, the NGAT elevation extraction toot and the RAMR_v2 data. The authors also thank the two anonymous reviewers for their helpful comments.</t>
  </si>
  <si>
    <t>0924-2716</t>
  </si>
  <si>
    <t>1872-8235</t>
  </si>
  <si>
    <t>ISPRS J PHOTOGRAMM</t>
  </si>
  <si>
    <t>ISPRS-J. Photogramm. Remote Sens.</t>
  </si>
  <si>
    <t>10.1016/j.isprsjprs.2009.01.005</t>
  </si>
  <si>
    <t>Geography, Physical; Geosciences, Multidisciplinary; Remote Sensing; Imaging Science &amp; Photographic Technology</t>
  </si>
  <si>
    <t>Physical Geography; Geology; Remote Sensing; Imaging Science &amp; Photographic Technology</t>
  </si>
  <si>
    <t>479HL</t>
  </si>
  <si>
    <t>WOS:000268650200005</t>
  </si>
  <si>
    <t>Lescroël, A; Dugger, KM; Ballard, G; Ainley, DG</t>
  </si>
  <si>
    <t>Lescroel, Amelie; Dugger, Katie M.; Ballard, Grant; Ainley, David G.</t>
  </si>
  <si>
    <t>Effects of individual quality, reproductive success and environmental variability on survival of a long-lived seabird</t>
  </si>
  <si>
    <t>costs of reproduction; breeding experience; breeding quality; multistate mark-recapture models; trade-offs</t>
  </si>
  <si>
    <t>CAPTURE-RECAPTURE; SEA-ICE; POPULATION-DYNAMICS; ADELIE; COSTS; PENGUINS; BIRDS; AGE; HETEROGENEITY; HYPOTHESES</t>
  </si>
  <si>
    <t>Heterogeneity in individual quality (i.e. individuals having different performance levels that are consistent throughout life) can drive the demography of iteroparous species, but quality in the context of environmental variability has rarely been evaluated. We investigated the demographic responses of a long-lived seabird, the AdElie penguin (Pygoscelis adeliae), to contrasting environmental conditions as a function of reproductive success, breeding quality (BQ) and experience. A continuous index of BQ (BQI) was developed to reflect an individual's ability, relative to others, to produce viable offspring. First, we assessed the relative importance of costs of reproduction vs. heterogeneity in quality by comparing survival and reproductive probabilities among deferred, successful and unsuccessful breeders under 'demanding' conditions using multistate capture-mark-recapture modelling. Then, we quantified the influence of BQI on adult survival among experienced breeders vs. the whole study population under both 'normal' and 'demanding' conditions. Higher survival rates were exhibited by successful (74-76%) compared to unsuccessful breeders (64%); the former also more frequently reproduced successfully at year t + 1. From 1997 to 2006, adult survival ranged from 64-79%, with BQI accounting for 91% of variability in the entire study population, but only 17% in experienced breeders. The weakened relationship between BQI and survival in experienced breeders supports the theory that selection during the first reproductive event accounts for a more homogeneous pool of experienced breeders. No significant effect of environmental covariates on survival was evident, suggesting that what appeared to be demanding conditions were within the range that could be buffered by this species. For the first time in seabirds, a quadratic relationship between adult survival and BQI showed that adult survival is shaped by both heterogeneity in quality and reproductive costs. Our study confirms that population demographic patterns are affected by factors at the individuals' level (e.g., individual quality) that are obscured at population-scale levels.</t>
  </si>
  <si>
    <t>[Lescroel, Amelie; Ainley, David G.] HT Harvey &amp; Associates, Los Gatos, CA 95032 USA; [Lescroel, Amelie] CEBC CNRS, UPR 1934, F-79360 Villiers En Bois, France; [Dugger, Katie M.] Oregon State Univ, Dept Fisheries &amp; Wildlife, Corvallis, OR 97331 USA; [Ballard, Grant] PRBO Conservat Sci, Petaluma, CA 94954 USA; [Ballard, Grant] Univ Auckland, Sch Biol Sci, Auckland 1142, New Zealand</t>
  </si>
  <si>
    <t>Centre National de la Recherche Scientifique (CNRS); Oregon State University; University of Auckland</t>
  </si>
  <si>
    <t>Lescroël, A (corresponding author), HT Harvey &amp; Associates, 983 Univ Ave,Bldg D, Los Gatos, CA 95032 USA.</t>
  </si>
  <si>
    <t>National Science Foundation [OPP 9526865, OPP 9814882, OPP 0125608, OPP 0440643]; Marie Curie International Fellowship within the 6th European Community Framework Programme; Oregon State University</t>
  </si>
  <si>
    <t>National Science Foundation(National Science Foundation (NSF)); Marie Curie International Fellowship within the 6th European Community Framework Programme(European Union (EU)); Oregon State University</t>
  </si>
  <si>
    <t>We express our gratitude to the fieldworkers who joined us to collect data at Cape Crozier beginning in 1996, and especially Sacha Heath, Michelle Hester and Viola Toniolo for their multi-season commitment. Logistics were provided by the US Antarctic Program, and funding by National Science Foundation grants OPP 9526865, 9814882, 0125608 and 0440643. AL wishes to acknowledge support also of a Marie Curie International Fellowship within the 6th European Community Framework Programme, and of Oregon State University, Department of Fisheries and Wildlife, during analysis. The very patient Donna Scott, from NSIDC User services, also deserves acknowledgements for help in processing the sea-ice data. Grateful thanks are due to Christophe Barbraud and three anonymous reviewers for constructive comments. PRBO contribution #1664.</t>
  </si>
  <si>
    <t>10.1111/j.1365-2656.2009.01542.x</t>
  </si>
  <si>
    <t>454UF</t>
  </si>
  <si>
    <t>WOS:000266707500012</t>
  </si>
  <si>
    <t>Denton, MH; Borovsky, JE; Horne, RB; McPherron, RL; Morley, SK; Tsurutani, BT</t>
  </si>
  <si>
    <t>Denton, M. H.; Borovsky, J. E.; Horne, R. B.; McPherron, R. L.; Morley, S. K.; Tsurutani, B. T.</t>
  </si>
  <si>
    <t>Introduction to Special Issue on high speed solar wind streams and geospace interactions (HSS-GI)</t>
  </si>
  <si>
    <t>[Denton, M. H.] Univ Lancaster, Dept Commun Syst, Lancaster, England; [Borovsky, J. E.] Los Alamos Natl Lab, Los Alamos, NM USA; [Horne, R. B.] British Antarctic Survey, Cambridge CB3 0ET, England; [McPherron, R. L.] Univ Calif Los Angeles, IGPP, Los Angeles, CA USA; [Morley, S. K.] Univ Newcastle, Newcastle, NSW 2308, Australia; [Tsurutani, B. T.] CALTECH, Jet Prop Lab, Pasadena, CA USA</t>
  </si>
  <si>
    <t>Lancaster University; United States Department of Energy (DOE); Los Alamos National Laboratory; UK Research &amp; Innovation (UKRI); Natural Environment Research Council (NERC); NERC British Antarctic Survey; University of California System; University of California Los Angeles; University of Newcastle; National Aeronautics &amp; Space Administration (NASA); NASA Jet Propulsion Laboratory (JPL); California Institute of Technology</t>
  </si>
  <si>
    <t>Denton, MH (corresponding author), Univ Lancaster, Dept Commun Syst, Lancaster, England.</t>
  </si>
  <si>
    <t>m.denton@lancaster.ac.uk</t>
  </si>
  <si>
    <t>Morley, Steven K/GVS-9398-2022; Morley, Steven K/A-8321-2008; tsurutani, bruce t/G-5835-2019; Horne, Richard B/U-3764-2019; Morley, Steven/AAP-5637-2021</t>
  </si>
  <si>
    <t>Morley, Steven K/0000-0001-8520-0199; Morley, Steven K/0000-0001-8520-0199; Horne, Richard B/0000-0002-0412-6407; McPherron, Robert/0000-0002-5398-2808; Denton, Michael/0000-0002-1748-3710</t>
  </si>
  <si>
    <t>Directorate For Geosciences [0720422] Funding Source: National Science Foundation; Div Atmospheric &amp; Geospace Sciences [0720422] Funding Source: National Science Foundation; Natural Environment Research Council [bas0100023] Funding Source: researchfish; NERC [bas0100023] Funding Source: UKRI</t>
  </si>
  <si>
    <t>Directorate For Geosciences(National Science Foundation (NSF)NSF - Directorate for Geosciences (GEO)); Div Atmospheric &amp; Geospace Sciences(National Science Foundation (NSF)NSF - Directorate for Geosciences (GEO)); Natural Environment Research Council(UK Research &amp; Innovation (UKRI)Natural Environment Research Council (NERC)); NERC(UK Research &amp; Innovation (UKRI)Natural Environment Research Council (NERC))</t>
  </si>
  <si>
    <t>10-11</t>
  </si>
  <si>
    <t>10.1016/j.jastp.2008.09.019</t>
  </si>
  <si>
    <t>478QE</t>
  </si>
  <si>
    <t>WOS:000268602100001</t>
  </si>
  <si>
    <t>Lyons, LR; Lee, DY; Kim, HJ; Hwang, JA; Thorne, RM; Horne, RB; Smith, AJ</t>
  </si>
  <si>
    <t>Lyons, L. R.; Lee, D. -Y.; Kim, H. -J.; Hwang, J. A.; Thorne, R. M.; Horne, R. B.; Smith, A. J.</t>
  </si>
  <si>
    <t>Solar-wind-magnetosphere coupling, including relativistic electron energization, during high-speed streams</t>
  </si>
  <si>
    <t>Workshop on High Speed Solar Wind Streams and Geospace Interactions</t>
  </si>
  <si>
    <t>SEP 02-07, 2007</t>
  </si>
  <si>
    <t>St Martins Coll, Ambleside, ENGLAND</t>
  </si>
  <si>
    <t>St Martins Coll</t>
  </si>
  <si>
    <t>High-speed streams; Substorms; Radiation belt electrons</t>
  </si>
  <si>
    <t>SUBSTORM EXPANSION; RADIATION BELT; RESONANT DIFFUSION; ACCELERATION; CHORUS; TIME; REDUCTION; ENERGIES; PHASE</t>
  </si>
  <si>
    <t>High geomagnetic activity occurs continuously during high-speed solar wind streams, and fluxes of relativistic electrons observed at geosynchronous orbit enhance significantly. High-speed streams are preceded by solar wind compression regions, during which time there are large losses of relativistic electrons from geosynchronous orbit. Weak to moderate geomagnetic storms often Occur during the passage of these compression regions; however, we find that the phenomena that occur during the ensuing high-speed streams do not depend on whether or not a preceding storm develops. Large-amplitude Alfven waves occur within the high-speed solar wind streams, which are expected to lead to intermittent intervals of significantly enhanced magnetospheric convection and to thus also lead to repetitive substorms due to repetitively occurring reductions in the strength of convection. We find that such repetitive substorms are clearly discernible in the LANL geosynchronous energetic particle data during highspeed stream intervals. Global auroral images are found to show unambiguously that these events are indeed classical substorms, leading us to conclude that substorms are an important contributor to the enhanced geomagnetic activity during high-speed streams. We used the onsets of these substorms as indicators of preceding periods of enhanced convection and of reductions in convection, and we have used ground-based chorus observations from the VELOX instrument at Halley station as an indicator of magnetospheric chorus intensities. These data show evidence that it is the periods of enhanced convection that precede substorm expansions, and not the expansions themselves, that lead to the enhanced dawn-side chorus wave intensity that has been postulated to cause the energization of relativistic electrons. If this inference is correct, and if it is chorus that energizes the relativistic electrons, then high-speed solar wind streams lead to relativistic electron flux enhancements because the embedded large-amplitude Alfven waves give multi-day periods of intermittent significantly enhanced convection. (C) 2008 Elsevier Ltd. All rights reserved.</t>
  </si>
  <si>
    <t>[Lyons, L. R.; Thorne, R. M.] Univ Calif Los Angeles, Dept Atmospher &amp; Ocean Sci, Los Angeles, CA 90095 USA; [Lee, D. -Y.] Chungbuk Natl Univ, Dept Astron &amp; Space Sci, Coll Nat Sci, Cheongju 361763, Chungbuk, South Korea; [Lee, D. -Y.] Chungbuk Natl Univ, Inst Basic Sci Res, Cheongju 361763, Chungbuk, South Korea; [Kim, H. -J.] Kyung Hee Univ, Dept Astron &amp; Space Sci, Yongin 446701, Kyunggi Do, South Korea; [Hwang, J. A.] Korea Astron &amp; Space Sci Inst, Taejon, South Korea; [Horne, R. B.] British Antarctic Survey, Cambridge CB3 0ET, England; [Smith, A. J.] Nether Tor, Bradwell S33 9JD, Hope Valley, England</t>
  </si>
  <si>
    <t>University of California System; University of California Los Angeles; Chungbuk National University; Chungbuk National University; Kyung Hee University; Korea Astronomy &amp; Space Science Institute (KASI); UK Research &amp; Innovation (UKRI); Natural Environment Research Council (NERC); NERC British Antarctic Survey</t>
  </si>
  <si>
    <t>Lyons, LR (corresponding author), Univ Calif Los Angeles, Dept Atmospher &amp; Ocean Sci, Los Angeles, CA 90095 USA.</t>
  </si>
  <si>
    <t>larry@atmos.ucla.edu; dylee@chungbuk.ac.kr; heekim@khu.ac.kr; jahwang@kasi.re.kr; rmt@atmos.ucla.edu; RH@bas.ac.uk; a.j.smith@verri.org.uk</t>
  </si>
  <si>
    <t>Horne, Richard B/U-3764-2019; Hwang, Junga/R-8719-2019</t>
  </si>
  <si>
    <t>Horne, Richard B/0000-0002-0412-6407; Hwang, Junga/0000-0002-6862-5854; LEE, Deuk Yong/0000-0003-1674-412X</t>
  </si>
  <si>
    <t>10.1016/j.jastp.2008.04.016</t>
  </si>
  <si>
    <t>WOS:000268602100006</t>
  </si>
  <si>
    <t>Morley, SK; Rouillard, AP; Freeman, MP</t>
  </si>
  <si>
    <t>Morley, S. K.; Rouillard, A. P.; Freeman, M. P.</t>
  </si>
  <si>
    <t>Recurrent substorm activity during the passage of a corotating interaction region</t>
  </si>
  <si>
    <t>Magnetospheric substorms; Corotating interaction regions; High-speed solar wind streams; Space weather</t>
  </si>
  <si>
    <t>INTERPLANETARY MAGNETIC-FIELD; SOLAR-WIND; MAGNETOSPHERIC SUBSTORMS; NORTHWARD TURNINGS; EXPANSION ONSETS; MODEL; ASSOCIATION; IONOSPHERE; CONVECTION; SIGNATURES</t>
  </si>
  <si>
    <t>Recent observations of rnagnetospheric dynamics driven by interaction with both high-speed solar wind streams (HSSs) and interplanetary coronal mass ejections (ICMEs) have shown periodic substonns to be common under strong driving, but with different periods of similar to 4 and 2-3 h, respectively. However, it is unclear what causes these substorms and what determines their periodicity. Observations during the passage of a corotating interaction region preceding a high-speed stream are presented here and the observed enhancements in the AE index are shown to be a quasi-periodic sequence of substorms. The occurrence times of these substorms and the variation of the AL index are shown to be consistent with a simple loading-unloading model without the need for external triggers. A possible explanation is given for the lengthening of the inter-substorm period during HSS relative to that of sawtooth events during ICMEs. (C) 2009 Elsevier Ltd. All rights reserved.</t>
  </si>
  <si>
    <t>[Morley, S. K.] Univ Newcastle, Ctr Space Phys, Callaghan, NSW 2308, Australia; [Rouillard, A. P.] Univ Southampton, Sch Phys &amp; Astron, Southampton, Hants, England; [Freeman, M. P.] British Antarctic Survey, Div Phys Sci, Cambridge CB3 0ET, England</t>
  </si>
  <si>
    <t>University of Newcastle; University of Southampton; UK Research &amp; Innovation (UKRI); Natural Environment Research Council (NERC); NERC British Antarctic Survey</t>
  </si>
  <si>
    <t>Morley, SK (corresponding author), Univ Newcastle, Ctr Space Phys, Callaghan, NSW 2308, Australia.</t>
  </si>
  <si>
    <t>steve.morley@newcastle.edu.au</t>
  </si>
  <si>
    <t>10.1016/j.jastp.2008.11.009</t>
  </si>
  <si>
    <t>WOS:000268602100007</t>
  </si>
  <si>
    <t>Lam, MM; Horne, RB; Meredith, NP; Glauert, SA</t>
  </si>
  <si>
    <t>Lam, M. M.; Horne, R. B.; Meredith, N. P.; Glauert, S. A.</t>
  </si>
  <si>
    <t>Radiation belt electron flux variability during three CIR-driven geomagnetic storms</t>
  </si>
  <si>
    <t>High speed solar wind; Magnetic storms; Radiation belts; Wave-particle interactions</t>
  </si>
  <si>
    <t>PITCH-ANGLE DIFFUSION; MAGNETIC STORMS; SOLAR-WIND; RELATIVISTIC ENERGIES; INTERACTION REGIONS; ACCELERATION; CHORUS; MAGNETOSPHERE; CRRES; ENHANCEMENTS</t>
  </si>
  <si>
    <t>Coronal holes produce high speed solar wind streams (HSS) that subsequently interact with the slower downstream solar wind forming co-rotating interaction regions (CIRs). The CIR/HSS combination drives geomagnetic storms that have a weak to moderate signature in D-st. We simulate the behavior of relativistic (976 keV) electrons in the outer radiation belt and the slot region (2 &lt;= L &lt;= 7) during three CIR-driven storms associated with three consecutive rotations of a coronal hole that Occurred just after solar maximum during June-August 1991. We use a Id radial diffusion model (RADICAL) with losses due to pitch-angle scattering by plasmaspheric hiss. The losses are expressed through the electron lifetime calculated using the PADIE code driven by a global K-p-dependent model of plasmaspheric hiss intensity and f(pe)/f(ce). The outer boundary condition is time and energy-dependent and derived from observations. The model reproduces the observed flux at L = 5 to within about a factor of 3 suggesting that flux levels are well-described by radial diffusion to and from the outer boundary. At L = 3.5 and 4, the model overestimates the flux decay rates. This results in the observed flux exceeding the model flux, by up to a factor of 5 at L = 4 and by up to a factor of 8 at L = 3.5, by the end of the recovery phase. Comparison with model results from a geomagnetically quieter interval suggest that the underestimation in flux may be due to the lack of representation of local wave acceleration in the model. (C) 2008 Elsevier Ltd. All rights reserved.</t>
  </si>
  <si>
    <t>[Lam, M. M.; Horne, R. B.; Meredith, N. P.; Glauert, S. A.] British Antarctic Survey, Cambridge CB3 0ET, England</t>
  </si>
  <si>
    <t>Lam, MM (corresponding author), British Antarctic Survey, Madingley Rd, Cambridge CB3 0ET, England.</t>
  </si>
  <si>
    <t>M.Lam@bas.ac.uk</t>
  </si>
  <si>
    <t>Natural Environment Research Council [bas010022, bas0100023] Funding Source: researchfish; Science and Technology Facilities Council [PP/E000983/1] Funding Source: researchfish; NERC [bas010022, bas0100023] Funding Source: UKRI; STFC [PP/E000983/1]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</si>
  <si>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</si>
  <si>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10.1016/j.jastp.2008.06.007</t>
  </si>
  <si>
    <t>WOS:000268602100012</t>
  </si>
  <si>
    <t>Turunen, E; Verronen, PT; Seppälä, A; Rodger, CJ; Clilverd, MA; Tamminen, J; Enell, CF; Ulich, T</t>
  </si>
  <si>
    <t>Turunen, Esa; Verronen, Pekka T.; Seppala, Annika; Rodger, Craig J.; Clilverd, Mark A.; Tamminen, Johanna; Enell, Carl-Fredrik; Ulich, Thomas</t>
  </si>
  <si>
    <t>Impact of different energies of precipitating particles on NOx generation in the middle and upper atmosphere during geomagnetic storms</t>
  </si>
  <si>
    <t>Solar wind; Geomagnetic storms; Energetic precipitation; Nitric oxide; Ozone</t>
  </si>
  <si>
    <t>NITRIC-OXIDE; ELECTRON-FLUXES; ION CHEMISTRY; ODD NITROGEN; POLAR OZONE; THERMOSPHERE; COEFFICIENT; DEPOSITION; DIFFUSION; REGION</t>
  </si>
  <si>
    <t>Energetic particle precipitation couples the solar wind to the Earth's atmosphere and indirectly to Earth's climate. Ionisation and dissociation increases, due to particle precipitation, create odd nitrogen (NOx) and odd hydrogen (HOx) in the upper atmosphere, which can affect ozone chemistry. The long-lived NOx can be transported downwards into the stratosphere, particularly during the polar winter. Thus, the impact of NOx is determined by both the initial ionisation production, which is a function of the particle flux and energy spectrum, as well as transport rates. In this paper, we use the Sodankyla ion and Neurtal Chemistry (SIC) model to simulate the production of NOx from examples of the most representative particle flux and energy spectra available today of solar proton events (SPE), auroral energy electrons, and relativistic electron precipitation (REP). Large SPEs are found to produce higher initial NOx concentrations than long-lived REP events, which themselves produce higher initial NOx levels than auroral electron precipitation. Only REP microburst events were found to be insignificant in terms of generating NOx. We show that the Global Ozone Monitoring by Occultation of Stars (GOMOS) observations from the Arctic winter 2003-2004 are consistent with NOx generation by a combination of SPE, auroral altitude precipitation, and long-lived REP events. Crown Copyright (C) 2008 Published by Elsevier Ltd. All rights reserved.</t>
  </si>
  <si>
    <t>[Clilverd, Mark A.] British Antarctic Survey, NERC, Div Phys Sci, Cambridge CB3 0ET, England; [Turunen, Esa; Enell, Carl-Fredrik; Ulich, Thomas] Sodankyla Geophys Observ, FI-99600 Sodankyla, Finland; [Verronen, Pekka T.; Seppala, Annika; Tamminen, Johanna] Finnish Meteorol Inst, FI-00101 Helsinki, Finland; [Rodger, Craig J.] Univ Otago, Dept Phys, Dunedin, New Zealand</t>
  </si>
  <si>
    <t>UK Research &amp; Innovation (UKRI); Natural Environment Research Council (NERC); NERC British Antarctic Survey; Finnish Meteorological Institute; University of Otago</t>
  </si>
  <si>
    <t>Clilverd, MA (corresponding author), British Antarctic Survey, NERC, Div Phys Sci, Madingley Rd, Cambridge CB3 0ET, England.</t>
  </si>
  <si>
    <t>macl@bas.ac.uk</t>
  </si>
  <si>
    <t>Verronen, P. T./AIE-0203-2022; Seppälä, Annika/C-8031-2014; Rodger, Craig/A-1501-2011; Verronen, Pekka T/G-6658-2014; Tamminen, Johanna/D-7959-2014; Ulich, Thomas/G-3727-2018</t>
  </si>
  <si>
    <t>Verronen, P. T./0000-0002-3479-9071; Seppälä, Annika/0000-0002-5028-8220; Tamminen, Johanna/0000-0003-3095-0069; Ulich, Thomas/0000-0001-8217-022X; Turunen, Esa/0000-0001-8232-8744; Rodger, Craig J./0000-0002-6770-2707</t>
  </si>
  <si>
    <t>10.1016/j.jastp.2008.07.005</t>
  </si>
  <si>
    <t>WOS:000268602100014</t>
  </si>
  <si>
    <t>Garabato, ACN; Jullion, L; Stevens, DP; Heywood, KJ; King, BA</t>
  </si>
  <si>
    <t>Garabato, Alberto C. Naveira; Jullion, Loic; Stevens, David P.; Heywood, Karen J.; King, Brian A.</t>
  </si>
  <si>
    <t>Variability of Subantarctic Mode Water and Antarctic Intermediate Water in the Drake Passage during the Late-Twentieth and Early-Twenty-First Centuries</t>
  </si>
  <si>
    <t>SOUTHERN ANNULAR MODE; INDIAN-OCEAN; FRESH-WATER; SURFACE TEMPERATURES; DECADAL CHANGES; CLIMATE-CHANGE; SEA-ICE; PACIFIC; TRANSPORT; ATLANTIC</t>
  </si>
  <si>
    <t>A time series of the physical and biogeochemical properties of Subantarctic Mode Water (SAMW) and Antarctic Intermediate Water (AAIW) in the Drake Passage between 1969 and 2005 is constructed using 24 transects of measurements across the passage. Both water masses have experienced substantial variability on interannual to interdecadal time scales. SAMW is formed by winter overturning on the equatorward flank of the Antarctic Circumpolar Current (ACC) in and to the west of the Drake Passage. Its interannual variability is primarily driven by variations in wintertime air-sea turbulent heat fluxes and net evaporation modulated by the El Nino-Southern Oscillation (ENSO). Despite their spatial proximity, the AAIW in the Drake Passage has a very different source than that of the SAMW because it is ventilated by the northward subduction of Winter Water originating in the Bellingshausen Sea. Changes in AAIW are mainly forced by variability in Winter Water properties resulting from fluctuations in wintertime air-sea turbulent heat fluxes and spring sea ice melting, both of which are linked to predominantly ENSO-driven variations in the intensity of meridional winds to the west of the Antarctic Peninsula. A prominent exception to the prevalent modes of SAMW and AAIW formation occurred in 1998, when strong wind forcing associated with constructive interference between ENSO and the southern annular mode (SAM) triggered a transitory shift to an Ekman-dominated mode of SAMW ventilation and a 1-2-yr shutdown of AAIW production. The interdecadal evolutions of SAMW and AAIW in the Drake Passage are distinct and driven by different processes. SAMWwarmed (by similar to 0.3 degrees C) and salinified (by similar to 0.04) during the 1970s and experienced the reverse trends between 1990 and 2005, when the coldest and freshest SAMW on record was observed. In contrast, AAIW underwent a net freshening (by similar to 0.05) between the 1970s and the twenty-first century. Although the reversing changes in SAMW were chiefly forced by a similar to 30-yr oscillation in regional air-sea turbulent heat fluxes and precipitation associated with the interdecadal Pacific oscillation, with a SAM-driven intensification of the Ekman supply of Antarctic surface waters from the south contributing significantly too, the freshening of AAIW was linked to the extreme climate change that occurred to the west of the Antarctic Peninsula in recent decades. There, a freshening of the Winter Water ventilating AAIW was brought about by increased precipitation and a retreat of the winter sea ice edge, which were seemingly forced by an interdecadal trend in the SAM and regional positive feedbacks in the air-sea ice coupled climate system. All in all, these findings highlight the role of the major modes of Southern Hemisphere climate variability in driving the evolution of SAMW and AAIW in the Drake Passage region and the wider South Atlantic and suggest that these modes may have contributed significantly to the hemispheric-scale changes undergone by those waters in recent decades.</t>
  </si>
  <si>
    <t>[Garabato, Alberto C. Naveira] Natl Oceanog Ctr, Sch Ocean &amp; Earth Sci, Southampton SO14 3ZH, Hants, England; [Jullion, Loic; Heywood, Karen J.] Univ E Anglia, Sch Environm Sci, Norwich NR4 7TJ, Norfolk, England; [Stevens, David P.] Univ E Anglia, Sch Math, Norwich NR4 7TJ, Norfolk, England</t>
  </si>
  <si>
    <t>NERC National Oceanography Centre; University of East Anglia; University of East Anglia</t>
  </si>
  <si>
    <t>Garabato, ACN (corresponding author), Natl Oceanog Ctr, Sch Ocean &amp; Earth Sci, Southampton SO14 3ZH, Hants, England.</t>
  </si>
  <si>
    <t>acng@noc.soton.ac.uk</t>
  </si>
  <si>
    <t>KIng, Brian/KDN-7191-2024; Garabato, Alberto Naveira/AAQ-1114-2020; Heywood, Karen/L-1757-2016; Stevens, David/F-2509-2010; Jullion, Loic/B-3304-2011</t>
  </si>
  <si>
    <t>Garabato, Alberto Naveira/0000-0001-6071-605X; Heywood, Karen/0000-0001-9859-0026; Stevens, David/0000-0002-7283-4405; Jullion, Loic/0000-0001-6269-6750</t>
  </si>
  <si>
    <t>Natural Environment Research Council [NE/C517633/1, soc010012, soc010007] Funding Source: researchfish; NERC [soc010012, soc010007] Funding Source: UKRI</t>
  </si>
  <si>
    <t>10.1175/2009JCLI2621.1</t>
  </si>
  <si>
    <t>472JQ</t>
  </si>
  <si>
    <t>Green Accepted, hybrid</t>
  </si>
  <si>
    <t>WOS:000268127300009</t>
  </si>
  <si>
    <t>Climate Impacts of the Southern Annular Mode Simulated by the CMIP3 Models</t>
  </si>
  <si>
    <t>SEA-SURFACE TEMPERATURE; ANTARCTIC OSCILLATION; HEMISPHERE CLIMATE; 20TH-CENTURY SIMULATION; GLOBAL PRECIPITATION; AUSTRALIAN RAINFALL; COUPLED MODELS; VARIABILITY; CIRCULATION; OCEAN</t>
  </si>
  <si>
    <t>The southern annular mode (SAM) has a well-established impact on climate in the Southern Hemisphere. The strongest response in surface air temperature (SAT) is observed in the Antarctic, but the SAM's area of influence extends much farther, with statistically significant effects on temperature and precipitation being detected as far north as 208S. Here the authors quantify the ability of the Coupled Model Intercomparison Project, phase 3 (CMIP3) coupled climate models to simulate the observed SAT, total precipitation, sea surface temperature (SST), and sea ice concentration responses to the SAM. The models are able to simulate the spatial pattern of response in SAT reasonably well; however, all models underestimate the magnitude of the response over Antarctica, both at the surface and in the free troposphere. This underestimation of the temperature response has implications for prediction of the future temperature changes associated with expected changes in the SAM. The models possess reasonable skill in simulating patterns of precipitation and SST response; however, some considerable regional deviations exist. The simulated precipitation and SST responses are less constrained by the observations than the SAT response, particularly in magnitude, as significant discrepancies are detected between the responses in the reference datasets. The largest problems are identified in simulating the sea ice response to the SAM, with some models even simulating a response that is negatively correlated with that observed.</t>
  </si>
  <si>
    <t>Karpechko, Alexey/0000-0003-0902-0414; Screen, James/0000-0003-1728-783X</t>
  </si>
  <si>
    <t>NERC Project [NE/E006787/1]; Program for Climate Model Diagnosis and Intercomparison (PCMDI); WCRP's Working Group on Coupled Modelling (WGCM); Office of Science, U.S. Department of Energy; ECMWF; UKMO Hadley Centre; BADC; NOAA/OAR/ESRL PSD, Boulder, Colorado; NERC [bas0100023, NE/E006787/1] Funding Source: UKRI; Natural Environment Research Council [NE/E006787/1, bas0100023] Funding Source: researchfish</t>
  </si>
  <si>
    <t>NERC Project(UK Research &amp; Innovation (UKRI)Natural Environment Research Council (NERC)); Program for Climate Model Diagnosis and Intercomparison (PCMDI); WCRP's Working Group on Coupled Modelling (WGCM); Office of Science, U.S. Department of Energy(United States Department of Energy (DOE)); ECMWF; UKMO Hadley Centre; BADC; NOAA/OAR/ESRL PSD, Boulder, Colorado(National Oceanic Atmospheric Admin (NOAA) - USA); NERC(UK Research &amp; Innovation (UKRI)Natural Environment Research Council (NERC)); Natural Environment Research Council(UK Research &amp; Innovation (UKRI)Natural Environment Research Council (NERC))</t>
  </si>
  <si>
    <t>This work is supported by NERC Project NE/E006787/1. We acknowledge the modeling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ECMWF is acknowledged for providing ERA-40 data. The HadISST dataset was assembled by the UKMO Hadley Centre and obtained through the BADC, available online at http://www.badc.nerc.ac.uk/. NCEP DOE AMIP II Reanalysis, NOAA OI SST V2, GPCP, and CMAP data are provided by the NOAA/OAR/ESRL PSD, Boulder, Colorado, from their Web site at http://www.cdc.noaa.gov/. We thank Adam Scaife for providing HadGEM1 data and three anonymous reviewers for their comments. The manuscript has benefited from useful comments from David Thompson. NPG acknowledges support from the Leverhulme Trust.</t>
  </si>
  <si>
    <t>10.1175/2009JCLI2788.1</t>
  </si>
  <si>
    <t>WOS:000268127300014</t>
  </si>
  <si>
    <t>Carbone, M; Núñez-Pons, L; Castelluccio, F; Avila, C; Gavagnin, M</t>
  </si>
  <si>
    <t>Carbone, Marianna; Nunez-Pons, Laura; Castelluccio, Francesco; Avila, Conxita; Gavagnin, Margherita</t>
  </si>
  <si>
    <t>Illudalane Sesquiterpenoids of the Alcyopterosin Series from the Antarctic Marine Soft Coral Alcyonium grandis</t>
  </si>
  <si>
    <t>CHEMICAL ECOLOGY; DERIVATIVES; ANALOGS; ORIGIN</t>
  </si>
  <si>
    <t>Chemical investigation of the lipophilic extract of the Antarctic soft coral Alcyonium grandis led us to the finding of nine unreported sesquiterpenoids, 2-10. These molecules are members of the illudalane class and in particular belong to the group of alcyopterosins, illudalanes isolated from marine organisms. The structures of 2-10 were determined by interpretation of spectroscopic data. Repellency experiments conducted using the omnivorous Antarctic sea star Odontaster validus revealed a strong activity in the lipophilic extract of A. grandis against predation.</t>
  </si>
  <si>
    <t>[Carbone, Marianna; Castelluccio, Francesco; Gavagnin, Margherita] CNR, Ist Chim Biomol, I-80078 Naples, Italy; [Nunez-Pons, Laura; Avila, Conxita] Univ Barcelona, Fac Biol, Dept Biol Anim Invertebrats, E-08028 Barcelona, Catalunya, Spain</t>
  </si>
  <si>
    <t>Consiglio Nazionale delle Ricerche (CNR); Istituto di Chimica Biomolecolare (ICB-CNR); University of Barcelona</t>
  </si>
  <si>
    <t>Gavagnin, M (corresponding author), CNR, Ist Chim Biomol, Via Campi Flegrei 34, I-80078 Naples, Italy.</t>
  </si>
  <si>
    <t>margherita.gavagnin@icb.cnr.it</t>
  </si>
  <si>
    <t>Avila, Conxita/B-9466-2008; Gavagnin, Margherita/B-4584-2012</t>
  </si>
  <si>
    <t>Avila, Conxita/0000-0002-5489-8376; CARBONE, MARIANNA/0000-0003-3729-5714</t>
  </si>
  <si>
    <t>Ministry of Education of Spain (MEC) [REN2003-00545, REN2002-12006-E ANT, CGL2004-03356/ANT]; Ministry of University and Research of Italy (MUR); PharmaMar S.A.; I3P (CSIC)</t>
  </si>
  <si>
    <t>Ministry of Education of Spain (MEC)(Spanish Government); Ministry of University and Research of Italy (MUR)(Ministry of Education, Universities and Research (MIUR)); PharmaMar S.A.; I3P (CSIC)</t>
  </si>
  <si>
    <t>This research was developed in the frame of the ECOQUIM (REN2003-00545 and REN2002-12006-E ANT) and ECO-QUIM-2 (CGL2004-03356/ANT) projects and financed by the Ministry of Education of Spain (MEC) and the Ministry of University and Research of Italy (MUR). L.N.-P. was consecutively supported by PharmaMar S.A., an I3P (CSIC) grant, and a FPU Fellowship from MEC during this study. We thank O. Iannicelli, M. Garofalo, S. Taboada, J. Vazquez, and M. Ballesteros for their help, as well as A. Ramos, W. Arntz, T. Brey, and the staff of the R/V Polarstern and the BIO Hesperides research vessels, and the Spanish Antarctic Base Gabriel de Castilla for all-their logistic support. The NMR spectra were recorded at the ICB NMR Service, the staff of which is gratefully acknowledged. Thanks are due to Mr. R. Turco for preparing the structures and tables.</t>
  </si>
  <si>
    <t>10.1021/np900162t</t>
  </si>
  <si>
    <t>479MV</t>
  </si>
  <si>
    <t>WOS:000268664500029</t>
  </si>
  <si>
    <t>Nardini, I; Armienti, P; Rocchi, S; Dallai, L; Harrison, D</t>
  </si>
  <si>
    <t>Nardini, Isabella; Armienti, Pietro; Rocchi, Sergio; Dallai, Luigi; Harrison, Darrell</t>
  </si>
  <si>
    <t>Sr-Nd-Pb-He-O Isotope and Geochemical Constraints on the Genesis of Cenozoic Magmas from the West Antarctic Rift</t>
  </si>
  <si>
    <t>1st Workshop on European Mantle Petrology</t>
  </si>
  <si>
    <t>AUG 29-31, 2007</t>
  </si>
  <si>
    <t>Ferrara, ITALY</t>
  </si>
  <si>
    <t>Antarctica; geochemistry; Sr-Nd-Pb-He-O isotopes; lithospheric mantle; metasomatism</t>
  </si>
  <si>
    <t>ROSS SEA REGION; HIGH HE-3/HE-4 RATIOS; MANTLE-PLUME ACTIVITY; MARIE BYRD LAND; CHEMICAL CLASSIFICATION; HYDROTHERMAL SYSTEMS; VICTORIA-LAND; NEW-ZEALAND; BASALTS; ISLAND</t>
  </si>
  <si>
    <t>The West Antarctic Rift System (WARS) represents one of the major active continental extension zones on Earth. The Ross Sea coast in northern Victoria Land (NVL) is littered with alkaline rift-related igneous products (Middle Eocene-Present). This study characterizes the nature of the magma source involved in the rift process through geochemical-isotopic investigation of Cenozoic basalts from NVL, and provides important constraints for the reconstruction of the tectono-magmatic evolution of the Ross Sea region-WARS. The chemical compositions of the basalts (Miocene-Present) display major and trace element characteristics typical of ocean island basalts (OIB), with strong enrichment in the most incompatible elements. Whole-rock isotopic compositions are in the range 0.7028-0.7034 for Sr-87/Sr-86, 0.5129-0.5130 for Nd-143/Nd-144 (epsilon Nd(t) similar to 4.8-6.7), 19.3-19.7 for Pb-206/Pb-204, 15.4-15.6 for Pb-207/Pb-204 and 38.7-39.3 for Pb-208/Pb-204, suggesting a HIMU-like (high U/Pb) signature of the mantle source. Determinations of He-3/He-4 on crushed olivine yielded values between 5.7 and 7.2 times the atmospheric ratio, similar to the lithospheric mantle and in the range of mid-ocean ridge basalts (MORB). The delta O-18(ol) of olivine separates varies from 4.92 to 5.53% and is positively correlated with Fo content. Integration of our geochemical and isotope data with available geological, geophysical and geochronological data has led to the following reconstruction. The differences in the oxygen isotope values principally reflect the involvement of a heterogeneous mantle source and/or the assimilation of variable amounts of hydrothermally altered crustal rocks from the volcanic edifices. The He-3/He-4 data allow us to exclude a plume-driven model to explain the continuing rifting process. Based on the evidence of metasomatic processes, we propose a model to generate the mantle source(s) of the Cenozoic basaltic melts of the NVL. This is sublithospheric mantle metasomatized during an amagmatic extensional event that affected the WARS in the Late Cretaceous. During Eocene-Oligocene times, mantle flow warmed the mantle at the edge of the thick Antarctic lithosphere, and the reactivation of old translithospheric discontinuities promoted mantle melting and the rise of magmas as plutons and dyke swarms. From the Late Miocene to Present, the continuing craton-directed mantle flow led to normal faulting of the rift shoulder, which favoured the rise of magmas to build up large volcanic edifices.</t>
  </si>
  <si>
    <t>[Nardini, Isabella; Dallai, Luigi] CNR, IGG, I-56124 Pisa, Italy; [Nardini, Isabella; Armienti, Pietro; Rocchi, Sergio] Univ Pisa, Dipartimento Sci Terra, I-56126 Pisa, Italy; [Harrison, Darrell] Univ Manchester, Sch Earth Atmospher &amp; Environm Sci, Manchester M13 9PL, Lancs, England</t>
  </si>
  <si>
    <t>Consiglio Nazionale delle Ricerche (CNR); Istituto di Geoscienze e Georisorse (IGG-CNR); University of Pisa; University of Manchester</t>
  </si>
  <si>
    <t>Nardini, I (corresponding author), CNR, IGG, Via Moruzzi 1, I-56124 Pisa, Italy.</t>
  </si>
  <si>
    <t>nardini@igg.cnr.it</t>
  </si>
  <si>
    <t>Nardini, Isabella/GPP-3820-2022; Rocchi, Sergio/A-7752-2018</t>
  </si>
  <si>
    <t>Nardini, Isabella/0000-0002-0594-6132; Armienti, Pietro/0000-0002-5929-8222; Dallai, Luigi/0000-0002-1514-5013; Rocchi, Sergio/0000-0001-6868-1939</t>
  </si>
  <si>
    <t>10.1093/petrology/egn082</t>
  </si>
  <si>
    <t>472FS</t>
  </si>
  <si>
    <t>WOS:000268116100008</t>
  </si>
  <si>
    <t>Spence, P; Saenko, OA; Eby, M; Weaver, AJ</t>
  </si>
  <si>
    <t>Spence, Paul; Saenko, Oleg A.; Eby, Michael; Weaver, Andrew J.</t>
  </si>
  <si>
    <t>The Southern Ocean Overturning: Parameterized versus Permitted Eddies</t>
  </si>
  <si>
    <t>RESIDUAL-MEAN VELOCITY; TRACER TRANSPORTS; CLIMATE MODEL; PART II; CIRCULATION; SENSITIVITY; SIMULATION; EQUATION; HEAT; FLUX</t>
  </si>
  <si>
    <t>Four versions of the same global climate model, with horizontal resolution ranging from 1.8 degrees X 3.6 degrees to 0.2 degrees X 0.4 degrees, are employed to evaluate the resolution dependence of the Southern Ocean meridional overturning circulation. At coarse resolutions North Atlantic Deep Water tends to upwell diabatically at low latitudes, so that the Southern Ocean is weakly coupled with the rest of the ocean. As resolution increases and eddy effects become less parameterized the interior circulation becomes more adiabatic and deep water increasingly upwells by flowing along isopycnals in the Southern Ocean, despite each model having the same vertical diffusivity profile. Separating the overturning circulation into mean and eddy-induced components demonstrates that both the permitted and the parameterized eddies induce overturning cells in the Southern Ocean with mass fluxes across mean isopycnals. It is found that for some density classes the transformation rate derived from surface buoyancy fluxes can provide a proxy for the net meridional transport in the upper Southern Ocean. Changes in the Southern Ocean overturning in response to poleward-intensifying Southern Hemisphere winds concomitant with increasing atmospheric CO2 through the twenty-first century are also investigated. Results suggest that the circulation associated with the formation of Antarctic Intermediate Water is likely to strengthen, or stay essentially unchanged, rather than to slow down.</t>
  </si>
  <si>
    <t>[Spence, Paul; Eby, Michael; Weaver, Andrew J.] Univ Victoria, Sch Earth &amp; Ocean Sci, Victoria, BC V8W 3P6, Canada; [Saenko, Oleg A.] Environm Canada, Canadian Ctr Climate Modelling &amp; Anal, Victoria, BC, Canada</t>
  </si>
  <si>
    <t>University of Victoria; Environment &amp; Climate Change Canada; Canadian Centre for Climate Modelling &amp; Analysis (CCCma)</t>
  </si>
  <si>
    <t>Spence, P (corresponding author), Univ Victoria, Sch Earth &amp; Ocean Sci, POB 3055,Stn CSC, Victoria, BC V8W 3P6, Canada.</t>
  </si>
  <si>
    <t>pspence@ocean.seos.uvic.ca</t>
  </si>
  <si>
    <t>Eby, Michael/H-5278-2013; Weaver, Andrew J/E-7590-2011; Spence, Paul/IZE-7366-2023</t>
  </si>
  <si>
    <t>Weaver, Andrew J/0000-0001-8919-3598; Spence, Paul/0000-0001-5156-2204</t>
  </si>
  <si>
    <t>NSERC/CFCAS CLIVAR; CFI; NEC; BCKDF; University of Victoria</t>
  </si>
  <si>
    <t>NSERC/CFCAS CLIVAR(Natural Sciences and Engineering Research Council of Canada (NSERC)); CFI(Canada Foundation for Innovation); NEC; BCKDF; University of Victoria</t>
  </si>
  <si>
    <t>This research was supported by the NSERC/CFCAS CLIVAR program. Infrastructure support from CFI, NEC, BCKDF, and the University of Victoria is also acknowledged. Thank you to Chris Avis, Alvaro Montenegro, and Matthew England for their helpful comments.</t>
  </si>
  <si>
    <t>10.1175/2009JPO4120.1</t>
  </si>
  <si>
    <t>472QN</t>
  </si>
  <si>
    <t>WOS:000268147000006</t>
  </si>
  <si>
    <t>Jayne, SR</t>
  </si>
  <si>
    <t>Jayne, Steven R.</t>
  </si>
  <si>
    <t>The Impact of Abyssal Mixing Parameterizations in an Ocean General Circulation Model</t>
  </si>
  <si>
    <t>ANTARCTIC CIRCUMPOLAR CURRENT; CLIMATE SYSTEM MODEL; GRAVITY-WAVE DRAG; GLOBAL OCEAN; DEEP-OCEAN; WORLD OCEAN; ROUGH TOPOGRAPHY; OVERTURNING CIRCULATION; SATELLITE ALTIMETRY; VERTICAL DIFFUSION</t>
  </si>
  <si>
    <t>A parameterization of vertical diffusivity in ocean general circulation models has been implemented in the ocean model component of the Community Climate System Model ( CCSM). The parameterization represents the dynamics of the mixing in the abyssal ocean arising from the breaking of internal waves generated by the tides forcing stratified flow over rough topography. This parameterization is explored over a range of parameters and compared to the more traditional ad hoc specification of the vertical diffusivity. Diapycnal mixing in the ocean is thought to be one of the primary controls on the meridional overturning circulation and the poleward heat transport by the ocean. When compared to the traditional approach with uniform mixing, the new mixing parameterization has a noticeable impact on the meridional overturning circulation; while the upper limb of the meridional overturning circulation appears to be only weakly impacted by the transition to the new parameterization, the deep meridional overturning circulation is significantly strengthened by the change. The poleward ocean heat transport does not appear to be strongly affected by the mixing in the abyssal ocean for reasonable parameter ranges. The transport of the Antarctic Circumpolar Current through the Drake Passage is related to the amount of mixing in the deep ocean. The new parameterization is found to be energetically consistent with the known constraints on the ocean energy budget.</t>
  </si>
  <si>
    <t>Woods Hole Oceanog Inst, Dept Phys Oceanog, Woods Hole, MA 02543 USA</t>
  </si>
  <si>
    <t>Woods Hole Oceanographic Institution</t>
  </si>
  <si>
    <t>Jayne, SR (corresponding author), Woods Hole Oceanog Inst, Dept Phys Oceanog, MS 21,360 Woods Hole Rd, Woods Hole, MA 02543 USA.</t>
  </si>
  <si>
    <t>surje@alum.mit.edu</t>
  </si>
  <si>
    <t>Jayne, Steven/0000-0001-7999-0147</t>
  </si>
  <si>
    <t>National Science Foundation [ATM 02-00929, OCE 02-41061]; Office of Biological and Environmental Research of the U.S. Department of Energy</t>
  </si>
  <si>
    <t>National Science Foundation(National Science Foundation (NSF)); Office of Biological and Environmental Research of the U.S. Department of Energy(United States Department of Energy (DOE))</t>
  </si>
  <si>
    <t>The author gratefully acknowledges assistance and helpful discussions with Gokhan Danabasoglu, Keith Lindsay, Bill Large, Steve Yeager, Frank Bryan, and Nancy Norton. Louis St. Laurent, Andreas Thurnherr, and Stephen Griffies provided thorough reviews of the manuscript and gave valuable suggestions and clarifications. This work was supported by the National Science Foundation under Grants ATM 02-00929 and OCE 02-41061.; The model integrations were performed at the National Center for Atmospheric Research, which is supported by the National Science Foundation. The Community Climate System Model project is supported by the Directorate for Geosciences of the National Science Foundation and the Office of Biological and Environmental Research of the U. S. Department of Energy. The tidally driven internal wave conversion dataset is available from the author, and is available as part of the standard CCSM release from NCAR.</t>
  </si>
  <si>
    <t>10.1175/2009JPO4085.1</t>
  </si>
  <si>
    <t>WOS:000268147000014</t>
  </si>
  <si>
    <t>Gómez-Gutiérrez, J; Kawaguchi, SO; Nicol, S</t>
  </si>
  <si>
    <t>Gomez-Gutierrez, Jaime; Kawaguchi, S. O.; Nicol, Stephen</t>
  </si>
  <si>
    <t>Epibiotic suctorians and enigmatic ecto- and endoparasitoid dinoflagellates of euphausiid eggs (Euphausiacea) off Oregon, USA</t>
  </si>
  <si>
    <t>COPEPOD EGGS; HATCHING MECHANISM; ANTARCTIC KRILL; SUPERBA DANA; LIFE-CYCLE; PARASITE; BODY; NOV; VARIABILITY; CRUSTACEANS</t>
  </si>
  <si>
    <t>We discovered euphausiid eggs infested with epibiotic suctorian ciliates (Ephelotidae), with ectoparasitoid blastodinian dinoflagellates (Chytriodinium sp.), and infected with unidentified endoparasitoid syndinian-like dinoflagellates. The discovery of two parasitoid protists suggests an unquantified source of embryonic mortality and a potential control on euphausiid larval recruitment rates.</t>
  </si>
  <si>
    <t>[Gomez-Gutierrez, Jaime] Ctr Interdisciplinario Ciencias Marinas, Dept Plancton &amp; Ecol Marina, La Paz 23096, Baja California, Mexico; [Gomez-Gutierrez, Jaime; Kawaguchi, S. O.; Nicol, Stephen] Australian Antarctic Div, Dept Environm Water Heritage &amp; Arts, Kingston, Tas 7050, Australia</t>
  </si>
  <si>
    <t>Gómez-Gutiérrez, J (corresponding author), Ctr Interdisciplinario Ciencias Marinas, Dept Plancton &amp; Ecol Marina, AP 592, La Paz 23096, Baja California, Mexico.</t>
  </si>
  <si>
    <t>jagomezg@ipn.mx</t>
  </si>
  <si>
    <t>Kawaguchi, So/0000-0002-2042-5095</t>
  </si>
  <si>
    <t>Instituto Politecnico Nacional (SIP) [20090090]; CONACyT [79528]; SNI, COFAA-IPN; EDI-IPN; US GLOBEC [NA860P0589]; NE Pacific US GLOBEC</t>
  </si>
  <si>
    <t>Instituto Politecnico Nacional (SIP); CONACyT(Consejo Nacional de Ciencia y Tecnologia (CONACyT)); SNI, COFAA-IPN; EDI-IPN; US GLOBEC; NE Pacific US GLOBEC</t>
  </si>
  <si>
    <t>This manuscript was written during a sabbatical research stay at the Australian Antarctic Division at Kingston, Tasmania, co-funded by Instituto Politecnico Nacional (SIP 20090090) and CONACyT (79528). J.G.G. is supported by SNI, COFAA-IPN and EDI-IPN grants. The US GLOBEC program (NA860P0589) provided ship time and staff assistance. This is publication number 633 from the NE Pacific US GLOBEC program.</t>
  </si>
  <si>
    <t>10.1093/plankt/fbp026</t>
  </si>
  <si>
    <t>454PV</t>
  </si>
  <si>
    <t>WOS:000266695700007</t>
  </si>
  <si>
    <t>Franzke, C; Horenko, I; Majda, AJ; Klein, R</t>
  </si>
  <si>
    <t>Franzke, Christian; Horenko, Illia; Majda, Andrew J.; Klein, Rupert</t>
  </si>
  <si>
    <t>Systematic Metastable Atmospheric Regime Identification in an AGCM</t>
  </si>
  <si>
    <t>STOCHASTIC MODE REDUCTION; PLANETARY WAVE DYNAMICS; PHASE-SPACE TENDENCIES; NORTHERN-HEMISPHERE; NONLINEAR SIGNATURES; MULTIPLE EQUILIBRIA; WEATHER REGIMES; CLUSTER-ANALYSIS; CLIMATE-CHANGE; FLOW REGIMES</t>
  </si>
  <si>
    <t>In this study the authors apply a recently developed clustering method for the systematic identification of metastable atmospheric regimes in high-dimensional datasets generated by atmospheric models. The novelty of this approach is that it decomposes the phase space in, possibly, overlapping clusters and simultaneously estimates the most likely switching sequence among the clusters. The parameters of the clustering and switching are estimated by a finite element approach. The switching among the clusters can be described by a Markov transition matrix. Possible metastable regime behavior is assessed by inspecting the eigenspectrum of the associated transition probability matrix. The recently introduced metastable data-analysis method is applied to high-dimensional datasets produced by a barotropic model and a comprehensive atmospheric general circulation model (GCM). Significant and dynamically relevant metastable regimes are successfully identified in both models. The metastable regimes in the barotropic model correspond to blocked and zonal states. Similar regime states were already previously identified in highly reduced phase spaces of just one and two dimensions in the same model. Next, the clustering method is applied to a comprehensive atmospheric GCM in which seven significant flow regimes are identified. The spatial structures of the regimes correspond to, among others, both phases of the Northern Annular Mode and Pacific blocking. The regimes are maintained predominantly by transient eddy fluxes of low-pass-filtered anomalies. It is demonstrated how the dynamical description of the slow process switching between the regimes can be acquired from the analysis results, and an investigation of the resulting simplified dynamical model with respect to predictability is performed. A predictability study shows that a simple Markov model is able to predict the regimes up to six days ahead, comparable to the ability of high-resolution state-of-the-art numerical weather prediction models to accurately predict the onset and decay of blockings. The implications of the results for derivation of reduced models for extended-range predictability are discussed.</t>
  </si>
  <si>
    <t>[Franzke, Christian] NERC, British Antarctic Survey, Cambridge CB3 0ET, England; [Horenko, Illia; Klein, Rupert] Free Univ Berlin, Inst Math, Berlin, Germany; [Majda, Andrew J.] NYU, Courant Inst Math Sci, Dept Math &amp; Climate, New York, NY USA</t>
  </si>
  <si>
    <t>UK Research &amp; Innovation (UKRI); Natural Environment Research Council (NERC); NERC British Antarctic Survey; Free University of Berlin; New York University</t>
  </si>
  <si>
    <t>Franzke, C (corresponding author), NERC, British Antarctic Survey, Madingley Rd, Cambridge CB3 0ET, England.</t>
  </si>
  <si>
    <t>chan1@bas.ac.uk</t>
  </si>
  <si>
    <t>Franzke, Christian/A-6191-2012</t>
  </si>
  <si>
    <t>Franzke, Christian/0000-0003-4111-1228; Franzke, Christian/0000-0002-8084-3256</t>
  </si>
  <si>
    <t>10.1175/2009JAS2939.1</t>
  </si>
  <si>
    <t>472KK</t>
  </si>
  <si>
    <t>WOS:000268129400008</t>
  </si>
  <si>
    <t>Bracciali, L; Di Vincenzo, G; Rocchi, S; Ghezzo, C</t>
  </si>
  <si>
    <t>Bracciali, Laura; Di Vincenzo, Gianfranco; Rocchi, Sergio; Ghezzo, Claudio</t>
  </si>
  <si>
    <t>The Tiger Gabbro from northern Victoria Land, Antarctica: the roots of an island arc within the early Palaeozoic margin of Gondwana</t>
  </si>
  <si>
    <t>JOURNAL OF THE GEOLOGICAL SOCIETY</t>
  </si>
  <si>
    <t>HIGH-PRESSURE METAMORPHISM; LANTERMAN RANGE; ACTIVE-MARGIN; ROSS-OROGENY; TRANSANTARCTIC MOUNTAINS; ISOTOPIC VARIATIONS; DELAMERIAN OROGENY; TECTONIC EVOLUTION; CRUSTAL STRUCTURE; MELT INCLUSIONS</t>
  </si>
  <si>
    <t>The Tiger Gabbro layered intrusion is one of the few mafic intrusive bodies found along the ancient Antarctic Gondwana margin. Major and trace element data and Sr-Nd isotope compositions for gabbronorites indicate an island arc signature for the Tiger Gabbro parental magma. This is the first evidence for an island are from plutonic rocks in northern Victoria Land. The interpretation of the Tiger Gabbro as the roots of an Early Cambrian island arc (535 +/- 21 Ma, Sm-Nd age), integrated with geochemical and geochronological data from the literature, matches the occurrence of the Glasgow volcanic rocks in the southern Bowers terrane, which possibly represents its effusive counterpart. A scenario for the early Palaeozoic Antarctic Gondwana margin is hence proposed in which the Tiger volcanic arc developed on the Robertson Bay microplate in response to subduction of the palaeo-Pacific plate. The Tiger arc igneous activity was coeval to the Wilson continental arc (represented by the Granite Harbour intrusive rocks), with the two subduction zones merging Southwards into one. The migration of the Wilson arc towards the forearc region in turn generated the Middle Cambrian Bowers arc.</t>
  </si>
  <si>
    <t>[Bracciali, Laura; Rocchi, Sergio] Univ Pisa, Dipartimento Sci Terra, I-56126 Pisa, Italy; [Di Vincenzo, Gianfranco] CNR, Ist Geosci &amp; Georisorse, I-56124 Pisa, Italy; [Ghezzo, Claudio] Univ Siena, Dipartimento Sci Terra, I-53100 Siena, Italy</t>
  </si>
  <si>
    <t>University of Pisa; Consiglio Nazionale delle Ricerche (CNR); Istituto di Geoscienze e Georisorse (IGG-CNR); University of Siena</t>
  </si>
  <si>
    <t>Bracciali, L (corresponding author), Univ Pisa, Dipartimento Sci Terra, Via S Maria 53, I-56126 Pisa, Italy.</t>
  </si>
  <si>
    <t>bracciali@dst.unipi.it</t>
  </si>
  <si>
    <t>Ghezzo, Claudio/JCF-1491-2023; Bracciali, Laura/K-1023-2019; Rocchi, Sergio/A-7752-2018</t>
  </si>
  <si>
    <t>Bracciali, Laura/0000-0002-2713-8806; Rocchi, Sergio/0000-0001-6868-1939</t>
  </si>
  <si>
    <t>National Antarctic Research Program of Italy (PNRA); PNRA; National Institute of Geophysics and Volcanology</t>
  </si>
  <si>
    <t>This work has been carried out as part of the National Antarctic Research Program of Italy (PNRA). Instruments at Dipartimento di Scienze della Terra, Universita di Pisa, were funded by PNRA (XRF and Clean Lab) and National Institute of Geophysics and Volcanology (ICP-MS). M. D'Orazio is gratefully acknowledged for assistance and guidance in ICP-MS analytical work. We warmly thank S. Tonarini for the ID-TIMS Rb-Sr and Sm-Nd determinations. We thank two anonymous reviewers for their constructive criticism, which led to significant improvement of the manuscript.</t>
  </si>
  <si>
    <t>GEOLOGICAL SOC PUBL HOUSE</t>
  </si>
  <si>
    <t>BATH</t>
  </si>
  <si>
    <t>UNIT 7, BRASSMILL ENTERPRISE CENTRE, BRASSMILL LANE, BATH BA1 3JN, AVON, ENGLAND</t>
  </si>
  <si>
    <t>0016-7649</t>
  </si>
  <si>
    <t>2041-479X</t>
  </si>
  <si>
    <t>J GEOL SOC LONDON</t>
  </si>
  <si>
    <t>J. Geol. Soc.</t>
  </si>
  <si>
    <t>10.1144/0016-76492008-098</t>
  </si>
  <si>
    <t>468JU</t>
  </si>
  <si>
    <t>WOS:000267814700011</t>
  </si>
  <si>
    <t>David, B; Stock, SR; De Carlo, F; Hétérier, V; De Ridder, C</t>
  </si>
  <si>
    <t>David, Bruno; Stock, Stuart R.; De Carlo, Francesco; Heterier, Vincent; De Ridder, Chantal</t>
  </si>
  <si>
    <t>Microstructures of Antarctic cidaroid spines: diversity of shapes and ectosymbiont attachments</t>
  </si>
  <si>
    <t>ECHINOID EUCIDARIS-TRIBULOIDES; ECHINODERMATA; BIODIVERSITY; EVOLUTION; SEA</t>
  </si>
  <si>
    <t>The echinoderm endoskeleton, located in the connective layer of the tegument, is organized into a three-dimensional mesh, the stereom. Among echinoids, the cidaroids depart from this pattern, and the shaft of the spine lacks an epidermis. Thus, the spines lack antifouling protection, allowing ectosymbionts such as bryozoans and foraminiferans to attach. This raises a question about the adaptive role of the cortical layer of the stereom. This study examined the micro- and mesostructure of the spines of 11 cidaroid species collected in the Weddell Sea and Drake Passage, and the nature of their ectosymbiont attachments. Scanning electron microscopy was used to characterize the cortex surface and X-ray micro computed tomography (mu CT) to describe the symbiont attachments. Spine microstructure features provide a useful taxonomic character for distinguishing among three species in the genus Ctenocidaris, and challenge a previous parasitic interpretation of cortical filaments on the spines of Rhynchocidaris triplopora. Ectosymbiont attachments were classified as Anchoring, Molding, Cementing, or Corroding. The study suggests that some microstructure features may be protective, keeping the ectosymbionts away from the cortex and loosely attached at intervals along the shaft of the spine, while other micro-structures facilitate attachment over considerable areas of the shaft.</t>
  </si>
  <si>
    <t>[David, Bruno; Heterier, Vincent] Univ Bourgogne, CNRS, UMR 5561, F-21000 Dijon, France; [Stock, Stuart R.] Northwestern Univ, Feinberg Sch Med, Dept Mol Pharmacol &amp; Biol Chem, Chicago, IL 60611 USA; [De Carlo, Francesco] Argonne Natl Lab, Adv Photon Source, Argonne, IL 60439 USA; [Heterier, Vincent; De Ridder, Chantal] Univ Libre Bruxelles, Biol Marine Lab, B-1050 Brussels, Belgium</t>
  </si>
  <si>
    <t>Centre National de la Recherche Scientifique (CNRS); Universite de Bourgogne; Northwestern University; Feinberg School of Medicine; United States Department of Energy (DOE); Argonne National Laboratory; Universite Libre de Bruxelles</t>
  </si>
  <si>
    <t>David, B (corresponding author), Univ Bourgogne, CNRS, UMR 5561, 6 Bd Gabriel, F-21000 Dijon, France.</t>
  </si>
  <si>
    <t>bruno.david@u-bourgogne.fr</t>
  </si>
  <si>
    <t>DAVID, Bruno/N-8798-2013</t>
  </si>
  <si>
    <t>Stock, Stuart R./0000-0002-8886-4035</t>
  </si>
  <si>
    <t>US Department of Energy, Office of Science, Office of Basic Energy Sciences [DE-AC02-06CH11357]; Belgian Science Policy (Belspo)</t>
  </si>
  <si>
    <t>US Department of Energy, Office of Science, Office of Basic Energy Sciences(United States Department of Energy (DOE)); Belgian Science Policy (Belspo)(Belgian Federal Science Policy Office)</t>
  </si>
  <si>
    <t>This work is part of the BIANZO I and II projects supported by the Belgian Science Policy (PADDII projects). VH was supported by a PhD grant from the Belgian Science Policy (Belspo). This paper is a contribution of the team Forme, Evolution, Diversit of the laboratory Biogeosciences and of the Centre interuniversitaire de Biologie marine. It also contributes to the Agence Nationale de la Recherche project ANTFLOCKS. Use of the Advanced Photon Source at Argonne National Laboratory was supported by the US Department of Energy, Office of Science, Office of Basic Energy Sciences, under Contract No. DE-AC02-06CH11357.</t>
  </si>
  <si>
    <t>10.1007/s00227-009-1192-3</t>
  </si>
  <si>
    <t>458RQ</t>
  </si>
  <si>
    <t>WOS:000267041600004</t>
  </si>
  <si>
    <t>Tierney, M; Emmerson, L; Hindell, M</t>
  </si>
  <si>
    <t>Tierney, Megan; Emmerson, Louise; Hindell, Mark</t>
  </si>
  <si>
    <t>Temporal variation in Adelie penguin diet at Bechervaise Island, east Antarctica and its relationship to reproductive performance</t>
  </si>
  <si>
    <t>PYGOSCELIS-ADELIAE; FORAGING BEHAVIOR; BREEDING SUCCESS; KRILL; SEA; CHINSTRAP; ECOSYSTEM; PREY; AVAILABILITY; SEGREGATION</t>
  </si>
  <si>
    <t>Diet, and in particular, food quality and quantity can influence the reproductive performance of marine predators. Also, the diet of specialist predators is often monitored in programmes that model and manage ecosystems. We examined the diet of Ad,lie penguins (Pygoscelis adeliae), an important consumer of Southern Ocean living resources, at B,chervaise Island, east Antarctica, during the chick-rearing periods for 11 years between 1991-1992 and 2002-2003. We also investigated the relationship between diet and annual reproductive performance. Substantial inter- and intra-annual variation in both meal mass and composition was evident: adults generally returned with larger food loads during the crSche compared with the guard stages, and diet composition was dominated by two prey types, krill and fish, which combined contributed to &gt; 90% of the diet by mass in 7 out of 11 years. Females generally brought back meals dominated by krill; males generally consumed fish-dominated meals. However, both sexes returned with a high proportion of krill when annual mean meal mass was also high, suggesting that more food was available in high krill years. There was also evidence that years of high reproductive performance were positively correlated with years of both high meal and krill mass. We believe that our results indicate that there is significant long-term inter- and intra-annual variability in the amount of food available to Ad,lie penguins and that this was reflected in their diet and measures of reproductive performance. Coupled with the observation that penguins did not switch prey, this indicates that Ad,lie penguins from B,chervaise Island are dependent predators of krill. This contrasts with populations in other locations but supports the notion that Ad,lie penguins are an informative species to monitor the management of Southern Ocean marine living resources in this region.</t>
  </si>
  <si>
    <t>[Tierney, Megan; Hindell, Mark] Univ Tasmania, Sch Zool, Antarctic Climate &amp; Ecosyst Cooperat Res Ctr, Antarctic Wildlife Res Unit, Hobart, Tas 7001, Australia; [Emmerson, Louise] Australian Antarctic Div, Dept Environm &amp; Heritage, Kingston, Tas 7050, Australia</t>
  </si>
  <si>
    <t>Antarctic Climate &amp; Ecosystems Cooperative Research Centre (ACE CRC); University of Tasmania; Australian Antarctic Division</t>
  </si>
  <si>
    <t>Tierney, M (corresponding author), Univ Tasmania, Sch Zool, Antarctic Climate &amp; Ecosyst Cooperat Res Ctr, Antarctic Wildlife Res Unit, Private Bag 05, Hobart, Tas 7001, Australia.</t>
  </si>
  <si>
    <t>mtierney13@gmail.com</t>
  </si>
  <si>
    <t>Hindell, Mark A/K-1131-2013</t>
  </si>
  <si>
    <t>Hindell, Mark/0000-0002-7823-7185</t>
  </si>
  <si>
    <t>Australian Antarctic Program [2205, 2301]; University of Tasmania (UTAS) Post-graduate Research Scholarship; Ecosystems Cooperative Research Centres (ACE-CRC)</t>
  </si>
  <si>
    <t>Australian Antarctic Program; University of Tasmania (UTAS) Post-graduate Research Scholarship; Ecosystems Cooperative Research Centres (ACE-CRC)(Australian GovernmentDepartment of Industry, Innovation and ScienceCooperative Research Centres (CRC) Programme)</t>
  </si>
  <si>
    <t>We extend thanks to all those who collected and analysed stomach samples, but particularly J. Clarke, and to members of the 44th-55th ANARE expeditions for assistance in the Weld. Dr. S. Candy and Dr. M. Bravington provided assistance with statistical analyses. Discussions with Dr. C. Southwell on initial manuscript structure were invaluable, and Dr. S. Jarman and Dr. A. Constable gave valuable comments on earlier manuscript drafts. Funding was from the Australian Antarctic Program (AAP), project # 2205 and # 2301, and by University of Tasmania (UTAS) Post-graduate Research Scholarship and an Antarctic Climate and Ecosystems Cooperative Research Centres (ACE-CRC) Scholarship awarded to MT. All procedures were approved by both the AAP and UTAS Animal Ethics Committees and were conducted in accordance with the current laws of Australia.</t>
  </si>
  <si>
    <t>10.1007/s00227-009-1199-9</t>
  </si>
  <si>
    <t>WOS:000267041600010</t>
  </si>
  <si>
    <t>Gil, DG; Zaixso, HE; Tolosano, JA</t>
  </si>
  <si>
    <t>Gil, Damian G.; Zaixso, Hector E.; Tolosano, Javier A.</t>
  </si>
  <si>
    <t>Brooding of the sub-Antarctic heart urchin, Abatus cavernosus (Spatangoida: Schizasteridae), in southern Patagonia</t>
  </si>
  <si>
    <t>BIOCHEMICAL-COMPOSITION; CORDATUS ECHINODERMATA; REPRODUCTIVE-BIOLOGY; CALORIC CONTENT; SEA-URCHINS; KERGUELEN; ECHINOIDEA; BEHAVIOR; SEASTAR; OCEAN</t>
  </si>
  <si>
    <t>The reproductive cycle of the sub-Antarctic spatangoid sea urchin, Abatus cavernosus, was examined during a 2-year period in southern Patagonia, Argentina. The population studied is the northernmost known coastal population in the austral oceans, and is influenced by a greater annual range of seawater temperature than other Abatus species. The sex ratio of the overall A. cavernosus population did not differ significantly from 1:1, but was not homogeneous across size classes. A clearly defined annual reproductive cycle was found. Spawning occurred from May to July and was synchronous between sexes. Females were observed to be brooding within a 9-month period, from May to February. Juveniles were released during the austral summer, from January to February. The length at which 50% of the females were brooding occurred at a test length of 25.9 mm. A. cavernosus had a large egg size (mean diameter = 1.4 mm) and low fecundity (maximum = 57 eggs per female) compared to closely related species. The number of eggs within each brood pouch was highest in larger anterior brood pouch, which is close to two gonopores, as opposed to the other anterior and two smaller posterior pouches. Significant interannual variation was observed in gonad cycles, fecundity, and embryo development such as: brood size decreased during 2001; adjusted gonad dry weight and fecundity were higher during 2003. Hypotheses concerning the gonadal and brooding cycles and fecundity of sub-Antarctic and Antarctic Schizasteridae are discussed.</t>
  </si>
  <si>
    <t>[Gil, Damian G.; Zaixso, Hector E.; Tolosano, Javier A.] UNPSJB, IDC, RA-9000 Comodoro Rivadavia, Chubut, Argentina; [Gil, Damian G.] UNPSJB, FCN, Dept Gen Biol, RA-9000 Comodoro Rivadavia, Chubut, Argentina; [Zaixso, Hector E.] Consejo Nacl Invest Cient &amp; Tecn, RA-1033 Buenos Aires, DF, Argentina</t>
  </si>
  <si>
    <t>Consejo Nacional de Investigaciones Cientificas y Tecnicas (CONICET)</t>
  </si>
  <si>
    <t>Gil, DG (corresponding author), UNPSJB, IDC, Ruta 1,Km 4, RA-9000 Comodoro Rivadavia, Chubut, Argentina.</t>
  </si>
  <si>
    <t>gil_damian@hotmail.com</t>
  </si>
  <si>
    <t>Gil, Damian Gaspar/ABF-8094-2021</t>
  </si>
  <si>
    <t>Gil, Damian Gaspar/0000-0002-8084-2181</t>
  </si>
  <si>
    <t>10.1007/s00227-009-1200-7</t>
  </si>
  <si>
    <t>WOS:000267041600011</t>
  </si>
  <si>
    <t>Gales, NJ; Bowen, WD; Johnston, DW; Kovacs, KM; Littnan, CL; Perrin, WF; Reynolds, JE; Thompson, PM</t>
  </si>
  <si>
    <t>Gales, N. J.; Bowen, W. D.; Johnston, D. W.; Kovacs, K. M.; Littnan, C. L.; Perrin, W. F.; Reynolds, J. E., III; Thompson, P. M.</t>
  </si>
  <si>
    <t>Guidelines for the treatment of marine mammals in field research</t>
  </si>
  <si>
    <t>Letter</t>
  </si>
  <si>
    <t>[Gales, N. J.] Australian Antarctic Div, Kingston, Tas 7050, Australia; [Bowen, W. D.] Bedford Inst Oceanog, Dartmouth, NS B2Y 4A2, Canada; [Johnston, D. W.] Duke Univ, Marine Lab, Div Marine Sci &amp; Conservat, Nicholas Sch Environm, Beaufort, NC 28516 USA; [Kovacs, K. M.] Norwegian Polar Res Inst, N-9296 Tromso, Norway; [Littnan, C. L.] Pacific Isl Fisheries Sci Ctr, Honolulu, HI 96814 USA; [Perrin, W. F.] SW Fisheries Sci Ctr, La Jolla, CA 92037 USA; [Reynolds, J. E., III] Mote Marine Lab, Sarasota, FL 34236 USA; [Thompson, P. M.] Univ Aberdeen, Lighthouse Field Stn, Cromarty IV11 8YJ, Ross Shire, Scotland</t>
  </si>
  <si>
    <t>Australian Antarctic Division; Bedford Institute of Oceanography; Duke University; Norwegian Polar Institute; National Oceanic Atmospheric Admin (NOAA) - USA; Mote Marine Laboratory &amp; Aquarium; University of Aberdeen</t>
  </si>
  <si>
    <t>Gales, NJ (corresponding author), Australian Antarctic Div, Channel Highway, Kingston, Tas 7050, Australia.</t>
  </si>
  <si>
    <t>david.johnston@duke.edu</t>
  </si>
  <si>
    <t>Bowen, William/AAE-7204-2022; Bowen, William D/D-2758-2012; Thompson, Paul Michael/AGR-6267-2022; Johnston, David/AAJ-5013-2020</t>
  </si>
  <si>
    <t>Bowen, William/0000-0001-8334-5677; Thompson, Paul Michael/0000-0001-6195-3284; Johnston, David/0000-0003-2424-036X</t>
  </si>
  <si>
    <t>10.1111/j.1748-7692.2008.00279.x</t>
  </si>
  <si>
    <t>471CE</t>
  </si>
  <si>
    <t>WOS:000268031000015</t>
  </si>
  <si>
    <t>Runcie, JW; Townsend, AT; Seen, AJ</t>
  </si>
  <si>
    <t>Runcie, John W.; Townsend, Ashley T.; Seen, Andrew J.</t>
  </si>
  <si>
    <t>The application of lead isotope ratios in the Antarctic macroalga Iridaea cordata as a contaminant monitoring tool</t>
  </si>
  <si>
    <t>Antarctica; Iridaea cordata; Isotope ratios; Pb; Macroalgae; Biomonitoring; Windmill Islands</t>
  </si>
  <si>
    <t>MARINE-SEDIMENTS; NATURAL-HISTORY; POLLUTION; IMPACTS; ECOLOGY; STATION; METALS; PLASMA; GULF; ULVA</t>
  </si>
  <si>
    <t>Lead (Pb) isotope ratios were measured in the marine macroalga Iridaea cordata collected from four locations in the Windmill Islands, East Antarctica. Based on the masses of thalli collected, samples analysed in this study were likely to be a mixture of one and two year old thalli. For a sample of thalli of various ages (&lt;12 months to 2 years old) from the same site there was no apparent variation in Pb concentration or Pb isotope ratio with thallus mass/age, indicating that contaminant sources had been constant over the lifetime of the thalli sampled. I. cordata samples close to the Thala Valley waste disposal site (Brown Bay. 206 Inner) near the Australian Station, Casey, displayed isotopic signatures (Pb-208/Pb-204 35.99, Pb-206/Pb-207 1.066; n = 3; average values shown) trending towards that possessed by major Australian Pb sources (Broken Hill and Mt Isa, Pb-208/Pb-204 35.60; Pb-206/Pb-207 1.041) suggesting that these samples had been exposed to anthropogenic Pb originating from the Thala Valley waste disposal site. Material collected hundreds of metres from the tip location at Brown Bay Outer had isotopic values (Pb-208/Pb-204 36.32; Pb-206/Pb-207 1.088; n = 10) intermediate between Brown Bay Inner and sites further from the contaminant source at Sparkes Bay and Wilkes (Pb-208/Pb-204 36.46; Pb-206/Pb-207 1.094; n = 4) showing that contaminant transport was predominantly restricted to Brown Bay Inner. This study demonstrates that the isotope ratios of Pb in marine macroalgae can provide valuable information as to the origin and extent of heavy metal flux in a marine environment. (C) 2009 Elsevier Ltd. All rights reserved.</t>
  </si>
  <si>
    <t>[Runcie, John W.] Univ Sydney, Sch Biol Sci, Sydney, NSW 2006, Australia; [Townsend, Ashley T.] Univ Tasmania, Cent Sci Lab, Hobart, Tas 7005, Australia; [Seen, Andrew J.] Univ Tasmania, Sch Chem, Launceston, Tas 7250, Australia</t>
  </si>
  <si>
    <t>University of Sydney; University of Tasmania; University of Tasmania</t>
  </si>
  <si>
    <t>Runcie, JW (corresponding author), Univ Sydney, Sch Biol Sci, Sydney, NSW 2006, Australia.</t>
  </si>
  <si>
    <t>jruncie@usyd.edu.au</t>
  </si>
  <si>
    <t>Australian Antarctic Science [2696]; [2201]; [2566]</t>
  </si>
  <si>
    <t>Australian Antarctic Science; ;</t>
  </si>
  <si>
    <t>The authors thank Drs Ian Snape and Martin Riddle for helpful discussions, and the diving teams at Casey Station for their support. The Australian Antarctic Data Centre is acknowledged for providing mapping support. This project was funded as part of Australian Antarctic Science Grant 2696, and benefited from support provided by projects 2201 and 2566.</t>
  </si>
  <si>
    <t>10.1016/j.marpolbul.2009.03.010</t>
  </si>
  <si>
    <t>476EY</t>
  </si>
  <si>
    <t>WOS:000268422500013</t>
  </si>
  <si>
    <t>Sharma, N; Dash, MK; Pandey, PC; Vyas, NK</t>
  </si>
  <si>
    <t>Sharma, Nilay; Dash, M. K.; Pandey, P. C.; Vyas, N. K.</t>
  </si>
  <si>
    <t>Hemispheric sea ice extent dynamics as observed from MSMR</t>
  </si>
  <si>
    <t>MAUSAM</t>
  </si>
  <si>
    <t>Sea ice; MSMR; Antarctic; Arctic</t>
  </si>
  <si>
    <t>ANTARCTIC REGION; OCEANSAT-1; TRENDS</t>
  </si>
  <si>
    <t>The ice covered regions of the polar seas influence the global climate in several ways. Any perturbation in the polar oceanic cryosphere affects the local weather and the global climate through modulation of the radiative forcing, the bottom water Formation and the Mass &amp; the momentum transfer between Atmosphere-Cryosphere-Ocean System. The cold, harsh and inhospitable conditions in the polar regions prohibit the collection of extensive in situ data with sufficient spatial and temporal variation. However, satellite remote sensing is an ideal technique for studying the areas like the polar regions with synoptic and repetitive coverage. This paper discusses the analysis of the data obtained over the polar oceanic regions during the period June 1999 - September 2001 through the use of Multi-channel Scanning Microwave Radiometer (MSMR), onboard India's first oceanographic satellite Oceansat-1. The MSMR observation shows that all the sectors in the Antarctic behave differently to the melting and formation of the sea ice. Certain peculiar features like the increase in sea ice extent during the melt season of 1999 - 2000 in the Indian Ocean sector, 15 - 20% decrease in the sea ice extent in the western Pacific sector during the ice formation period for the year 2000, melting spell within the formation phase of sea ice in B &amp; A sector in the year 2000 were observed. On the other hand the northern polar sea ice extent is seen to be more dominated by the land characteristics. The ice formation in Kara and the Barent Sea sector is dominated by the ocean currents, where as the ice covered in the Japan and the Okhotsk Sea is dominated by the land processes. The sea ice extent in the Arctic Ocean Show fluctuations front July to October and remain almost steady over other months. The global sea ice cover shows it formation phase from March to June and melting phase from November to February. In other months, i.e., from July - October the global sea ice cover is dominated by the hemispheric asymmetry of the ice growth and retreat.</t>
  </si>
  <si>
    <t>[Sharma, Nilay; Dash, M. K.; Pandey, P. C.] Indian Inst Technol, Kharagpur 721302, W Bengal, India; [Vyas, N. K.] Ctr Space Applicat, Ahmadabad 380015, Gujarat, India</t>
  </si>
  <si>
    <t>Indian Institute of Technology System (IIT System); Indian Institute of Technology (IIT) - Kharagpur; Department of Space (DoS), Government of India; Indian Space Research Organisation (ISRO); Space Applications Centre (SAC)</t>
  </si>
  <si>
    <t>Sharma, N (corresponding author), Indian Inst Technol, Kharagpur 721302, W Bengal, India.</t>
  </si>
  <si>
    <t>mihir@coral.iitkgp.ernet.in</t>
  </si>
  <si>
    <t>INDIA METEOROLOGICAL DEPT</t>
  </si>
  <si>
    <t>MAUSAM BHAWAN, LODI RD, NEW DELHI, 110 003, INDIA</t>
  </si>
  <si>
    <t>0252-9416</t>
  </si>
  <si>
    <t>Mausam</t>
  </si>
  <si>
    <t>490QQ</t>
  </si>
  <si>
    <t>WOS:000269516900003</t>
  </si>
  <si>
    <t>Oba, Y; Naraoka, H</t>
  </si>
  <si>
    <t>Oba, Yasuhiro; Naraoka, Hiroshi</t>
  </si>
  <si>
    <t>Elemental and isotope behavior of macromolecular organic matter from CM chondrites during hydrous pyrolysis</t>
  </si>
  <si>
    <t>ANTARCTIC CARBONACEOUS CHONDRITES; MURCHISON METEORITE; PRIMITIVE METEORITES; SOLAR-SYSTEM; C-13 NMR; AROMATIC STRUCTURES; CARBOXYLIC-ACIDS; INTERSTELLAR; ORIGIN; ORGUEIL</t>
  </si>
  <si>
    <t>A new insight into carbon and hydrogen isotope variations of insoluble organic matter (IOM) is provided from seven CM chondrites, including Murchison and six Antarctic meteorites (Y-791198, Y-793321, A-881280, A-881334, A-881458 and B-7904) as well as Murchison IOM residues after hydrous pyrolysis at 270-330 degrees C for 72 h. Isotopic compositions of bulk carbon (delta(13)C(bulk)) and hydrogen (delta D)of the seven IOMs vary widely, ranging from -15.1 to -7.6 parts per thousand and +133 to +986 parts per thousand, respectively. Intramolecular carboxyl carbon (delta(13)C(COOH)) is more enriched in (13)C by 7.5-11 parts per thousand than bulk carbon. After hydrous pyrolysis of Murchison IOM at 330 degrees C, H/C ratio, delta(13)C(bulk), delta(13)C(COOH), and delta D values decrease by up to 0.31, 3.5 parts per thousand, 5.5 parts per thousand, and 961 parts per thousand, respectively. The O/C ratio increases from 0.22 to 0.46 at 270 degrees C and to 0.25 at 300 degrees C, and decreases to 0.10 at 330 degrees C. delta(13)C(bulk)-delta D cross plot of Murchison IOM and its pyrolysis residues shows an isotopic sequence. Of the six Antarctic IOMs, A-881280, A-881458, Y-791198 and B-7904 lie on or near the isotopic sequence depending on the degree of hydrous and/or thermal alteration, while A-881334 and Y-793321 consist of another distinct isotope group. A delta(13)C(bulk)-delta(13)C(COOH) cross-plot of IOMs, including Murchison pyrolysis residues, has a positive correlation between them, implying that the oxidation process to produce carboxyls is similar among all IOMs. These isotope distributions reflect various degree of alteration on the meteorite parent bodies and/or difference in original isotopic compositions before the parent body processes.</t>
  </si>
  <si>
    <t>[Oba, Yasuhiro] Okayama Univ, Grad Sch Nat Sci &amp; Technol, Okayama 7008530, Japan; [Naraoka, Hiroshi] Okayama Univ, Dept Earth Sci, Okayama 7008530, Japan; [Naraoka, Hiroshi] Japan Aerosp Explorat Agcy, Inst Space &amp; Astronaut Sci, Sagamihara, Kanagawa 2298510, Japan</t>
  </si>
  <si>
    <t>Okayama University; Okayama University; Japan Aerospace Exploration Agency (JAXA); Institute of Space &amp; Astronautical Science (ISAS)</t>
  </si>
  <si>
    <t>Oba, Y (corresponding author), Hokkaido Univ, Inst Low Temp Sci, Kita Ku, N19W8, Sapporo, Hokkaido 0600819, Japan.</t>
  </si>
  <si>
    <t>oba@lowtem.hokudai.ac.jp</t>
  </si>
  <si>
    <t>Oba, Yasuhiro/E-2851-2012</t>
  </si>
  <si>
    <t>Oba, Yasuhiro/0000-0002-6852-3604; Naraoka, Hiroshi/0000-0002-2373-8759</t>
  </si>
  <si>
    <t>Japan Society for the Promotion of Science for Young Scientists; Japan Society for the Promotion of Science</t>
  </si>
  <si>
    <t>Japan Society for the Promotion of Science for Young Scientists(Ministry of Education, Culture, Sports, Science and Technology, Japan (MEXT)Japan Society for the Promotion of Science); Japan Society for the Promotion of Science(Ministry of Education, Culture, Sports, Science and Technology, Japan (MEXT)Japan Society for the Promotion of Science)</t>
  </si>
  <si>
    <t>We thank Professor K. Yanai and members of the Antarctic Meteorite Search Programs for collecting meteorites. We also thank Drs. B. Yabuta, L. Remusat, and V. Pearson for their critical comments to improve the earlier version of the manuscript. This work was Supported by a research fellowship of the Japan Society for the Promotion of Science for Young Scientists (Y.O.) and the Grant-in-Aid for Scientific Research from the Japan Society for the Promotion of Science (H. N.).</t>
  </si>
  <si>
    <t>METEORITICAL SOC</t>
  </si>
  <si>
    <t>FAYETTEVILLE</t>
  </si>
  <si>
    <t>DEPT CHEMISTRY/BIOCHEMISTRY, UNIV ARKANSAS, FAYETTEVILLE, AR 72701 USA</t>
  </si>
  <si>
    <t>10.1111/j.1945-5100.2009.tb00779.x</t>
  </si>
  <si>
    <t>502VP</t>
  </si>
  <si>
    <t>WOS:000270488700001</t>
  </si>
  <si>
    <t>Abe, K; Sakamoto, N; Kojima, H; Krot, AN; Yurimoto, H</t>
  </si>
  <si>
    <t>Abe, K.; Sakamoto, N.; Kojima, H.; Krot, A. N.; Yurimoto, H.</t>
  </si>
  <si>
    <t>VARIATIONS OF CHEMICAL COMPOSITION OF MATRICES OF CARBONACEOUS CHONDRITES</t>
  </si>
  <si>
    <t>72nd Annual Meeting of the Meteoritical-Society</t>
  </si>
  <si>
    <t>JUL 13-18, 2009</t>
  </si>
  <si>
    <t>Nancy, FRANCE</t>
  </si>
  <si>
    <t>SAHARA</t>
  </si>
  <si>
    <t>[Abe, K.; Yurimoto, H.] Hokkaido Univ, Dept Nat Hist Sci, Sapporo, Hokkaido 0600810, Japan; [Sakamoto, N.; Yurimoto, H.] Hokkaido Univ, Creat Res Inst Sousei, Isotope Imaging Lab, Sapporo, Hokkaido 0010021, Japan; [Kojima, H.] Natl Inst Polar Res, Antarctic Meteorite Res Ctr, Itabashi Ku, Tokyo 1738515, Japan; [Krot, A. N.] Univ Hawaii Manoa, Sch Ocean &amp; Earth Sci &amp; Technol, Hawaii Inst Geophys &amp; Planetol, Honolulu, HI 96822 USA</t>
  </si>
  <si>
    <t>Hokkaido University; Hokkaido University; Research Organization of Information &amp; Systems (ROIS); National Institute of Polar Research (NIPR) - Japan; University of Hawaii System; University of Hawaii Manoa</t>
  </si>
  <si>
    <t>abeken@ep.sci.hokudai.ac.jp</t>
  </si>
  <si>
    <t>Yurimoto, Hisayoshi/S-9938-2018</t>
  </si>
  <si>
    <t>A15</t>
  </si>
  <si>
    <t>461ZO</t>
  </si>
  <si>
    <t>WOS:000267314500005</t>
  </si>
  <si>
    <t>Dobrica, E; Engrand, C; Leroux, H; Duprat, J</t>
  </si>
  <si>
    <t>Dobrica, E.; Engrand, C.; Leroux, H.; Duprat, J.</t>
  </si>
  <si>
    <t>FINE-GRAINED MINERALOGY OF COMETARY ULTRACARBONACEOUS ANTARCTIC MICROMETEORITES</t>
  </si>
  <si>
    <t>PETROLOGY; HALLEY; DUST</t>
  </si>
  <si>
    <t>[Dobrica, E.; Engrand, C.; Duprat, J.] Univ Paris 11, CNRS, CSNSM, F-91405 Orsay, France; [Leroux, H.] Univ Lille, CNRS, LSPES, F-59655 Villeneuve Dascq, France</t>
  </si>
  <si>
    <t>Universite Paris Saclay; Centre National de la Recherche Scientifique (CNRS); Universite de Lille; Centre National de la Recherche Scientifique (CNRS)</t>
  </si>
  <si>
    <t>Dobrica, Elena/0000-0002-7653-3431</t>
  </si>
  <si>
    <t>S</t>
  </si>
  <si>
    <t>A63</t>
  </si>
  <si>
    <t>WOS:000267314500101</t>
  </si>
  <si>
    <t>Hallis, LJ; Greenwood, RC; Anand, M; Russell, SS; Miller, MF; Franchi, IA</t>
  </si>
  <si>
    <t>Hallis, L. J.; Greenwood, R. C.; Anand, M.; Russell, S. S.; Miller, M. F.; Franchi, I. A.</t>
  </si>
  <si>
    <t>OXYGEN ISOTOPIC COMPOSITION OF MARE-BASALTS: MAGMA OCEAN DIFFERENTIATION AND SOURCE HETEROGENEITY</t>
  </si>
  <si>
    <t>MOON</t>
  </si>
  <si>
    <t>[Hallis, L. J.; Anand, M.; Russell, S. S.] Nat Hist Museum, Dept Mineral, London SW7 5BD, England; [Hallis, L. J.; Anand, M.] Open Univ, Dept Earth &amp; Environm Sci, Milton Keynes MK7 6AA, Bucks, England; [Greenwood, R. C.; Miller, M. F.; Franchi, I. A.] Open Univ, PSSRI, Milton Keynes MK7 6AA, Bucks, England; [Miller, M. F.] British Antarctic Survey, NERC, Cambridge CB3 0ET, England</t>
  </si>
  <si>
    <t>Natural History Museum London; Open University - UK; Open University - UK; UK Research &amp; Innovation (UKRI); Natural Environment Research Council (NERC); NERC British Antarctic Survey</t>
  </si>
  <si>
    <t>l.hallis@nhm.ac.uk</t>
  </si>
  <si>
    <t>Anand, Mahesh/E-9259-2013; Miller, Martin F./AFL-7337-2022</t>
  </si>
  <si>
    <t>Miller, Martin F./0000-0002-7735-0098; Greenwood, Richard/0000-0002-5544-8027; Anand, Mahesh/0000-0003-4026-4476</t>
  </si>
  <si>
    <t>Science and Technology Facilities Council [ST/F003102/1, ST/G002983/1] Funding Source: researchfish</t>
  </si>
  <si>
    <t>Science and Technology Facilities Council(UK Research &amp; Innovation (UKRI)Science &amp; Technology Facilities Council (STFC))</t>
  </si>
  <si>
    <t>A84</t>
  </si>
  <si>
    <t>WOS:000267314500144</t>
  </si>
  <si>
    <t>Irving, AJ; Kuehner, SM; Rumble, D; Korotev, RL; Clary, S</t>
  </si>
  <si>
    <t>Irving, A. J.; Kuehner, S. M.; Rumble, D., III; Korotev, R. L.; Clary, S.</t>
  </si>
  <si>
    <t>MOAPA VALLEY: A SECOND NON-ANTARCTIC CM1 CHONDRITE FROM NEVADA, USA</t>
  </si>
  <si>
    <t>[Irving, A. J.; Kuehner, S. M.] Univ Washington, Dept Earth &amp; Space Sci, Seattle, WA 98195 USA; [Rumble, D., III] Carnegie Inst Sci, Geophys Lab, Washington, DC 20015 USA; [Korotev, R. L.] Washington Univ, Dept Earth &amp; Planet Sci, St Louis, MO 63130 USA</t>
  </si>
  <si>
    <t>University of Washington; University of Washington Seattle; Carnegie Institution for Science; Washington University (WUSTL)</t>
  </si>
  <si>
    <t>irving@ess.washington.edu</t>
  </si>
  <si>
    <t>Rumble, Douglas/AAU-3930-2020</t>
  </si>
  <si>
    <t>Rumble, Douglas/0000-0002-7440-9189</t>
  </si>
  <si>
    <t>A96</t>
  </si>
  <si>
    <t>WOS:000267314500168</t>
  </si>
  <si>
    <t>Kusuno, H; Fukuoka, T; Kojima, H; Matsuzaki, H</t>
  </si>
  <si>
    <t>Kusuno, H.; Fukuoka, T.; Kojima, H.; Matsuzaki, H.</t>
  </si>
  <si>
    <t>GROUPING OF YAMATO HED METEORITES BASED ON 26AL CONTENTS AND CHEMICAL COMPOSITIONS</t>
  </si>
  <si>
    <t>ANTARCTIC METEORITES</t>
  </si>
  <si>
    <t>[Kusuno, H.; Fukuoka, T.] Rissho Univ, Grad Sch Geoenvironm Sci, Kumagaya, Saitama 3600194, Japan; [Kojima, H.] Natl Inst Polar Res, Tokyo 1908518, Japan; [Matsuzaki, H.] Univ Tokyo, Sch Engn, Tokyo 1130032, Japan</t>
  </si>
  <si>
    <t>Research Organization of Information &amp; Systems (ROIS); National Institute of Polar Research (NIPR) - Japan; University of Tokyo</t>
  </si>
  <si>
    <t>089w00002@ris.ac.jp</t>
  </si>
  <si>
    <t>A117</t>
  </si>
  <si>
    <t>WOS:000267314500210</t>
  </si>
  <si>
    <t>Niihara, T; Kaiden, H; Misawa, K; Sekine, T</t>
  </si>
  <si>
    <t>Niihara, T.; Kaiden, H.; Misawa, K.; Sekine, T.</t>
  </si>
  <si>
    <t>SHOCK METAMORPHISM ON BADDELEYITE: IMPLICATION FOR U-PB ISOTOPIC SYSTEMATICS OF SHERGOTTITES</t>
  </si>
  <si>
    <t>AGES</t>
  </si>
  <si>
    <t>[Niihara, T.; Kaiden, H.; Misawa, K.] Grad Univ Adv Studies, Tokyo 1908518, Japan; [Kaiden, H.; Misawa, K.] NIPR, Antarctic Meteorites Res Ctr, Tokyo 1908518, Japan; [Sekine, T.] Natl Inst Mat Sci, Tsukuba, Ibaraki 3050044, Japan</t>
  </si>
  <si>
    <t>Graduate University for Advanced Studies - Japan; Research Organization of Information &amp; Systems (ROIS); National Institute of Polar Research (NIPR) - Japan; National Institute for Materials Science</t>
  </si>
  <si>
    <t>niihara@nipr.ac.jp</t>
  </si>
  <si>
    <t>A157</t>
  </si>
  <si>
    <t>WOS:000267314500290</t>
  </si>
  <si>
    <t>Yokoyama, T; Misawa, K</t>
  </si>
  <si>
    <t>Yokoyama, Tatsunori; Misawa, Keiji</t>
  </si>
  <si>
    <t>K-RICH FRAGMENTS IN YAMATO-74442 AND BHOLA LL-CHONDRITIC BRECCIAS</t>
  </si>
  <si>
    <t>[Yokoyama, Tatsunori; Misawa, Keiji] Grad Univ Adv Studies, Tokyo 1908518, Japan; [Misawa, Keiji] NIPR, Antarctic Meteorites Res Ctr, Tokyo 1908518, Japan</t>
  </si>
  <si>
    <t>Graduate University for Advanced Studies - Japan; Research Organization of Information &amp; Systems (ROIS); National Institute of Polar Research (NIPR) - Japan</t>
  </si>
  <si>
    <t>yokoyama.tatsunori@nipr.ac.jp</t>
  </si>
  <si>
    <t>A225</t>
  </si>
  <si>
    <t>WOS:000267314500425</t>
  </si>
  <si>
    <t>Obbard, RW; Baker, I</t>
  </si>
  <si>
    <t>Obbard, R. W.; Baker, I.</t>
  </si>
  <si>
    <t>Microtomography versus Optical Microscopy in the Examination of Interior Features in Ice</t>
  </si>
  <si>
    <t>MICROSCOPY AND MICROANALYSIS</t>
  </si>
  <si>
    <t>ANTARCTIC ICE; GREENLAND; CRYSTALS; NUMBER; SHEET; CORE; AIR</t>
  </si>
  <si>
    <t>[Obbard, R. W.; Baker, I.] Dartmouth Coll, Thayer Sch Engn, Hanover, NH 03755 USA</t>
  </si>
  <si>
    <t>Dartmouth College</t>
  </si>
  <si>
    <t>Obbard, RW (corresponding author), Dartmouth Coll, Thayer Sch Engn, 8000 Cummings Hall, Hanover, NH 03755 USA.</t>
  </si>
  <si>
    <t>U.S. National Science Foundation (NSF) [OPP 0440523]</t>
  </si>
  <si>
    <t>U.S. National Science Foundation (NSF)(National Science Foundation (NSF))</t>
  </si>
  <si>
    <t>This research was supported by the U.S. National Science Foundation (NSF) Grant OPP 0440523. The views and conclusions contained herein are those of the authors and should not be interpreted as necessarily representing official policies, either expressed or implied, of the NSF or the U.S. Government.</t>
  </si>
  <si>
    <t>1431-9276</t>
  </si>
  <si>
    <t>MICROSC MICROANAL</t>
  </si>
  <si>
    <t>Microsc. microanal.</t>
  </si>
  <si>
    <t>10.1017/S143192760909610X</t>
  </si>
  <si>
    <t>Materials Science, Multidisciplinary; Microscopy</t>
  </si>
  <si>
    <t>Materials Science; Microscopy</t>
  </si>
  <si>
    <t>V20CW</t>
  </si>
  <si>
    <t>WOS:000208119100361</t>
  </si>
  <si>
    <t>Hoffman, JI; Dasmahapatra, KK; Amos, W; Phillips, CD; Gelatt, TS; Bickham, JW</t>
  </si>
  <si>
    <t>Hoffman, J. I.; Dasmahapatra, K. K.; Amos, W.; Phillips, C. D.; Gelatt, T. S.; Bickham, J. W.</t>
  </si>
  <si>
    <t>Contrasting patterns of genetic diversity at three different genetic markers in a marine mammal metapopulation</t>
  </si>
  <si>
    <t>amplified fragment length polymorphism (AFLP); conservation genetics; demography; Eumetopias jubatus; genetic diversity; microsatellite; mtDNA; phylogeography; pinniped; Steller's sea lion; stock structure</t>
  </si>
  <si>
    <t>STELLER SEA LIONS; MITOCHONDRIAL CONTROL REGION; POPULATION-STRUCTURE; MICROSATELLITE LOCI; ZALOPHUS-CALIFORNIANUS; GENOTYPING ERRORS; ARCTOCEPHALUS-GAZELLA; DNA; AFLP; HETEROZYGOSITY</t>
  </si>
  <si>
    <t>Many studies use genetic markers to explore population structure and variability within species. However, only a minority use more than one type of marker and, despite increasing evidence of a link between heterozygosity and individual fitness, few ask whether diversity correlates with population trajectory. To address these issues, we analysed data from the Steller's sea lion, Eumetiopias jubatus, where three stocks are distributed over a vast geographical range and where both genetic samples and detailed demographic data have been collected from many diverse breeding colonies. To previously published mitochondrial DNA (mtDNA) and microsatellite data sets, we have added new data for amplified fragment length polymorphism (AFLP) markers, comprising 238 loci scored in 285 sea lions sampled from 23 natal rookeries. Genotypic diversity was low relative to most vertebrates, with only 37 loci (15.5%) being polymorphic. Moreover, contrasting geographical patterns of genetic diversity were found at the three markers, with Nei's gene diversity tending to be higher for AFLPs and microsatellites in rookeries of the western and Asian stocks, while the highest mtDNA values were found in the eastern stock. Overall, and despite strongly contrasting demographic histories, after applying phylogenetic correction we found little correlation between genetic diversity and either colony size or demography. In contrast, we were able to show a highly significant positive relationship between AFLP diversity and current population size across a range of pinniped species, even though equivalent analyses did not reveal significant trends for either microsatellites or mtDNA.</t>
  </si>
  <si>
    <t>[Hoffman, J. I.; Amos, W.] Univ Cambridge, Dept Zool, Cambridge CB2 3EJ, England; [Dasmahapatra, K. K.] UCL, Galton Lab, Dept Genet Evolut &amp; Environm, London NW1 2HE, England; [Phillips, C. D.; Bickham, J. W.] Purdue Univ, Ctr Environm, W Lafayette, IN 47907 USA; [Gelatt, T. S.] Natl Marine Fisheries Serv, Alaska Fisheries Sci Ctr, Seattle, WA USA</t>
  </si>
  <si>
    <t>University of Cambridge; University of London; University College London; Purdue University System; Purdue University; National Oceanic Atmospheric Admin (NOAA) - USA</t>
  </si>
  <si>
    <t>Dasmahapatra, Kanchon/AAT-3179-2021; Hoffman, Joseph/K-7725-2012</t>
  </si>
  <si>
    <t>Hoffman, Joseph/0000-0001-5895-8949; Dasmahapatra, Kanchon Kumar/0000-0002-2840-7019</t>
  </si>
  <si>
    <t>NMFS; Alaska Department of Fish and Game; Alaska Sea Life Center; Natural Environment Research Council (NERC)</t>
  </si>
  <si>
    <t>NMFS; Alaska Department of Fish and Game; Alaska Sea Life Center; Natural Environment Research Council (NERC)(UK Research &amp; Innovation (UKRI)Natural Environment Research Council (NERC))</t>
  </si>
  <si>
    <t>We wish to thank the many people involved in collecting the tissues used in this study and in provision of the long-term data set, especially L. Rea, D. Calkins, L. Fritz, K. Pitcher, V. Burkanov, E. Mamaev, N. Pavlov, V. Vertjankin, and S. Zadal'sky. All animals were humanely treated according to ASM guidelines (American Society of Mammalogists 1998) and specimens were collected under Marine Mammal Protection Act permits 782-1532-02 issued to the National Marine Mammal Laboratory, and 358-1564 issued to the Alaska Department of Fish and Game. Funding for laboratory work and data analysis was provided by National Marine Fisheries Service and the National Marine Mammal Laboratory. Funding for field work was provided by NMFS, Alaska Department of Fish and Game, and the Alaska Sea Life Center. J.H. is currently supported by a Natural Environment Research Council (NERC) British Antarctic Survey (BAS) Strategic Alliance Fellowship.</t>
  </si>
  <si>
    <t>10.1111/j.1365-294X.2009.04246.x</t>
  </si>
  <si>
    <t>464WK</t>
  </si>
  <si>
    <t>WOS:000267540100007</t>
  </si>
  <si>
    <t>Strugnell, JM; Allcock, AL; Watts, PC</t>
  </si>
  <si>
    <t>Strugnell, Jan M.; Allcock, A. Louise; Watts, Phillip C.</t>
  </si>
  <si>
    <t>A panel of microsatellite loci from two species of octopus, Pareledone turqueti (Joubin, 1905) and Pareledone charcoti (Joubin, 1905)</t>
  </si>
  <si>
    <t>Antarctica; microsatellites; Pareledone charcoti; Pareledone turqueti; population structure; Southern Ocean</t>
  </si>
  <si>
    <t>Eighteen dinucleotide microsatellite loci were isolated from two octopus species, Pareledone turqueti and Pareledone charcoti, which are endemic to the Southern Ocean. Genetic diversity was assessed in samples of P. charcoti and P. turqueti from Elephant Island and Shag Rocks respectively. All except one locus (which has proved to be polymorphic in other species) were variable in the focal species and amplified between six and 30 and between four and 28 alleles for P. charcoti and P. turqueti respectively; mean expected heterozygosities varied between 0.38 and 0.95 (P. charcoti) and between 0.34 and 0.97 (P. turqueti), with significant (P &lt; 0.05) departures from Hardy-Weinberg equilibrium at seven loci; three of these loci provided significant (P &lt; 0.05) evidence for null alleles. Two pairs of loci isolated from P. turqueti demonstrated significant (P &lt; 0.05) linkage disequilibrium. We are presently using these-genetic markers to quantify spatial genetic structure in the genus Pareledone.</t>
  </si>
  <si>
    <t>[Strugnell, Jan M.] Univ Cambridge, Dept Zool, Cambridge CB2 3EJ, England; [Allcock, A. Louise] Natl Univ Ireland, Martin Ryan Marine Sci Inst, Galway, Ireland; [Watts, Phillip C.] Univ Liverpool, Sch Biol Sci, Liverpool L69 7ZB, Merseyside, England</t>
  </si>
  <si>
    <t>University of Cambridge; Ollscoil na Gaillimhe-University of Galway; University of Liverpool</t>
  </si>
  <si>
    <t>Strugnell, JM (corresponding author), Univ Cambridge, Dept Zool, Downing St, Cambridge CB2 3EJ, England.</t>
  </si>
  <si>
    <t>jan.strugnell@gmail.com</t>
  </si>
  <si>
    <t>Watts, Phill/G-7257-2011; Allcock, Louise/A-7359-2012; Strugnell, Jan/B-1698-2010; Strugnell, Jan M/P-9921-2016</t>
  </si>
  <si>
    <t>Allcock, Louise/0000-0002-4806-0040; Watts, Phillip/0000-0001-7755-187X; Strugnell, Jan/0000-0003-2994-637X</t>
  </si>
  <si>
    <t>PFERC AFT [N-E/C506321/1]; Lloyd's Tercentenary Fellowship; Antarctic Science Bursary; Systematics Association; Edith Mary Pratt Musgrave Fund; CoSyst; Natural Environment Research Council [NE/C506321/1] Funding Source: researchfish</t>
  </si>
  <si>
    <t>PFERC AFT; Lloyd's Tercentenary Fellowship; Antarctic Science Bursary; Systematics Association; Edith Mary Pratt Musgrave Fund; CoSyst; Natural Environment Research Council(UK Research &amp; Innovation (UKRI)Natural Environment Research Council (NERC))</t>
  </si>
  <si>
    <t>We thank the Alfred Wegner Institute, British Antarctic Survey, South Georgia Government and MRAG for provision of sea time. JMS is supported by PFERC AFT N-E/C506321/1 awarded to ALA, a Lloyd's Tercentenary Fellowship, an Antarctic Science Bursary, the Systematics Association and the Edith Mary Pratt Musgrave Fund and a CoSyst grant awarded to JMS and PCW. This is CAML publication no. 19 and is a contribution to Evolution and Biodiversity in the Antarctic (EBA).</t>
  </si>
  <si>
    <t>10.1111/j.1755-0998.2009.02617.x</t>
  </si>
  <si>
    <t>473XM</t>
  </si>
  <si>
    <t>WOS:000268245500045</t>
  </si>
  <si>
    <t>Cannon, JT; Rychel, AL; Eccleston, H; Halanych, KM; Swalla, BJ</t>
  </si>
  <si>
    <t>Cannon, Johanna T.; Rychel, Amanda L.; Eccleston, Heather; Halanych, Kenneth M.; Swalla, Billie J.</t>
  </si>
  <si>
    <t>Molecular phylogeny of hemichordata, with updated status of deep-sea enteropneusts</t>
  </si>
  <si>
    <t>MOLECULAR PHYLOGENETICS AND EVOLUTION</t>
  </si>
  <si>
    <t>Hemichordata; Deuterostomes; Ambulacraria; Chordates; Chordate evolution; Enteropneusta; Pterobranch</t>
  </si>
  <si>
    <t>DEUTEROSTOME PHYLOGENY; RIBOSOMAL DNA; 18S RDNA; MITOCHONDRIAL GENOME; RHABDOPLEURA-NORMANI; CHORDATE EVOLUTION; ANIMAL PHYLOGENY; PLANCTOSPHAERA; ORIGINS; INFERENCE</t>
  </si>
  <si>
    <t>Hemichordates have occupied a central role in hypotheses of deuterostome and early chordate evolution. However, surprisingly little is understood about evolution within hemichordates, including hemichordate ancestral characters that may relate to other deuterostome taxa. Previous phylogenetic studies suggested that enteropneust worms are either monophyletic (based on 28S rDNA) or paraphyletic (based on 18S rDNA). Here, we expand the number of hemichordate taxa used in phylogenetic analyses for 18S rDNA data and employ more quickly evolving mitochondrial gene sequences. Novel data from an undescribed deep-sea enteropneust species similar to Torquarator bullocki and a Gulf Stream tornaria larva suggest that these taxa are closely allied to or possibly within Ptychoderidae. Saxipendium coronatum, another deep-sea species commonly called the spaghetti worm, is shown to be a member of Harrimaniidae. Recognition of these deep-sea lineages as distinct families calls into question features used in hemichordate taxonomy. In the new analyses, enteropneusts fall into two distinct monophyletic clades, with the colonial pterobranchs sister to Harrimaniidae, similar to earlier published 18S results. These results indicate that colonial pterobranchs may have evolved from a solitary acorn worm-like hemichordate ancestor. If true, pterobranchs would be unlikely to represent the deuterostome ancestral form as has been suggested by many traditional theories of deuterostome evolution. (C) 2009 Elsevier Inc. All rights reserved.</t>
  </si>
  <si>
    <t>[Rychel, Amanda L.; Swalla, Billie J.] Univ Washington, Dept Biol, Seattle, WA 98195 USA; [Rychel, Amanda L.; Swalla, Billie J.] Univ Washington, Ctr Dev Biol, Seattle, WA 98195 USA; [Cannon, Johanna T.; Eccleston, Heather; Halanych, Kenneth M.] Auburn Univ, Dept Biol Sci, Auburn, AL 36849 USA; [Rychel, Amanda L.; Halanych, Kenneth M.; Swalla, Billie J.] Univ Washington, Friday Harbor Labs, Friday Harbor, WA 98250 USA; [Rychel, Amanda L.; Swalla, Billie J.] Univ Hawaii, Kewalo Marine Lab, Honolulu, HI 96813 USA</t>
  </si>
  <si>
    <t>University of Washington; University of Washington Seattle; University of Washington; University of Washington Seattle; Auburn University System; Auburn University; University of Washington; University of Hawaii System</t>
  </si>
  <si>
    <t>Swalla, BJ (corresponding author), Univ Washington, Dept Biol, 24 Kincaid Hall,POB 351800, Seattle, WA 98195 USA.</t>
  </si>
  <si>
    <t>cannojt@auburn.edu; arychel@u.washington.edu; ken@auburn.edu; bjswalla@u.washington.edu</t>
  </si>
  <si>
    <t>Cannon, Johanna/V-3842-2019; Halanych, Kenneth/A-9480-2009</t>
  </si>
  <si>
    <t>Cannon, Johanna/0000-0002-3920-7741; Halanych, Kenneth/0000-0002-8658-9674</t>
  </si>
  <si>
    <t>NSF [OPP9910164, OPP0338087, OPP0338218, DEB-0816892]; Genomics Center in the Department of Biology [2002236]; ACHE-GRSP [NSF EPS-0447675]; NIH-NICHD [T32 HD007183-26A1]; Division Of Environmental Biology; Direct For Biological Sciences [0816892] Funding Source: National Science Foundation</t>
  </si>
  <si>
    <t>NSF(National Science Foundation (NSF)); Genomics Center in the Department of Biology; ACHE-GRSP; NIH-NICHD(United States Department of Health &amp; Human ServicesNational Institutes of Health (NIH) - USANIH Eunice Kennedy Shriver National Institute of Child Health &amp; Human Development (NICHD)); Division Of Environmental Biology; Direct For Biological Sciences(National Science Foundation (NSF)NSF - Directorate for Biological Sciences (BIO))</t>
  </si>
  <si>
    <t>We thank Greg Rouse and Robert Vrijenhoek for photos and tissue collection of Saxipendium coronatum (Fig. 1A-C), Stephane Hourdez for the photos and collection of samples of deep-sea hemichordates (Deep-sea 2; Fig. 1 D), and Will Jaeckle for collection of Gulf Stream tornariae in the Bahamas. Greg Rouse is additionally acknowledged for providing Protoglossus sp. tissue samples. James Garey and Terry Campbell are thanked for help in collecting the Tampa Bay ptychoderid worms. We also thank the staff and crew of Raytheon and the R/V Laurence M. Gould (Edison Chouest Offshore) for assistance in collection of Antarctic pterobranchs. Antarctic collections were supported by NSF grants OPP9910164, OPP0338087, and OPP0338218 to R.S. Scheltema and K.M. Halanych. Computational assistance on GUMP (Genomics Using Multiple Processors) at Auburn University was kindly provided by Scott Santos. A special thank you to Bruce Godfrey and the Comparative Genomics Center in the Department of Biology, UW, made possible by Murdock Grant #2002236 for PCR and sequencing facilities. Thank you to Atsuko Sato and three anonymous reviewers for helpful comments on this manuscript. JTC was supported by the ACHE-GRSP (NSF EPS-0447675). ALR was supported by NRSA Grant Number T32 HD007183-26A1 from NIH-NICHD. Some of this research was supported by NSF DEB-0816892 to Ken Halanych and Billie J. Swalla. This work is Auburn University Marine Biology Program contribution #50.</t>
  </si>
  <si>
    <t>1055-7903</t>
  </si>
  <si>
    <t>1095-9513</t>
  </si>
  <si>
    <t>MOL PHYLOGENET EVOL</t>
  </si>
  <si>
    <t>Mol. Phylogenet. Evol.</t>
  </si>
  <si>
    <t>10.1016/j.ympev.2009.03.027</t>
  </si>
  <si>
    <t>454OU</t>
  </si>
  <si>
    <t>WOS:000266692800002</t>
  </si>
  <si>
    <t>Techow, NMSM; Ryan, PG; O'Ryan, C</t>
  </si>
  <si>
    <t>Techow, N. M. S. Mareile; Ryan, Peter G.; O'Ryan, Colleen</t>
  </si>
  <si>
    <t>Phylogeography and taxonomy of White-chinned and Spectacled Petrels</t>
  </si>
  <si>
    <t>Procellaria; Species status; Population structure; Seabirds; Cytochrome b</t>
  </si>
  <si>
    <t>MITOCHONDRIAL-DNA; POPULATION-GROWTH; PROCELLARIA-AEQUINOCTIALIS; PHENOTYPIC ASSOCIATIONS; CLADISTIC-ANALYSIS; SOUTHERN-OCEAN; GENE FLOW; ALBATROSSES; DIFFERENTIATION; EVOLUTIONARY</t>
  </si>
  <si>
    <t>The genus Procellaria traditionally consists of four species, two restricted to New Zealand and two widespread in the Southern Ocean. All four are threatened because of incidental mortality on longlines and other fishing gear. The White-chinned Petrel P. aequinoctialis is the seabird killed in largest numbers by fisheries in the Southern Ocean. A spectacled form recently has been elevated to species status, Spectacled Petrel P. conspicillata, based on differences in morphometrics, vocalisations and breeding phenology. Cytochrome b sequences support species status for the Spectacled Petrel and show that the White-chinned Petrel has two regional populations, one around New Zealand and one throughout the South Atlantic and Indian Oceans. White-chinned and Spectacled Petrels segregated approximately 0.90 million years ago by allopatric fragmentation, and the two populations within White-chinned Petrels diverged approximately 0.35 million years ago. Climate changes and corresponding changes in ocean currents are most likely responsible for these patterns. (C) 2009 Elsevier Inc. All rights reserved.</t>
  </si>
  <si>
    <t>[Techow, N. M. S. Mareile; Ryan, Peter G.] Univ Cape Town, Percy FitzPatrick Inst, DST NRF Ctr Excellence, ZA-7701 Rondebosch, South Africa; [Techow, N. M. S. Mareile; O'Ryan, Colleen] Univ Cape Town, Dept Mol &amp; Cell Biol, ZA-7701 Rondebosch, South Africa</t>
  </si>
  <si>
    <t>Techow, NMSM (corresponding author), Univ Cape Town, Percy FitzPatrick Inst, DST NRF Ctr Excellence, Private Bag X3, ZA-7701 Rondebosch, South Africa.</t>
  </si>
  <si>
    <t>mtechow@gmail.com</t>
  </si>
  <si>
    <t>O'Ryan, Colleen/0000-0003-3719-4657; Ryan, Peter/0000-0002-3356-2056</t>
  </si>
  <si>
    <t>University of Cape Town</t>
  </si>
  <si>
    <t>This study would not have been possible without the efforts of Pete McClelland, Deon Nel, Richard Phillips, Chris Robertson, Erica Sommer and Henri Weimerskirch, who facilitated the collection of tissue and blood samples. Two anonymous referees made constructive and valuable comments on this paper. Funding and logistical support was obtained from the South African National Antarctic Programme, the South African National Research Foundation and the University of Cape Town.</t>
  </si>
  <si>
    <t>10.1016/j.ympev.2009.04.004</t>
  </si>
  <si>
    <t>WOS:000266692800003</t>
  </si>
  <si>
    <t>Rohling, EJ; Grant, K; Bolshaw, M; Roberts, AP; Siddall, M; Hemleben, C; Kucera, M</t>
  </si>
  <si>
    <t>Rohling, E. J.; Grant, K.; Bolshaw, M.; Roberts, A. P.; Siddall, M.; Hemleben, Ch.; Kucera, M.</t>
  </si>
  <si>
    <t>Antarctic temperature and global sea level closely coupled over the past five glacial cycles</t>
  </si>
  <si>
    <t>ICE-SHEET; CLIMATE-CHANGE; CONSTRAINTS; RATES</t>
  </si>
  <si>
    <t>Ice cores from Antarctica record temperature and atmospheric carbon dioxide variations over the past six glacial cycles(1,2). Yet concomitant records of sea-level fluctuations-needed to reveal rates and magnitudes of ice-volume change that provide context to projections for the future(3-9)-remain elusive. Reconstructions indicate fast rates of sea-level rise up to 5 cm yr(-1) during glacial terminations(10), and 1-2 cm yr(-1) during interglacials(11,12) and within the past glacial cycle(13). However, little is known about the total long-term sea-level rise in equilibration to warming. Here we present a sea-level record for the past 520,000 years based on stable oxygen isotope analyses of planktonic foraminifera and bulk sediments from the Red Sea. Our record reveals a strong correlation on multi-millennial timescales between global sea level and Antarctic temperature(1), which is related to global temperature(6,7). On the basis of this correlation, we estimate sea level for the Middle Pliocene epoch (3.0-3.5 Myr ago)-a period with near-modern CO2 levels-at 25 +/- 5 m above present, which is validated by independent sea-level data(6,14-16). Our results imply that even stabilization at today's CO2 levels may cause sea-level rise over several millennia that by far exceeds existing long-term projections(3).</t>
  </si>
  <si>
    <t>[Rohling, E. J.; Grant, K.; Bolshaw, M.; Roberts, A. P.] Univ Southampton, Natl Oceanog Ctr, Sch Ocean &amp; Earth Sci, Southampton SO14 3ZH, Hants, England; [Siddall, M.] Lamont Doherty Earth Observ, Palisades, NY 10964 USA; [Hemleben, Ch.; Kucera, M.] Univ Tubingen, Inst Geosci, D-72076 Tubingen, Germany</t>
  </si>
  <si>
    <t>NERC National Oceanography Centre; University of Southampton; Columbia University; Eberhard Karls University of Tubingen</t>
  </si>
  <si>
    <t>Rohling, EJ (corresponding author), Univ Southampton, Natl Oceanog Ctr, Sch Ocean &amp; Earth Sci, Southampton SO14 3ZH, Hants, England.</t>
  </si>
  <si>
    <t>E.Rohling@noc.soton.ac.uk</t>
  </si>
  <si>
    <t>Rohling, Eelco J/B-9736-2008; Kucera, Michal/ABH-6065-2020; Kucera, Michal/AAE-8115-2020; Roberts, Andrew P/E-6422-2010</t>
  </si>
  <si>
    <t>Rohling, Eelco J/0000-0001-5349-2158; Kucera, Michal/0000-0002-7817-9018; Grant, Katharine/0000-0003-4299-5504; Roberts, Andrew P./0000-0003-0566-8117</t>
  </si>
  <si>
    <t>UK Natural Environment Research Council (NERC) [NE/C003152/1]; NERC Response of humans to abrupt environmental transitions consortium ( RESET) [NE/E01531X/1]; German Science Foundation ( DFG) [He 697/17, Ku 2259/3]; Lamont Doherty Earth Observatory; University of Bristol; NERC [NE/E01531X/1, NE/E015905/1] Funding Source: UKRI; Natural Environment Research Council [NE/C003152/1, NE/E015905/1, NE/E01531X/1] Funding Source: researchfish</t>
  </si>
  <si>
    <t>UK Natural Environment Research Council (NERC)(UK Research &amp; Innovation (UKRI)Natural Environment Research Council (NERC)); NERC Response of humans to abrupt environmental transitions consortium ( RESET)(UK Research &amp; Innovation (UKRI)Natural Environment Research Council (NERC)); German Science Foundation ( DFG)(German Research Foundation (DFG)); Lamont Doherty Earth Observatory; University of Bristol; NERC(UK Research &amp; Innovation (UKRI)Natural Environment Research Council (NERC)); Natural Environment Research Council(UK Research &amp; Innovation (UKRI)Natural Environment Research Council (NERC))</t>
  </si>
  <si>
    <t>This study contributes to UK Natural Environment Research Council (NERC) project NE/C003152/1, the NERC Response of humans to abrupt environmental transitions consortium ( RESET, NE/E01531X/1), and German Science Foundation ( DFG) projects He 697/17; Ku 2259/3. M. S. acknowledges support from a fellowship at the Lamont Doherty Earth Observatory and an RCUK fellowship from the University of Bristol.</t>
  </si>
  <si>
    <t>10.1038/ngeo557</t>
  </si>
  <si>
    <t>497LS</t>
  </si>
  <si>
    <t>WOS:000270061600020</t>
  </si>
  <si>
    <t>Jitaru, P; Gabrielli, P; Marteel, A; Plane, JMC; Planchon, FAM; Gauchard, PA; Ferrari, CP; Boutron, CF; Adams, FC; Hong, S; Cescon, P; Barbante, C</t>
  </si>
  <si>
    <t>Jitaru, Petru; Gabrielli, Paolo; Marteel, Alexandrine; Plane, John M. C.; Planchon, Frederic A. M.; Gauchard, Pierre-Alexis; Ferrari, Christophe P.; Boutron, Claude F.; Adams, Freddy C.; Hong, Sungmin; Cescon, Paolo; Barbante, Carlo</t>
  </si>
  <si>
    <t>Atmospheric depletion of mercury over Antarctica during glacial periods</t>
  </si>
  <si>
    <t>EQUATORIAL PACIFIC-OCEAN; PAST 800,000 YEARS; ICE CORE; SPRINGTIME DEPLETION; METHYLATED MERCURY; NATURAL SOURCE; POLAR SUNRISE; CYCLES; SNOW; TROPOSPHERE</t>
  </si>
  <si>
    <t>Mercury is a globally dispersed toxic metal that affects even remote polar areas. During seasonal atmospheric mercury depletion events in polar areas, mercury is removed from the atmosphere(1,2) and subsequently deposited in the surface snows(3). However, it is unknown whether these events, which have been documented for the past two decades, have occurred in the past. Here we show that over the past 670,000 years, atmospheric mercury deposition in surface snows was greater during the coldest climatic stages, coincident with the highest atmospheric dust loads. A probable explanation for this increased scavenging is that the oxidation of gaseous mercury by sea-salt-derived halogens occurred in the cold atmosphere. The oxidized mercury compounds were then transferred to the abundant mineral dust particles and deposited on the snowpack, leading to the depletion of gaseous mercury in the Antarctic atmosphere. We conclude that polar regions acted as a mercury sink during the coldest climatic stages, and that substantial polar deposition of atmospheric mercury is therefore not an exclusively recent phenomenon.</t>
  </si>
  <si>
    <t>[Jitaru, Petru; Gabrielli, Paolo; Planchon, Frederic A. M.; Cescon, Paolo; Barbante, Carlo] IDPA CNR, Inst Dynam Environm Proc, I-30123 Venice, Italy; [Jitaru, Petru; Adams, Freddy C.] Univ Antwerp, Dept Chem, B-2610 Antwerp, Belgium; [Jitaru, Petru] Lab Natl Metrol &amp; Essais LNE, Dept Biomed &amp; Inorgan Chem, F-75724 Paris 15, France; [Gabrielli, Paolo; Marteel, Alexandrine; Gauchard, Pierre-Alexis; Ferrari, Christophe P.; Boutron, Claude F.] Univ Grenoble 1, Lab Glaciol &amp; Geophys Environm, UMR 5183, CNRS 54, F-38402 St Martin Dheres, France; [Gabrielli, Paolo] Ohio State Univ, Sch Earth Sci, Columbus, OH 43210 USA; [Gabrielli, Paolo] Ohio State Univ, Byrd Polar Res Ctr, Columbus, OH 43210 USA; [Marteel, Alexandrine] Univ Siena, Dept Earth Sci, I-53100 Siena, Italy; [Plane, John M. C.] Univ Leeds, Sch Chem, Leeds LS2 9JT, W Yorkshire, England; [Planchon, Frederic A. M.] Royal Museum Cent Africa, Dept Geol, B-3080 Tervuren, Belgium; [Ferrari, Christophe P.] Univ Grenoble 1, Polytech Grenoble Inst Univ France, F-38041 Grenoble, France; [Boutron, Claude F.] Univ Grenoble 1, Inst Univ France, Unite Format &amp; Rech Phys, F-38041 Grenoble, France; [Hong, Sungmin] Korea Polar Res Inst, Inchon 406840, South Korea; [Cescon, Paolo; Barbante, Carlo] Univ Venice Ca Foscari, Dept Environm Sci, I-30123 Venice, Italy</t>
  </si>
  <si>
    <t>Consiglio Nazionale delle Ricerche (CNR); Istituto per la Dinamica dei Processi Ambientali (IDPA-CNR); University of Antwerp; Laboratoire National de Metrologie et d'Essais (LNE); Communaute Universite Grenoble Alpes; Universite Grenoble Alpes (UGA); University System of Ohio; Ohio State University; University System of Ohio; Ohio State University; University of Siena; University of Leeds; Royal Museum for Central Africa; Communaute Universite Grenoble Alpes; Institut National Polytechnique de Grenoble; Universite Grenoble Alpes (UGA); Institut Universitaire de France; Communaute Universite Grenoble Alpes; Universite Grenoble Alpes (UGA); Korea Institute of Ocean Science &amp; Technology (KIOST); Korea Polar Research Institute (KOPRI); Universita Ca Foscari Venezia</t>
  </si>
  <si>
    <t>Jitaru, P (corresponding author), IDPA CNR, Inst Dynam Environm Proc, Dorsoduro 2137, I-30123 Venice, Italy.</t>
  </si>
  <si>
    <t>Barbante, Carlo/B-3195-2011; Frederic, Planchon A.M./A-8651-2010; Plane, John M C/C-7444-2015</t>
  </si>
  <si>
    <t>JITARU, Petru/0000-0001-9521-6899; Cescon, Paolo/0000-0003-1836-6759; Planchon, Frederic/0000-0003-1288-9698; Barbante, Carlo/0000-0003-4177-2288</t>
  </si>
  <si>
    <t>European Commission [CT-2002-01772, MEIF-CT-2006-024156]</t>
  </si>
  <si>
    <t>European Commission(European Union (EU)European Commission Joint Research Centre)</t>
  </si>
  <si>
    <t>This work is a contribution to the 'European Project for Ice Coring in Antarctica' (EPICA), a joint ESF ( European Science Foundation)/ EU scientific programme, funded by the European Commission (EPICA-MIS) and by national contributions from Belgium, Denmark, France, Germany, Italy, the Netherlands, Norway, Sweden, Switzerland and the United Kingdom. This is the EPICA publication 222. In Belgium, the financial support is acknowledged from the Flemish Fund for Scientific Research (FWO), Brussels, Belgium; in France from the Institut Universitaire de France, the Ministere de l'Environnement et de l'Amenagement du Territoire, the Agence de l'Environnement et de la Maitrise de l'Energie, the Institut National des Sciences de l'Univers, the French Polar Institute (IPEV) and the Universite Joseph Fourier of Grenoble; in Italy, from the Consorzio per l'Attuazione del Programma Nazionale delle Ricerche in Antartide, under projects on Environmental Contamination and Glaciology. This research has also been supported by Marie Curie Fellowships of the European Community programme ( contracts HPMF-CT-2002-01772, MEIF-CT-2006-024156). We acknowledge B. Delmonte, A. Dommergue, R. Ebinghaus, S. Lindberg, C. Temme and E. Wolff for useful comments. Finally, we would like to thank all of the scientific and logistic personnel of PNRA and IPEV working at Dome C, Antarctica.</t>
  </si>
  <si>
    <t>10.1038/ngeo549</t>
  </si>
  <si>
    <t>WOS:000270061600021</t>
  </si>
  <si>
    <t>Phillips, RA; Bearhop, S; Mcgill, RAR; Dawson, DA</t>
  </si>
  <si>
    <t>Phillips, Richard A.; Bearhop, Stuart; Mcgill, Rona A. R.; Dawson, Deborah A.</t>
  </si>
  <si>
    <t>Stable isotopes reveal individual variation in migration strategies and habitat preferences in a suite of seabirds during the nonbreeding period</t>
  </si>
  <si>
    <t>Geolocation; Isoscape; Seabird; Sexual segregation; Tracking</t>
  </si>
  <si>
    <t>ALBATROSSES DIOMEDEA-EXULANS; SEXUAL SIZE DIMORPHISM; SOUTHERN-OCEAN; WANDERING ALBATROSSES; PROVISIONING STRATEGIES; MACRONECTES-GIGANTEUS; TROPHIC RELATIONSHIPS; FORAGING STRATEGIES; PLANKTON DELTA-C-13; MARINE PLANKTON</t>
  </si>
  <si>
    <t>Information on predator and prey distributions is integral to our understanding of migratory connectivity, food web dynamics and ecosystem structure. In marine systems, although large animals that return to land can be fitted with tracking devices, minimum instrument sizes preclude deployments on small seabirds that may nevertheless be highly abundant and hence major consumers. An increasingly popular approach is to use N and C stable isotope analysis of feathers sampled at colonies to provide information on distribution and trophic level for the preceding, and generally little-known, nonbreeding period. Despite the burgeoning of this research, there have been few attempts to verify such relationships. In this study, we demonstrate a clear correspondence between isotope ratios of feathers and nonbreeding distributions of seven species from South Georgia tracked using loggers. This generated a rudimentary isoscape that was used to infer the habitat preferences of eight other species ranging in size from storm petrels to albatrosses, and which could be applied, with caveats, in other studies. Differences in inferred distribution within and between species had major implications for relative exposure to anthropogenic threats, including climate change and fisheries. Although there were no differences in isotope values between sexes in any of the smaller petrels, mean stable C (delta C-13), but not stable N isotope ratios (delta N-15), tended to be greater in females than males of the larger, and more sexually size-dimorphic species. This indicates a difference in C source (distribution), rather than trophic level, and a correspondence between the degree of sexual size dimorphism in Procellariiformes and the level of between-sex niche segregation.</t>
  </si>
  <si>
    <t>[Phillips, Richard A.] British Antarctic Survey, NERC, Cambridge CB3 0ET, England; [Bearhop, Stuart] Univ Exeter, Ctr Ecol &amp; Conservat, Sch Biosci, Penryn TR10 9EZ, England; [Mcgill, Rona A. R.] Scottish Univ Environm Res Ctr, NERC Life Sci Mass Spectrometry Facil, E Kilbride G75 0QF, Lanark, Scotland; [Dawson, Deborah A.] Univ Sheffield, NERC Mol Genet Facil, Dept Anim &amp; Plant Sci, Sheffield S10 2TN, S Yorkshire, England</t>
  </si>
  <si>
    <t>UK Research &amp; Innovation (UKRI); Natural Environment Research Council (NERC); NERC British Antarctic Survey; University of Exeter; Scottish Universities Research &amp; Reactor Center; UK Research &amp; Innovation (UKRI); Natural Environment Research Council (NERC); UK Research &amp; Innovation (UKRI); Natural Environment Research Council (NERC); University of Sheffield</t>
  </si>
  <si>
    <t>Phillips, RA (corresponding author), British Antarctic Survey, NERC, High Cross,Madingley Rd, Cambridge CB3 0ET, England.</t>
  </si>
  <si>
    <t>raphil@bas.ac.uk</t>
  </si>
  <si>
    <t>McGill, Rona/JAC-6969-2023; McGill, Rona/F-1793-2010; Bearhop, Stuart/G-3105-2012</t>
  </si>
  <si>
    <t>McGill, Rona/0000-0003-0400-7288; Bearhop, Stuart/0000-0002-5864-0129</t>
  </si>
  <si>
    <t>NERC [EK505/02]; Natural Environment Research Council [bas010017, bas0100025, NBAF010001] Funding Source: researchfish; NERC [bas010017, NBAF010001, bas0100025] Funding Source: UKRI</t>
  </si>
  <si>
    <t>The isotope analysis at the Life Sciences Mass Spectrometry Facility was funded by NERC award EK505/02.</t>
  </si>
  <si>
    <t>10.1007/s00442-009-1342-9</t>
  </si>
  <si>
    <t>460DA</t>
  </si>
  <si>
    <t>WOS:000267165500016</t>
  </si>
  <si>
    <t>Schorghofer, N</t>
  </si>
  <si>
    <t>Schorghofer, Norbert</t>
  </si>
  <si>
    <t>Buffering of Sublimation Loss of Subsurface Ice by Percolating Snowmelt: A Theoretical Analysis</t>
  </si>
  <si>
    <t>PERMAFROST AND PERIGLACIAL PROCESSES</t>
  </si>
  <si>
    <t>Antarctic Dry Valleys; mathematical geophysics; permafrost degradation; sublimation; ground ice</t>
  </si>
  <si>
    <t>BEACON VALLEY; GLACIER ICE</t>
  </si>
  <si>
    <t>Subsurface ice in cold hyperarid conditions retreats by Sublimation and diffusion through the overlying soil layer. Here, it is shown that percolating meltwater, if present, can counterbalance sublimation loss effectively and thus increase the persistence time of subsurface ice. Time averaging of transport equations is used to evaluate the significance of percolation in an otherwise complex dynamical system. The reduction in Sublimation loss is approximately given by the amount of meltwater multiplied by the percolation depth and divided by the depth to the ice table. It is plausible that percolation is even more effective during a warmer, wetter climate. Copyright (C) 2009 John Wiley &amp; Sons, Ltd.</t>
  </si>
  <si>
    <t>[Schorghofer, Norbert] Univ Hawaii Manoa, Inst Astron, Honolulu, HI 96822 USA</t>
  </si>
  <si>
    <t>University of Hawaii System; University of Hawaii Manoa</t>
  </si>
  <si>
    <t>Schorghofer, N (corresponding author), Univ Hawaii, Inst Astron, 2680 Woodlawn Dr, Honolulu, HI 96826 USA.</t>
  </si>
  <si>
    <t>norbert@hawaii.edu</t>
  </si>
  <si>
    <t>Schorghofer, Norbert/A-1194-2007</t>
  </si>
  <si>
    <t>Schorghofer, Norbert/0000-0002-5821-4066</t>
  </si>
  <si>
    <t>National Aeronautics and Space Administration [NNA04CC08A]</t>
  </si>
  <si>
    <t>I thank Gary Huss, Chtis McKay and an anonymous reviewer for discussion. This material is based upon work supported by the National Aeronautics and Space Administration through the NASA Astrobiology Institute under Cooperative Agreement No. NNA04CC08A issued through the Office of Space Science.</t>
  </si>
  <si>
    <t>1045-6740</t>
  </si>
  <si>
    <t>1099-1530</t>
  </si>
  <si>
    <t>PERMAFROST PERIGLAC</t>
  </si>
  <si>
    <t>Permafrost Periglacial Process.</t>
  </si>
  <si>
    <t>JUL-SEP</t>
  </si>
  <si>
    <t>10.1002/ppp.646</t>
  </si>
  <si>
    <t>Geography, Physical; Geology</t>
  </si>
  <si>
    <t>496HD</t>
  </si>
  <si>
    <t>WOS:000269959700006</t>
  </si>
  <si>
    <t>Amsler, CD</t>
  </si>
  <si>
    <t>Amsler, C. D.</t>
  </si>
  <si>
    <t>MACROALGAL CHEMICAL ECOLOGY: MICROSCOPIC SPORES TO MAGNIFICENT ANTARCTIC FORESTS</t>
  </si>
  <si>
    <t>[Amsler, C. D.] Univ Alabama, Dept Biol, Birmingham, AL 35294 USA</t>
  </si>
  <si>
    <t>University of Alabama System; University of Alabama Birmingham</t>
  </si>
  <si>
    <t>INT PHYCOLOGICAL SOC</t>
  </si>
  <si>
    <t>NEW BUSINESS OFFICE, PO BOX 1897, LAWRENCE, KS 66044-8897 USA</t>
  </si>
  <si>
    <t>472JN</t>
  </si>
  <si>
    <t>WOS:000268126900011</t>
  </si>
  <si>
    <t>Amsler, MO; Amsler, CD; McClintock, JB; Lopez-Bautista, JM; Peters, AF</t>
  </si>
  <si>
    <t>Amsler, M. O.; Amsler, C. D.; McClintock, J. B.; Lopez-Bautista, J. M.; Peters, A. F.</t>
  </si>
  <si>
    <t>THE SECRET GARDEN: LIFE WITHIN ANTARCTIC MACROALGAE</t>
  </si>
  <si>
    <t>[Amsler, M. O.; Amsler, C. D.; McClintock, J. B.] Univ Alabama, Dept Biol, Birmingham, AL USA; [Amsler, M. O.; Lopez-Bautista, J. M.] Univ Alabama, Dept Biol, Tuscaloosa, AL 35487 USA</t>
  </si>
  <si>
    <t>University of Alabama System; University of Alabama Birmingham; University of Alabama System; University of Alabama Tuscaloosa</t>
  </si>
  <si>
    <t>Lopez-Bautista, Juan M/A-7813-2009</t>
  </si>
  <si>
    <t>WOS:000268126900012</t>
  </si>
  <si>
    <t>Aumack, CF; Amsler, CD; McClintock, JB; Baker, BJ</t>
  </si>
  <si>
    <t>Aumack, C. F.; Amsler, C. D.; McClintock, J. B.; Baker, B. J.</t>
  </si>
  <si>
    <t>IMPACTS OF FILAMENTOUS ALGAL EPIPHYTES/ENDOPHYTES ON MACROALGAL PRODUCTIVITY IN THE WESTERN ANTARCTIC PENINSULA</t>
  </si>
  <si>
    <t>[Aumack, C. F.; Amsler, C. D.; McClintock, J. B.] Univ Alabama, Dept Biol, Birmingham, AL 35294 USA; [Baker, B. J.] Univ S Florida, Dept Chem, Tampa, FL 33620 USA</t>
  </si>
  <si>
    <t>WOS:000268126900017</t>
  </si>
  <si>
    <t>Becker, S; Wiencke, C; Bischof, K</t>
  </si>
  <si>
    <t>Becker, S.; Wiencke, C.; Bischof, K.</t>
  </si>
  <si>
    <t>PHOTOSYNTHESIS AT LOW TEMPERATURES: A CASE STUDY ON THE ANTARCTIC RHODOPHYTE PALMARIA DECIPIENS (REINSCH) RICKER</t>
  </si>
  <si>
    <t>[Becker, S.; Bischof, K.] Univ Bremen, Dept Marine Biol, D-28359 Bremen, Germany; [Wiencke, C.] Alfred Wegener Inst Polar &amp; Marine Res, D-27515 Bremerhaven, Germany</t>
  </si>
  <si>
    <t>University of Bremen; Helmholtz Association; Alfred Wegener Institute, Helmholtz Centre for Polar &amp; Marine Research</t>
  </si>
  <si>
    <t>WOS:000268126900020</t>
  </si>
  <si>
    <t>Bucolo, P; Amsler, CD; McGlintock, JB; Baker, BJ</t>
  </si>
  <si>
    <t>Bucolo, Philip; Amsler, Charles D.; McGlintock, James B.; Baker, Bill J.</t>
  </si>
  <si>
    <t>PHOTOTACTIC RESPONSES OF SWARMERS OF THE ANTARCTIC EPIPHYTE ELACHISTA ANTARCTICA</t>
  </si>
  <si>
    <t>[Bucolo, Philip; Amsler, Charles D.; McGlintock, James B.] Univ Alabama, Birmingham, AL USA; [Baker, Bill J.] Univ S Florida, Tampa, FL 33620 USA</t>
  </si>
  <si>
    <t>WOS:000268126900040</t>
  </si>
  <si>
    <t>Chong, GL; Chu, WL; Othman, RY; Phang, SM</t>
  </si>
  <si>
    <t>Chong, G. L.; Chu, W. L.; Othman, R. Y.; Phang, S. M.</t>
  </si>
  <si>
    <t>DIFFERENTIAL GENE EXPRESSION OF AN ANTARCTIC CHLORELLA IN RESPONSE TO VARIATIONS IN GROWTH TEMPERATURE</t>
  </si>
  <si>
    <t>[Chong, G. L.; Othman, R. Y.; Phang, S. M.] Univ Malaya, Inst Biol Sci, Kuala Lumpur 50603, Malaysia; [Chu, W. L.] Int Med Univ, Kuala Lumpur 57000, Malaysia; [Phang, S. M.] Univ Malaya, IOES, Kuala Lumpur 50603, Malaysia</t>
  </si>
  <si>
    <t>Universiti Malaya; International Medical University Malaysia; Universiti Malaya</t>
  </si>
  <si>
    <t>wanloy_chu@imu.edu.my</t>
  </si>
  <si>
    <t>Phang, Siew Moi/A-7653-2008; Othman, Rofina Yasmin/X-5000-2019</t>
  </si>
  <si>
    <t>Othman, Rofina Yasmin/0000-0003-4932-9889</t>
  </si>
  <si>
    <t>WOS:000268126900059</t>
  </si>
  <si>
    <t>Hajek, J; Kviderova, J; Worland, R; Bartak, M; Elster, J; Vaczi, P</t>
  </si>
  <si>
    <t>Hajek, J.; Kviderova, J.; Worland, R.; Bartak, M.; Elster, J.; Vaczi, P.</t>
  </si>
  <si>
    <t>SNOW ALGAE AND LICHEN ALGAE DIFFER IN THEIR RESISTANCE TO FREEZING TEMPERATURE: AN ICE NUCLEATION STUDY</t>
  </si>
  <si>
    <t>[Hajek, J.; Bartak, M.; Vaczi, P.] Masaryk Univ, Dept Plant Physiol &amp; Anat, Inst Expt Biol, Fac Sci, CS-61137 Brno, Czech Republic; [Kviderova, J.; Elster, J.] Acad Sci Czech Republic, Inst Bot, CS-37982 Trebon, Czech Republic; [Worland, R.] British Antarctic Survey, Nat Environm Res Council, Cambridge CB3 0ET, England</t>
  </si>
  <si>
    <t>Masaryk University Brno; Czech Academy of Sciences; Institute of Botany of the Czech Academy of Sciences; UK Research &amp; Innovation (UKRI); Natural Environment Research Council (NERC); NERC British Antarctic Survey</t>
  </si>
  <si>
    <t>vaczi@sci.muni.cz</t>
  </si>
  <si>
    <t>Elster, Josef/B-1031-2008; Kviderova, Jana/B-1295-2009; Hájek, Josef/F-4694-2019; Barták, Miloš/F-4714-2019; , Peter/AAF-2323-2021</t>
  </si>
  <si>
    <t>Hájek, Josef/0000-0002-2679-1707; , Peter/0000-0003-1200-8934</t>
  </si>
  <si>
    <t>WOS:000268126900106</t>
  </si>
  <si>
    <t>Petrou, K; Doblin, M; Hassler, C; Ralph, P</t>
  </si>
  <si>
    <t>Petrou, K.; Doblin, M.; Hassler, C.; Ralph, P.</t>
  </si>
  <si>
    <t>MULTIPLE STRESSORS ON ANTARCTIC MICROALGAE IMPACTS OF SEASONAL FREEZING AND MELTING OF SEA-ICE</t>
  </si>
  <si>
    <t>[Petrou, K.; Doblin, M.; Ralph, P.] Univ Technol Sydney, Sydney, NSW 2007, Australia; [Hassler, C.] CSIRO Marine &amp; Atmospher Res, Hobart, Tas 7000, Australia</t>
  </si>
  <si>
    <t>University of Technology Sydney; Commonwealth Scientific &amp; Industrial Research Organisation (CSIRO)</t>
  </si>
  <si>
    <t>klpetrou@uts.edu.au</t>
  </si>
  <si>
    <t>Doblin, Martina A/E-8719-2013; Ralph, Peter/L-1527-2019; Doblin, Martina/L-1804-2019</t>
  </si>
  <si>
    <t>Ralph, Peter/0000-0002-3103-7346; Doblin, Martina/0000-0001-8750-3433</t>
  </si>
  <si>
    <t>WOS:000268126900304</t>
  </si>
  <si>
    <t>Jordan, TA; Ferraccioli, F; Jones, PC; Smellie, JL; Ghidella, M; Corr, H</t>
  </si>
  <si>
    <t>Jordan, T. A.; Ferraccioli, F.; Jones, P. C.; Smellie, J. L.; Ghidella, M.; Corr, H.</t>
  </si>
  <si>
    <t>Airborne gravity reveals interior of Antarctic volcano</t>
  </si>
  <si>
    <t>PHYSICS OF THE EARTH AND PLANETARY INTERIORS</t>
  </si>
  <si>
    <t>Airborne gravity; Basaltic volcano; Gravitational spreading; Antarctica</t>
  </si>
  <si>
    <t>JAMES-ROSS-ISLAND; AEROGEOPHYSICAL DATA; SUBDUCTION HISTORY; ICE STREAM; FRAMEWORK; PENINSULA; BENEATH; DEFORMATION; GEOLOGY; SYSTEM</t>
  </si>
  <si>
    <t>Understanding Antarctic volcanoes is important as they provide a window on magmatic and tectonic processes of the Antarctic plate and contain datable records of ice-sheet changes. We present the results from the first detailed airborne radar and gravity surveys across James Ross Island, northern Antarctic Peninsula, which is dominated by Mt Haddington, an ice-covered Miocene-Recent alkaline stratovolcano. The surveys provide new insights into the subsurface structure of the volcano and hence its development, which are unavailable from the surface geology alone. We show that Mt Haddington is associated with a significant negative Bouguer gravity anomaly (&gt;= 26 mGal), which suggests that there has not been significant pooling and solidification of a dense shallow-level mafic magma chamber during the growth of the volcano over at least the past 6 m.y., which is consistent with independent geochemical evidence. Simple flexural isostatic models cannot explain the localised negative Bouguer anomaly. 3D modelling techniques show that the negative anomaly is best explained by a shallow, low-density intra-crustal body with its top close to, or at, the surface. Although comparable gravity anomalies are commonly associated with large (similar to 20 km) ash-filled calderas, as seen at Yellowstone or Toba, there is no geological evidence on James Ross Island for a similar structure. We therefore propose that the James Ross Island volcanic edifice subsided into the thick underlying pile of relatively soft Jurassic and Cretaceous sediments, which were displaced by low-density hyaloclastite breccia. The type of deformation envisaged is similar to that associated with Concepciou, or lwaki volcanoes in South America, although Mt Haddington is much larger. (C) 2009 Elsevier B.V. All rights reserved.</t>
  </si>
  <si>
    <t>[Jordan, T. A.; Ferraccioli, F.; Jones, P. C.; Smellie, J. L.; Corr, H.] British Antarctic Survey, Cambridge CB3 0ET, England; [Jones, P. C.] ARKeX Ltd, Cambridge CB4 0WZ, England; [Ghidella, M.] Inst Antartico Argentino Cerrito 1248, RA-1010 Buenos Aires, DF, Argentina</t>
  </si>
  <si>
    <t>UK Research &amp; Innovation (UKRI); Natural Environment Research Council (NERC); NERC British Antarctic Survey; Instituto Antartico Argentino</t>
  </si>
  <si>
    <t>Jordan, TA (corresponding author), British Antarctic Survey, High Cross,Madingley Rd, Cambridge CB3 0ET, England.</t>
  </si>
  <si>
    <t>tomj@bas.ac.uk</t>
  </si>
  <si>
    <t>Corr, Hugh/C-5398-2011</t>
  </si>
  <si>
    <t>Jordan, Tom/0000-0003-2780-1986; Ferraccioli, Fausto/0000-0002-9347-4736</t>
  </si>
  <si>
    <t>Instituto Antartico Argentino; NERC [bas010019] Funding Source: UKRI; Natural Environment Research Council [bas010019] Funding Source: researchfish</t>
  </si>
  <si>
    <t>Instituto Antartico Argentino; NERC(UK Research &amp; Innovation (UKRI)Natural Environment Research Council (NERC)); Natural Environment Research Council(UK Research &amp; Innovation (UKRI)Natural Environment Research Council (NERC))</t>
  </si>
  <si>
    <t>This work is a spin-off from a British Antarctic Survey multidisciplinary investigation that seeks to investigate climate change in Neogene time (ISODYN Project-Icehouse Earth: Stability or Dynamism?). We acknowledge the Instituto Antartico Argentino for providing logistical support for the aerogeophysical survey from Marambio and particularly Pedro Skvarca for help with the airborne radar data. Julie Ferris is thanked for flying the airborne magnetic and gravity survey and we also thank our pilot Giles Wilson from the BAS Air Unit.</t>
  </si>
  <si>
    <t>0031-9201</t>
  </si>
  <si>
    <t>1872-7395</t>
  </si>
  <si>
    <t>PHYS EARTH PLANET IN</t>
  </si>
  <si>
    <t>Phys. Earth Planet. Inter.</t>
  </si>
  <si>
    <t>10.1016/j.pepi.2009.03.004</t>
  </si>
  <si>
    <t>456IA</t>
  </si>
  <si>
    <t>WOS:000266836900004</t>
  </si>
  <si>
    <t>de Bruyn, M; Hall, BL; Chauke, LF; Baroni, C; Koch, PL; Hoelzel, AR</t>
  </si>
  <si>
    <t>de Bruyn, Mark; Hall, Brenda L.; Chauke, Lucas F.; Baroni, Carlo; Koch, Paul L.; Hoelzel, A. Rus</t>
  </si>
  <si>
    <t>Rapid Response of a Marine Mammal Species to Holocene Climate and Habitat Change</t>
  </si>
  <si>
    <t>PLOS GENETICS</t>
  </si>
  <si>
    <t>SOUTHERN ELEPHANT SEALS; TERRA-NOVA BAY; BAYESIAN COALESCENT INFERENCE; TIME DEPENDENCY; ANCIENT DNA; MITOCHONDRIAL-DNA; POPULATION-GROWTH; VICTORIA LAND; MTDNA VARIATION; RATES</t>
  </si>
  <si>
    <t>Environmental change drives demographic and evolutionary processes that determine diversity within and among species. Tracking these processes during periods of change reveals mechanisms for the establishment of populations and provides predictive data on response to potential future impacts, including those caused by anthropogenic climate change. Here we show how a highly mobile marine species responded to the gain and loss of new breeding habitat. Southern elephant seal, Mirounga leonina, remains were found along the Victoria Land Coast (VLC) in the Ross Sea, Antarctica, 2,500 km from the nearest extant breeding site on Macquarie Island (MQ). This habitat was released after retreat of the grounded ice sheet in the Ross Sea Embayment 7,500-8,000 cal YBP, and is within the range of modern foraging excursions from the MQ colony. Using ancient mtDNA and coalescent models, we tracked the population dynamics of the now extinct VLC colony and the connectivity between this and extant breeding sites. We found a clear expansion signal in the VLC population similar to 8,000 YBP, followed by directional migration away from VLC and the loss of diversity at similar to 1,000 YBP, when sea ice is thought to have expanded. Our data suggest that VLC seals came initially from MQ and that some returned there once the VLC habitat was lost, similar to 7,000 years later. We track the founder-extinction dynamics of a population from inception to extinction in the context of Holocene climate change and present evidence that an unexpectedly diverse, differentiated breeding population was founded from a distant source population soon after habitat became available.</t>
  </si>
  <si>
    <t>[de Bruyn, Mark; Hoelzel, A. Rus] Univ Durham, Sch Biol Sci, Durham, England; [Hall, Brenda L.] Univ Maine, Climate Change Inst, Orono, ME USA; [Hall, Brenda L.] Univ Maine, Dept Earth Sci, Orono, ME USA; [Chauke, Lucas F.] Univ Pretoria, Mammal Res Inst, Dept Zool &amp; Entomol, ZA-0002 Pretoria, South Africa; [Baroni, Carlo] Univ Pisa, Dipartimento Sci Terra, Pisa, Italy; [Koch, Paul L.] Univ Calif Santa Cruz, Dept Earth &amp; Planetary Sci, Santa Cruz, CA 95064 USA</t>
  </si>
  <si>
    <t>Durham University; University of Maine System; University of Maine Orono; University of Maine System; University of Maine Orono; University of Pretoria; University of Pisa; University of California System; University of California Santa Cruz</t>
  </si>
  <si>
    <t>de Bruyn, M (corresponding author), Bangor Univ, Sch Biol Sci, Bangor, Gwynedd, Wales.</t>
  </si>
  <si>
    <t>markus.debruyn@gmail.com; a.r.hoelzel@dur.ac.uk</t>
  </si>
  <si>
    <t>Baroni, Carlo/D-8184-2012; de Bruyn, Mark/C-5568-2008</t>
  </si>
  <si>
    <t>Baroni, Carlo/0000-0001-5905-4650; de Bruyn, Mark/0000-0003-1528-9604</t>
  </si>
  <si>
    <t>National Science Foundation; Italian National Program on Antarctic Research (PNRA)</t>
  </si>
  <si>
    <t>National Science Foundation(National Science Foundation (NSF)); Italian National Program on Antarctic Research (PNRA)(Ministry of Education, Universities and Research (MIUR))</t>
  </si>
  <si>
    <t>This research was funded by the Office of Polar Programs of the National Science Foundation and with the support of the Italian National Program on Antarctic Research (PNRA). The funders had no role in study design, data collection and analysis, decision to publish, or preparation of the</t>
  </si>
  <si>
    <t>1553-7404</t>
  </si>
  <si>
    <t>PLOS GENET</t>
  </si>
  <si>
    <t>PLoS Genet.</t>
  </si>
  <si>
    <t>e1000554</t>
  </si>
  <si>
    <t>10.1371/journal.pgen.1000554</t>
  </si>
  <si>
    <t>486SZ</t>
  </si>
  <si>
    <t>Green Submitted, Green Published, Green Accepted, gold</t>
  </si>
  <si>
    <t>WOS:000269219500031</t>
  </si>
  <si>
    <t>Roberts, P; Newsham, KK; Bardgett, RD; Farrar, JF; Jones, DL</t>
  </si>
  <si>
    <t>Roberts, Paula; Newsham, Kevin K.; Bardgett, Richard D.; Farrar, John F.; Jones, David L.</t>
  </si>
  <si>
    <t>Vegetation cover regulates the quantity, quality and temporal dynamics of dissolved organic carbon and nitrogen in Antarctic soils</t>
  </si>
  <si>
    <t>Biogeochemistry; Climate change; Dissolved organic matter; Population expansion; Polar regions; Signy Island</t>
  </si>
  <si>
    <t>AMINO-ACIDS; CLIMATE-CHANGE; MARITIME ANTARCTICA; FALKLAND ISLANDS; VASCULAR PLANTS; ACQUISITION; MICROBES; RHIZOSPHERE; POPULATION; ECOSYSTEMS</t>
  </si>
  <si>
    <t>Populations of the two native Antarctic vascular plant species (Deschampsia antarctica and Colobanthus quitensis) have expanded rapidly in recent decades, yet little is known about the effects of these expansions on soil nutrient cycling. We measured the concentrations of dissolved organic carbon (DOC) and nitrogen (DON), amino acids and inorganic N in soils under these two vascular plant species, and under mosses and lichens, over a growing season at Signy Island in the maritime Antarctic. We recorded higher concentrations of nitrate, total dissolved nitrogen, DOC, DON and free amino acids in soil under D. antarctica and C. quitensis than in lichen or moss dominated soils. Each vegetation cover gave a unique profile of individual free amino acids in soil solution. Significant interactions between soil type and time were found for free amino acid concentrations and C/N ratios, indicating that vascular plants significantly change the temporal dynamics of N mineralization and immobilization. We conclude that D. antarctica and C. quitensis exert a significant influence over C and N cycling in the maritime Antarctic, and that their recent population expansion will have led to significant changes in the amount, type and rate of organic C and N cycling in soil.</t>
  </si>
  <si>
    <t>[Roberts, Paula; Jones, David L.] Bangor Univ, Sch Environm &amp; Nat Resources, Bangor LL57 2UW, Gwynedd, Wales; [Newsham, Kevin K.] NERC, Cambridge CB03 0ET, England; [Bardgett, Richard D.] Univ Lancaster, Dept Biol Sci, Lancaster LA1 4YQ, England; [Farrar, John F.] Bangor Univ, Sch Biol Sci, Bangor LL57 2UW, Gwynedd, Wales</t>
  </si>
  <si>
    <t>Bangor University; UK Research &amp; Innovation (UKRI); Natural Environment Research Council (NERC); NERC British Antarctic Survey; Lancaster University; Bangor University</t>
  </si>
  <si>
    <t>Jones, DL (corresponding author), Bangor Univ, Sch Environm &amp; Nat Resources, Deiniol Rd, Bangor LL57 2UW, Gwynedd, Wales.</t>
  </si>
  <si>
    <t>d.jones@bangor.ac.uk</t>
  </si>
  <si>
    <t>jones, davey/C-7411-2011; Jones, Davey/AAD-6037-2020; Roberts, Paula/B-4564-2011; Newsham, Kevin K/C-4192-2011</t>
  </si>
  <si>
    <t>jones, davey/0000-0002-1482-4209;</t>
  </si>
  <si>
    <t>Natural Environment Research Council's Antarctic Funding Initiative [NER/G/S/2003/00008]; Natural Environment Research Council [NER/G/S/2003/00008] Funding Source: researchfish</t>
  </si>
  <si>
    <t>Natural Environment Research Council's Antarctic Funding Initiative; Natural Environment Research Council(UK Research &amp; Innovation (UKRI)Natural Environment Research Council (NERC))</t>
  </si>
  <si>
    <t>This research was funded by the Natural Environment Research Council's Antarctic Funding Initiative scheme (NER/G/S/2003/00008). Support from the crew of RRS Ernest Shackleton and the BAS Logistics Section is gratefully acknowledged. Peter Rothery of CEH Monks Wood gave valuable statistical advice. Professor Sieglinde Ott and an anonymous referee provided helpful comments.</t>
  </si>
  <si>
    <t>10.1007/s00300-009-0599-0</t>
  </si>
  <si>
    <t>457FQ</t>
  </si>
  <si>
    <t>WOS:000266914300005</t>
  </si>
  <si>
    <t>Gomes, V; Passos, MJACR; Leme, NMP; Santos, TCA; Campos, DYF; Hasue, FM; Phan, V</t>
  </si>
  <si>
    <t>Gomes, Vicente; Passos, Maria Jose A. C. R.; Leme, Neusa M. P.; Santos, Thais C. A.; Campos, Debora Y. F.; Hasue, Fabio M.; Phan, Van Ngan</t>
  </si>
  <si>
    <t>Photo-induced toxicity of anthracene in the Antarctic shallow water amphipod, Gondogeneia antarctica</t>
  </si>
  <si>
    <t>UV-radiation; Anthracene; PAH; Phototoxicity; Antarctic amphipod</t>
  </si>
  <si>
    <t>POLYCYCLIC AROMATIC-HYDROCARBONS; KING-GEORGE ISLAND; UV-RADIATION; DNA-DAMAGE; ADMIRALTY BAY; GREEN-ALGA; POLYCHLORINATED-BIPHENYLS; SEWAGE POLLUTION; SOLAR-RADIATION; IN-VITRO</t>
  </si>
  <si>
    <t>The photo-induced toxicity of anthracene was investigated as the mortality in Antarctic shallow water amphipod, Gondogeneia antarctica, at different concentrations of anthracene and different periods of exposure to natural sunlight and artificial UVA and UVB radiations. When exposed to natural sunlight, animals contaminated in the dark and placed in clean water or in anthracene solutions showed different degrees of mortality, dose-time dependent. Effects were even more evident when these animals were exposed to artificial UVA or UVB radiations. Depuration seemed to be a slow process. The effects of UV radiation and anthracene alone and the effects of the interactions of these two stressors implied that solar radiation is an important parameter that deserves consideration in the environmental assessment of polycyclic aromatic hydrocarbons in Antarctic coastal waters. G. antarctica proved to be a good bioindicator for the phototoxicity of anthracene in Antarctic shallow waters.</t>
  </si>
  <si>
    <t>[Gomes, Vicente; Passos, Maria Jose A. C. R.; Santos, Thais C. A.; Campos, Debora Y. F.; Hasue, Fabio M.; Phan, Van Ngan] Univ Sao Paulo, Inst Oceanog, BR-05508900 Sao Paulo, SP, Brazil; [Leme, Neusa M. P.] Inst Nacl Pesquisas Espaciais, BR-12227010 Sao Jose Dos Campos, SP, Brazil</t>
  </si>
  <si>
    <t>Universidade de Sao Paulo; Instituto Nacional de Pesquisas Espaciais (INPE)</t>
  </si>
  <si>
    <t>Gomes, V (corresponding author), Univ Sao Paulo, Inst Oceanog, Cidade Univ, BR-05508900 Sao Paulo, SP, Brazil.</t>
  </si>
  <si>
    <t>vicgomes@usp.br</t>
  </si>
  <si>
    <t>Gomes, Vicente/C-5880-2015</t>
  </si>
  <si>
    <t>Gomes, Vicente/0000-0001-8201-2301</t>
  </si>
  <si>
    <t>CNPq-PROANTAR</t>
  </si>
  <si>
    <t>CNPq-PROANTAR(Conselho Nacional de Desenvolvimento Cientifico e Tecnologico (CNPQ))</t>
  </si>
  <si>
    <t>We wish to thank the Programa Antartico Brasileiro (CNPq-PROANTAR) for its financial support, the Secretaria da Comissao Interministerial para os Recursos do Mar (SECIRM), the Instituto Oceanogrfico da Universidade de Sao Paulo (IOUSP) and the Instituto Nacional de Pesquisas Espaciais (INPE) for their logistic support. We also wish to thank Dr. M. Riddle of the Australian Antarctic Division and Dr. B. Obermuller of the British Antarctic Survey for their very constructive comments and valuable suggestions. We are grateful to Dr. Arthur Jose da Silva Rocha and MSc. Alex Sander Dias Machado for their assistance. We are also grateful to the Brazilian Antarctic Station Comandante Ferraz for their assistance and hospitality.</t>
  </si>
  <si>
    <t>10.1007/s00300-009-0600-y</t>
  </si>
  <si>
    <t>WOS:000266914300006</t>
  </si>
  <si>
    <t>Sutherland, DL</t>
  </si>
  <si>
    <t>Sutherland, Donna L.</t>
  </si>
  <si>
    <t>Microbial mat communities in response to recent changes in the physiochemical environment of the meltwater ponds on the McMurdo Ice Shelf, Antarctica</t>
  </si>
  <si>
    <t>BIO-ENV analysis; Cyanobacteria; Microbial mats; Antarctica; Physiochemical properties</t>
  </si>
  <si>
    <t>CYANOBACTERIAL MATS; DIATOM FLORA; ROSS-ISLAND; DIVERSITY; LAKES; CHEMISTRY; BIOMASS</t>
  </si>
  <si>
    <t>In spite of their dominance in meltwater environments in the Polar Regions, little is known about conditions that control community structure and production in microbial mats. Microbial mats were sampled at 13 recently separated ponds on the McMurdo Ice Shelf, Antarctica, with the aim to determine microbial mat community response to shifts in deterministic processes. Community structure in ponds of different size classes responded to different environmental variables, with conductivity as a common theme. Biomass and net oxygen exchange did not vary across the pond conditions and may reflect the very slow turnover rates characteristic of Antarctic microbial communities. Microbial mat communities on the MIS appear unresponsive to large intra-annual variability, while the long-term inter-annual physiochemical environment of the overlying appears to be influencing the community dynamics.</t>
  </si>
  <si>
    <t>Natl Inst Water &amp; Atmospher Res, Christchurch, New Zealand</t>
  </si>
  <si>
    <t>Sutherland, DL (corresponding author), Natl Inst Water &amp; Atmospher Res, POB 8602, Christchurch, New Zealand.</t>
  </si>
  <si>
    <t>d.sutherland@niwa.co.nz</t>
  </si>
  <si>
    <t>Sutherland, Donna/0000-0002-2119-1120</t>
  </si>
  <si>
    <t>New Zealand Foundation for Research, Science and Technology [CO1605]; Antarctica New Zealand</t>
  </si>
  <si>
    <t>New Zealand Foundation for Research, Science and Technology(New Zealand Foundation for Research, Science and Technology); Antarctica New Zealand</t>
  </si>
  <si>
    <t>This study was funded and supported by the New Zealand Foundation for Research, Science and Technology (CO1605) and Antarctica New Zealand. Ian Hawes is thanked for his assistance in the field. Map and pond diagram was prepared by Greg Kelly. Dr. Clive Howard-Williams and three anonymous reviews provided useful comments that helped strengthen this manuscript.</t>
  </si>
  <si>
    <t>10.1007/s00300-009-0601-x</t>
  </si>
  <si>
    <t>WOS:000266914300007</t>
  </si>
  <si>
    <t>Luo, H; Yamamoto, Y; Kim, JA; Jung, JS; Koh, YJ; Hur, JS</t>
  </si>
  <si>
    <t>Luo, Heng; Yamamoto, Yoshikazu; Kim, Jung A.; Jung, Jae Sung; Koh, Young Jin; Hur, Jae-Seoun</t>
  </si>
  <si>
    <t>Lecanoric acid, a secondary lichen substance with antioxidant properties from Umbilicaria antarctica in maritime Antarctica (King George Island)</t>
  </si>
  <si>
    <t>Antarctic lichens; Antioxidant activity; Bioresources; Lecanoric acid; Umbilicaria antarctica</t>
  </si>
  <si>
    <t>SYSTEMS</t>
  </si>
  <si>
    <t>Eight lichen species, Cetraria aculeata, Cladonia furcata, Pseudephebe pubescens, Sphaerophorus globosus, Stereocaulon alpinum, Umbilicaria antarctica, Usnea antarctica and Usnea aurantiacoatra, were collected from King George Island, maritime Antarctica, for the evaluation of antioxidant activities. Anti-linoleic acid peroxidation activity, free radical scavenging activity, reducing power and superoxide anion scavenging activity were assessed of methanol and acetone extract of the lichens in vitro. Extract of Umbilicaria antarctica, Cladonia furcata, Sphaerophorus globosus and Usnea antarctica were found to have strong in vitro antioxidant properties. In general, acetone extract exhibited stronger activities than methanol extract. The activity-guided bioautographic TLC and HPLC analysis demonstrated that lecanoric acid was the main antioxidant compound in the acetone extract of Umbilicaria antarctica, the most potent antioxidant lichen species among the test species. The results suggested that several Antarctic lichens and their substances can be used as novel bioresources of natural antioxidants.</t>
  </si>
  <si>
    <t>[Luo, Heng; Kim, Jung A.; Jung, Jae Sung; Koh, Young Jin; Hur, Jae-Seoun] Sunchon Natl Univ, Korean Lichen Res Inst, Sunchon 540742, Jeonnam, South Korea; [Yamamoto, Yoshikazu] Akita Prefectural Univ, Fac Bioresource Sci, Dept Biol Prod, Akita 0100195, Japan</t>
  </si>
  <si>
    <t>Sunchon National University; Akita Prefectural University</t>
  </si>
  <si>
    <t>Hur, JS (corresponding author), Sunchon Natl Univ, Korean Lichen Res Inst, 315 Mae Gok Dong, Sunchon 540742, Jeonnam, South Korea.</t>
  </si>
  <si>
    <t>jshur1@sunchon.ac.kr</t>
  </si>
  <si>
    <t>Korea National Research Resource Center Program [R21-2007-000-10033-0]; P-Science Program [R01-2006-000-11055-0]; Korean Science and Engineering Foundation (KOSEF), Korea</t>
  </si>
  <si>
    <t>Korea National Research Resource Center Program; P-Science Program; Korean Science and Engineering Foundation (KOSEF), Korea(Korea Science and Engineering Foundation)</t>
  </si>
  <si>
    <t>We thank three anonymous referees for their valuable comments and suggestions for improvement of our manuscript. This work was supported by a grant from Korea National Research Resource Center Program (Grant R21-2007-000-10033-0) and also by P-Science Program (R01-2006-000-11055-0), Korean Science and Engineering Foundation (KOSEF), Korea.</t>
  </si>
  <si>
    <t>10.1007/s00300-009-0602-9</t>
  </si>
  <si>
    <t>WOS:000266914300008</t>
  </si>
  <si>
    <t>Meiners, KM; Papadimitriou, S; Thomas, DN; Norman, L; Dieckmann, GS</t>
  </si>
  <si>
    <t>Meiners, Klaus Martin; Papadimitriou, S.; Thomas, D. N.; Norman, L.; Dieckmann, G. S.</t>
  </si>
  <si>
    <t>Biogeochemical conditions and ice algal photosynthetic parameters in Weddell Sea ice during early spring</t>
  </si>
  <si>
    <t>Sea ice; Antarctic; Weddell Sea; Biogeochemistry; PAM; Photosynthesis; Ice algae</t>
  </si>
  <si>
    <t>ANTARCTIC PACK-ICE; NITROGEN UPTAKE; SOUTHERN-OCEAN; MICROALGAE; POLAR; PHYTOPLANKTON; COMMUNITIES; TEMPERATURE; DIATOMS; GROWTH</t>
  </si>
  <si>
    <t>Physical, biogeochemical and photosynthetic parameters were measured in sea ice brine and ice core bottom samples in the north-western Weddell Sea during early spring 2006. Sea ice brines collected from sackholes were characterised by cold temperatures (range -7.4 to -3.8A degrees C), high salinities (range 61.4-118.0), and partly elevated dissolved oxygen concentrations (range 159-413 mu mol kg(-1)) when compared to surface seawater. Nitrate (range 0.5-76.3 mu mol kg(-1)), dissolved inorganic phosphate (range 0.2-7.0 mu mol kg(-1)) and silicic acid (range 74-285 mu mol kg(-1)) concentrations in sea ice brines were depleted when compared to surface seawater. In contrast, NH(4) (+) (range 0.3-23.0 mu mol kg(-1)) and dissolved organic carbon (range 140-707 mu mol kg(-1)) were enriched in the sea ice brines. Ice core bottom samples exhibited moderate temperatures and brine salinities, but high algal biomass (4.9-435.5 mu g Chl a l(-1) brine) and silicic acid depletion. Pulse amplitude modulated fluorometry was used for the determination of the photosynthetic parameters F (v)/F (m), alpha, rETR(max) and E (k). The maximum quantum yield of photosystem II, F (v)/F (m), ranged from 0.101 to 0.500 (average 0.284 +/- A 0.132) and 0.235 to 0.595 (average 0.368 +/- A 0.127) in the sea ice internal and bottom communities, respectively. The fluorometric measurements indicated medium ice algal photosynthetic activity both in the internal and bottom communities of the sea ice. An observed lack of correlation between biogeochemical and photosynthetic parameters was most likely due to temporally and spatially decoupled physical and biological processes in the sea ice brine channel system, and was also influenced by the temporal and spatial resolution of applied sampling techniques.</t>
  </si>
  <si>
    <t>[Meiners, Klaus Martin] Antarctic Climate &amp; Ecosyst Cooperat Res Ctr, Hobart, Tas 7001, Australia; [Papadimitriou, S.; Thomas, D. N.; Norman, L.] Bangor Univ, Sch Ocean Sci, Coll Nat Sci, Menai Bridge LL59 5AB, Anglesey, Wales; [Dieckmann, G. S.] Alfred Wegener Inst Polar &amp; Marine Res, D-27515 Bremerhaven, Germany</t>
  </si>
  <si>
    <t>Antarctic Climate &amp; Ecosystems Cooperative Research Centre (ACE CRC); Bangor University; Helmholtz Association; Alfred Wegener Institute, Helmholtz Centre for Polar &amp; Marine Research</t>
  </si>
  <si>
    <t>Meiners, KM (corresponding author), Antarctic Climate &amp; Ecosyst Cooperat Res Ctr, Private Bag 80, Hobart, Tas 7001, Australia.</t>
  </si>
  <si>
    <t>klaus.meiners@acecrc.org.au</t>
  </si>
  <si>
    <t>Dieckmann, Gerhard S/B-4307-2010; Thomas, David Neville/B-1448-2010</t>
  </si>
  <si>
    <t>Thomas, David Neville/0000-0001-8832-5907; Papadimitriou, Stathys/0000-0001-8540-1169</t>
  </si>
  <si>
    <t>Australian Government's Cooperative Research Centre; Natural Environment Research Council [NER/A/S/2003/00340] Funding Source: researchfish</t>
  </si>
  <si>
    <t>Australian Government's Cooperative Research Centre(Australian GovernmentDepartment of Industry, Innovation and ScienceCooperative Research Centres (CRC) Programme); Natural Environment Research Council(UK Research &amp; Innovation (UKRI)Natural Environment Research Council (NERC))</t>
  </si>
  <si>
    <t>We thank the captain and crew of RV Polarstern for their cooperation during cruise ANT XXIII-7, as well as those who supported our work in the field. Our laboratory work on the ship was supported by E. Allhusen, C. Uhlig, M. Kramer and R. Kiko. We thank M. Raateoja, K. Ryan and an anonymous reviewer for their helpful comments on an earlier draft of the manuscript. The work of DNT, LN and SP was funded by NERC, UK. This work was supported by the Australian Government's Cooperative Research Centre program through the Antarctic Climate and Ecosystems Cooperative Research Centre (ACE CRC).</t>
  </si>
  <si>
    <t>10.1007/s00300-009-0605-6</t>
  </si>
  <si>
    <t>WOS:000266914300011</t>
  </si>
  <si>
    <t>Cerrano, C; Bertolino, M; Valisano, L; Bavestrello, G; Calcinai, B</t>
  </si>
  <si>
    <t>Cerrano, Carlo; Bertolino, Marco; Valisano, Laura; Bavestrello, Giorgio; Calcinai, Barbara</t>
  </si>
  <si>
    <t>Epibiotic demosponges on the Antarctic scallop Adamussium colbecki (Smith, 1902) and the cidaroid urchins Ctenocidaris perrieri Koehler, 1912 in the nearshore habitats of the Victoria Land, Ross Sea, Antarctica</t>
  </si>
  <si>
    <t>Sponges; Epibiosis; Bivalves; Echinoderms; Species diversity; Living substrata</t>
  </si>
  <si>
    <t>MCMURDO SOUND; SPONGES; BENTHOS; BIODIVERSITY; DIVERSITY; BIVALVIA; PORIFERA; MOLLUSCA; ECOLOGY; BIOLOGY</t>
  </si>
  <si>
    <t>The importance of epibiosis in Antarctic benthic communities is highlighted here considering the specific diversity of sponges living on shells of the scallop Adamussium colbecki and on spines of the cidaroid urchin Ctenocidaris perrieri. Scallops are from three different areas along the Victoria Land [Tethys Bay (TB), New Harbour (NH), Dunlop Island (DI)], while cidaroid urchins are from NH but not present in the two other stations. Homaxinella balfourensis is the commonest species both on the scallops and cidaroid urchins. Other common species on scallops are Myxilla (Myxilla) asigmata, Lissodendoryx (Ectyodoryx) nobilis and Iophon unicorne at NH, Iophon unicorne at DI, and Iophon radiatum, Haliclona sp. 1, Iophon unicorne and Lissodendoryx (Ectyodoryx) nobilis at TB. The highest number of sponge species we found on a single scallop was ten and the sample was collected at NH. On the spines of C. perrieri, Isodictya erinacea, Iophon unicorne and Haliclona (Rhizoniera) dancoi are present too. A. colbecki and C. perrieri, generally living on soft bottoms, represent important substrata for several sponge species. In this way, sponges may increase their dispersal exploiting valves and spines as stepping stones.</t>
  </si>
  <si>
    <t>[Cerrano, Carlo; Valisano, Laura] Univ Genoa, Dipartimento Studio Terr &amp; Sue Risorse, I-16132 Genoa, Italy; [Bertolino, Marco; Bavestrello, Giorgio; Calcinai, Barbara] Univ Politecn Marche, Dipartimento Sci Mare, I-60131 Ancona, Italy</t>
  </si>
  <si>
    <t>University of Genoa; Marche Polytechnic University</t>
  </si>
  <si>
    <t>Cerrano, C (corresponding author), Univ Genoa, Dipartimento Studio Terr &amp; Sue Risorse, Corso Europa 26, I-16132 Genoa, Italy.</t>
  </si>
  <si>
    <t>cerrano@dipteris.unige.it</t>
  </si>
  <si>
    <t>Cerrano, Carlo/AAF-3557-2019; Bavestrello, Giorgio/JXN-5230-2024</t>
  </si>
  <si>
    <t>Cerrano, Carlo/0000-0001-9580-5546; BERTOLINO, Marco/0000-0003-3233-303X</t>
  </si>
  <si>
    <t>PNRA (Italian Antarctic Research Programme); New Zealand Ministry of Fisheries [ZBD200201]</t>
  </si>
  <si>
    <t>PNRA (Italian Antarctic Research Programme); New Zealand Ministry of Fisheries</t>
  </si>
  <si>
    <t>This research has been carried out thanks to the financial support of PNRA (Italian Antarctic Research Programme) fund of Italian Government and the New Zealand Ministry of Fisheries, project ZBD200201. The authors wish to thank Antarctica New Zealand for logistical support, in particular the whole staff of the K081 event. Thanks also to Riccardo Cattaneo-Vietti (Genoa University) for the opportunity offered to CC to participate in the expedition.</t>
  </si>
  <si>
    <t>10.1007/s00300-009-0606-5</t>
  </si>
  <si>
    <t>WOS:000266914300012</t>
  </si>
  <si>
    <t>Lorenzini, S; Olmastroni, S; Pezzo, F; Salvatore, MC; Baroni, C</t>
  </si>
  <si>
    <t>Lorenzini, Sandra; Olmastroni, Silvia; Pezzo, Francesco; Salvatore, Maria Cristina; Baroni, Carlo</t>
  </si>
  <si>
    <t>Holocene Adelie penguin diet in Victoria Land, Antarctica</t>
  </si>
  <si>
    <t>Adelie penguin; Ornithogenic soils; Prey remains; Paleodiet; Victoria Land</t>
  </si>
  <si>
    <t>TERRA-NOVA BAY; SOUTHERN ROSS SEA; SILVERFISH PLEURAGRAMMA-ANTARCTICUM; NORTHERN MARGUERITE BAY; MARITIME ANTARCTICA; ORNITHOGENIC SOILS; MIROUNGA-LEONINA; EAST ANTARCTICA; ELEPHANT SEALS; CLIMATE-CHANGE</t>
  </si>
  <si>
    <t>Ornithogenic soils (N = 97) dated up to 7000 Before Present (Ebp) were sampled in 16 relict and modern breeding colonies of Ad,lie penguin along the Victoria Land coast (Ross Sea, Antarctica). Taxonomic identification of fish otoliths (N = 677) recovered in these soils allowed to identify the Antarctic silverfish as the most eaten prey (90.1%) throughout the investigated period. A morphometric analysis of the otoliths revealed that the Ad,lie penguin primarily selected prey averaging 67.23 +/- A 23 mm of standard length. Temporal distribution of Pleuragramma antarcticum showed a peak between 2,000 and 4,000 years bp, a period corresponding to the maximum spread of Ad,lie penguin in the Victoria Land. Possible explanations of the variations of the abundance of the fish prey in the diet are discussed in the context of the paleoclimatic events and as possible consequences of dietary shifts due to the temporal variation of prey availability in the Ross Sea ecosystem.</t>
  </si>
  <si>
    <t>[Lorenzini, Sandra; Baroni, Carlo] Univ Pisa, Dipartimento Sci Terra, I-56126 Pisa, Italy; [Olmastroni, Silvia; Pezzo, Francesco] Univ Siena, Dipartimento Sci Ambientali G Sarfatti, I-53100 Siena, Italy; [Salvatore, Maria Cristina] Univ Roma La Sapienza, Dipartimento Sci Terra, I-00185 Rome, Italy</t>
  </si>
  <si>
    <t>University of Pisa; University of Siena; Sapienza University Rome</t>
  </si>
  <si>
    <t>Lorenzini, S (corresponding author), Univ Pisa, Dipartimento Sci Terra, Via S Maria 53, I-56126 Pisa, Italy.</t>
  </si>
  <si>
    <t>lorenzini@dst.unipi.it; olmastroni@unisi.it; pezzo@unisi.it; mariacristina.salvatore@uniroma1.it; baroni@dst.unipi.it</t>
  </si>
  <si>
    <t>Lorenzini, Sandra/B-8963-2013; Baroni, Carlo/D-8184-2012; Pezzo, Francesco/JKJ-1816-2023; Salvatore, Maria Cristina/AAS-4000-2020; OLMASTRONI, Silvia/G-6267-2018</t>
  </si>
  <si>
    <t>Baroni, Carlo/0000-0001-5905-4650; Pezzo, Francesco/0000-0003-4437-3805; Salvatore, Maria Cristina/0000-0002-1590-7284; OLMASTRONI, Silvia/0000-0002-9319-9914</t>
  </si>
  <si>
    <t>University of Pisa</t>
  </si>
  <si>
    <t>This work was executed within the framework of the Italian National Program on Antarctic Research (PNRA) and was financially supported by joint research programs in geology at the University of Pisa. The authors thank Fabrizio Ciampolini (University of Siena) for scanning electron micrographs, Silvano Focardi head of the laboratories at the Department of Environmental Science (University of Siena) where the morphometric analyses were performed. David Lambert, Grant Ballard and one anonymous referee greatly improved an earlier version of the manuscript.</t>
  </si>
  <si>
    <t>10.1007/s00300-009-0607-4</t>
  </si>
  <si>
    <t>WOS:000266914300013</t>
  </si>
  <si>
    <t>Wienecke, B; Pedersen, P</t>
  </si>
  <si>
    <t>Wienecke, Barbara; Pedersen, Peter</t>
  </si>
  <si>
    <t>Population estimates of emperor penguins at Amanda Bay, Ingrid Christensen Coast, Antarctica</t>
  </si>
  <si>
    <t>APTENODYTES-FORSTERI; COLONIES</t>
  </si>
  <si>
    <t>In 2008, the emperor penguin Aptenodytes forsteri colony at Amanda Bay, East Antarctica, was designated an Antarctic Specially Protected Area by the 31st Antarctic Treaty Consultative Meeting in Kyiv, Ukraine. It is only the third emperor penguin colony in the Australian Antarctic Territory to receive this status. The colony has been known to exist since 1956 and numerous visits have been made to it, especially by personnel from Australia's Davis station. On a number of occasions, attempts were made to estimate the number of birds in the colony in order to obtain an insight into the size of the breeding Population. Here we report on the history of visitation to the colony since the 1950s and examine the quality of information collected with regard to the usefulness of this information in terms of population analyses. We also report the results of the first visit to the Amanda Bay colony made in winter with the specific purpose of estimating the number of birds present and of highlighting the need for long term monitoring programmes to assess the viability of emperor penguins in future.</t>
  </si>
  <si>
    <t>[Wienecke, Barbara; Pedersen, Peter] Australian Antarctic Div, Kingston, Tas 7050, Australia</t>
  </si>
  <si>
    <t>10.1017/S0032247408007985</t>
  </si>
  <si>
    <t>461IU</t>
  </si>
  <si>
    <t>WOS:000267259600002</t>
  </si>
  <si>
    <t>Adie, S; Basberg, BL</t>
  </si>
  <si>
    <t>Adie, Susan; Basberg, Bjorn L.</t>
  </si>
  <si>
    <t>The first Antarctic whaling season of Admiralen (1905-1906): the diary of Alexander Lange</t>
  </si>
  <si>
    <t>The first factory ship of the so-called modern era of Antarctic whaling was Admiralen, arriving together with two smaller catcher boats in the South Shetland Islands in January 1906, after a period of whaling in the Falkland Islands. The expedition leader was Alexander Lange, a Norwegian whaler with a long experience from whaling in northern Norway and Spitsbergen. He kept a diary for a considerable period and this covered several whaling voyages. The one dealing with the pioneer Antarctic season of 1905-1906 has been translated from Norwegian into English and is presented here with an introduction that places the expedition into its wider context.</t>
  </si>
  <si>
    <t>[Basberg, Bjorn L.] Norwegian Sch Econ &amp; Business Adm, N-5045 Bergen, Norway</t>
  </si>
  <si>
    <t>Norwegian School of Economics (NHH)</t>
  </si>
  <si>
    <t>Adie, S (corresponding author), 43 Willow Ave, Middletown, RI 02842 USA.</t>
  </si>
  <si>
    <t>Bjorn.Basberg@nhh.no</t>
  </si>
  <si>
    <t>10.1017/S0032247408008024</t>
  </si>
  <si>
    <t>WOS:000267259600006</t>
  </si>
  <si>
    <t>Will, TM; Zeh, A; Gerdes, A; Frimmel, HE; Millar, IL; Schmädicke, E</t>
  </si>
  <si>
    <t>Will, T. M.; Zeh, A.; Gerdes, A.; Frimmel, H. E.; Millar, I. L.; Schmaedicke, E.</t>
  </si>
  <si>
    <t>Palaeoproterozoic to Palaeozoic magmatic and metamorphic events in the Shackleton Range, East Antarctica: Constraints from zircon and monazite dating, and implications for the amalgamation of Gondwana</t>
  </si>
  <si>
    <t>Shackleton Range; East Antarctica; Zircon and monazite U-Pb and Th-U-Pb dating; Gondwana assembly</t>
  </si>
  <si>
    <t>DRONNING MAUD LAND; COMBINED U-PB; T-T PATH; DETRITAL ZIRCONS; ROCKS; BELT; AGE; MOUNTAINS; EVOLUTION; TECTONISM</t>
  </si>
  <si>
    <t>A comprehensive set of new geochronological data from different parts of the Shackleton Range in East Antarctica, comprising U-Pb single zircon and Th-U-Pb single and multi-grain monazite data, combined with published results, reveal a complex tectono-thermal history of the Shackleton Range. Three distinct, spatially separated terranes or units with different magmatic and metamorphic history are now recogrused: (i) the Southern Terrane (Unit 1) contains detrital components as old as 2850 Ma, experienced magmatism between 1850 Ma and 1810 Ma and underwent a medium-to high-grade metamorphic event at 1710-1680 Ma and, locally, again at 510 Ma; (ii) the Eastern Terrane (Unit 11) occurs in the easternmost part of the Shackleton Range and contains c. 1060 Ma old Grenvillian granitoids, which experienced metamorphism at c. 600 Ma; and (iii) the Northern Terrane (Unit III) is characterised by 530 Ma old granites and diorites, which are hosted within paragneisses as well as mafic and ultramafic rocks. All rocks of Unit III experienced upper amphibolite- to granulite-facies and, locally, eclogite-facies metamorphism at 510-500 Ma. The geologic features of Palaeoproterozoic tectonism in the Southern Terrane are very similar to those of the Australo-Antarctic Mawson Continent. This may indicate that the Mawson Continent extends across the East Antarctic Shield into the Shackleton Range. The 1060 Ma and 600 Ma events in the Eastern Terrane have not been documented for any part of the Shackleton Range before and are correlated with Grenvillian and Pan-African tectonism in Dronning Maud Land. By implication, this suggests that the Pan-African Mozambique/Maud Belt continues into the Shackleton Range. The associated suture is located in the easternmost Shackleton Range and is related to the amalgamation of the Indo-Antarctic plate with West Gondwana. This was followed by further collision of the combined Indo-Antarctic/West Gondwanan block with East Gondwana at approximately 510 Ma in the Northern Terrane. A suture related to this latter collision can be traced in the Northern Shackleton Range and may continue northwards to the Sor Rondane Mountains and the Lutzow Holm Bay area. Our data support the model that East Antarctica finally assembled during the Pan-African orogeny, rather than during earlier Mesoproterozoic events. (C) 2009 Elsevier B.V. All rights reserved.</t>
  </si>
  <si>
    <t>[Will, T. M.; Zeh, A.; Frimmel, H. E.] Univ Wurzburg, Dept Geog, Geodynam &amp; Geomat Res Grp, D-97074 Wurzburg, Germany; [Gerdes, A.] Goethe Univ Frankfurt, Dept Geosci, D-60438 Frankfurt, Germany; [Millar, I. L.] NERC, Isotope Geosci Lab, British Antarctic Survey, Keyworth NG12 5GG, Notts, England; [Schmaedicke, E.] Univ Erlangen Nurnberg, Dept Geol &amp; Mineral, D-91054 Erlangen, Germany</t>
  </si>
  <si>
    <t>University of Wurzburg; Goethe University Frankfurt; UK Research &amp; Innovation (UKRI); Natural Environment Research Council (NERC); NERC British Geological Survey; NERC British Antarctic Survey; University of Erlangen Nuremberg</t>
  </si>
  <si>
    <t>Will, TM (corresponding author), Univ Wurzburg, Dept Geog, Geodynam &amp; Geomat Res Grp, D-97074 Wurzburg, Germany.</t>
  </si>
  <si>
    <t>thomas.will@uni-wuerzburg.de</t>
  </si>
  <si>
    <t>Millar, Ian L/F-1541-2010; Frimmel, Hartwig/R-3324-2019; Will, Thomas/JTV-4145-2023; Gerdes, Axel/B-6096-2008; Zeh, Armin/AAS-7028-2020</t>
  </si>
  <si>
    <t>Gerdes, Axel/0000-0003-3823-2125; Frimmel, Hartwig/0000-0003-3041-8208; Zeh, Armin/0000-0001-5599-7897</t>
  </si>
  <si>
    <t>Deutsche Forschungsgemeinschaft [Fr 2183/1-1, 1-2]; NERC [bas010013, nigl010001, bgs04003] Funding Source: UKRI; Natural Environment Research Council [bgs04003, nigl010001, bas010013] Funding Source: researchfish</t>
  </si>
  <si>
    <t>Deutsche Forschungsgemeinschaft(German Research Foundation (DFG)); NERC(UK Research &amp; Innovation (UKRI)Natural Environment Research Council (NERC)); Natural Environment Research Council(UK Research &amp; Innovation (UKRI)Natural Environment Research Council (NERC))</t>
  </si>
  <si>
    <t>Financial support from the Deutsche Forschungsgemeinschaft (grant Fr 2183/1-1, 1-2) is gratefully acknowledged. W. Schubert is thanked for providing the samples, which he collected during the German GEISHA expedition in 1987/88. P. Spathe prepared superb thin sections, and U. Schussler is thanked for his help with the microprobe work at the University of Wurzburg. V. v. Seckendorff and B. Schulz helped greatly with the monazite electron microprobe dating at the University of Erlangen. J. Schastok is thanked for her assistance with the mineral separation at the University of Frankfurt. M. Fanning and G. Gibson are also thanked for their thorough and helpful reviews as well as R. Parrish for editorial assistance.</t>
  </si>
  <si>
    <t>10.1016/j.precamres.2009.03.008</t>
  </si>
  <si>
    <t>459YI</t>
  </si>
  <si>
    <t>WOS:000267148900002</t>
  </si>
  <si>
    <t>White, DA; Bennike, O; Berg, S; Harley, SL; Fink, D; Kiernan, K; McConnell, A; Wagner, B</t>
  </si>
  <si>
    <t>White, Duanne A.; Bennike, Ole; Berg, Sonja; Harley, Simon L.; Fink, David; Kiernan, Kevin; McConnell, Anne; Wagner, Bernd</t>
  </si>
  <si>
    <t>Geomorphology and glacial history of Rauer Group, East Antarctica</t>
  </si>
  <si>
    <t>QUATERNARY RESEARCH</t>
  </si>
  <si>
    <t>Cosmogenic; Weathering; 10Be; Ice sheet; Schmidt hammer; Raised beach; Relative sea level</t>
  </si>
  <si>
    <t>LARSEMANN HILLS; VESTFOLD HILLS; BUNGER HILLS; ICE-FREE; LAND; DEGLACIATION; MOUNTAINS; ISLANDS; FACIES; LAKE</t>
  </si>
  <si>
    <t>The presence of glacial sediments across the Rauer Group indicates that the East Antarctic ice sheet formerly covered the entire archipelago and has since retreated at least 15 km from its maximum extent. The degree of weathering of these glacial sediments suggests that ice retreat from this maximum position occurred sometime during the latter half of the last glacial cycle. Following this phase of retreat, the ice sheet margin has not expanded more than similar to 1 km seaward of its present position. This pattern of ice sheet change matches that recorded in Vestfold Hills, providing further evidence that the diminutive Marine Isotope Stage 2 ice sheet advance in the nearby Larsemann Hills may have been influenced by local factors rather than a regional ice-sheet response to climate and sea-level change. (C) 2009 University of Washington. Published by Elsevier Inc. All rights reserved.</t>
  </si>
  <si>
    <t>[White, Duanne A.] Macquarie Univ, Dept Phys Geog, N Ryde, NSW 2109, Australia; [Bennike, Ole] Geol Survey Denmark &amp; Greenland, Copenhagen, Denmark; [Berg, Sonja; Wagner, Bernd] Univ Cologne, Inst Geol &amp; Mineral, D-50674 Cologne, Germany; [Harley, Simon L.] Univ Edinburgh, Sch Geosci, Edinburgh, Midlothian, Scotland; [Fink, David] Australian Nucl Sci &amp; Technol Org, Sydney, NSW 2234, Australia; [Kiernan, Kevin; McConnell, Anne] Univ Tasmania, Sch Geog &amp; Environm Studies, Sandy Bay, Tas 7005, Australia</t>
  </si>
  <si>
    <t>Macquarie University; Geological Survey Of Denmark &amp; Greenland; University of Cologne; University of Edinburgh; Australian Nuclear Science &amp; Technology Organisation; University of Tasmania</t>
  </si>
  <si>
    <t>White, DA (corresponding author), Macquarie Univ, Dept Phys Geog, N Ryde, NSW 2109, Australia.</t>
  </si>
  <si>
    <t>duanne.white@mq.edu.au</t>
  </si>
  <si>
    <t>fink, David/A-9518-2012; Berg, Sonja/AAW-3817-2021; Wagner, Bernd/J-4682-2012; White, Duanne A/E-6919-2012; Bennike, Ole/G-7070-2018</t>
  </si>
  <si>
    <t>fink, David/0000-0001-7156-4602; Wagner, Bernd/0000-0002-1369-7893; Berg, Sonja/0000-0002-9629-6007; Bennike, Ole/0000-0002-5486-9946; Harley, Simon/0000-0002-1903-939X; White, Duanne/0000-0003-0740-2072</t>
  </si>
  <si>
    <t>Australian Government Antarctic Division to project 2690 (2006-07)</t>
  </si>
  <si>
    <t>Australian Government Antarctic Division to project 2690 (2006-07)(Australian Government)</t>
  </si>
  <si>
    <t>The authors Would like to thank the Alfred Wegner Institute for field Support during Polarstern Voyage ANTXXIII/9, during which the majority of the fieldwork was carried out. We would also like to acknowledge the support of the Australian Government Antarctic Division to project 2690 (2006-07) and previous research projects by SLH that have enabled his geomorphic observations. We would also like to thank Dom Hodgson, Dan Zwartz and Paul Augustinus for their comments on earlier versions of this manuscript.</t>
  </si>
  <si>
    <t>0033-5894</t>
  </si>
  <si>
    <t>1096-0287</t>
  </si>
  <si>
    <t>QUATERNARY RES</t>
  </si>
  <si>
    <t>Quat. Res.</t>
  </si>
  <si>
    <t>10.1016/j.yqres.2009.04.001</t>
  </si>
  <si>
    <t>460ZG</t>
  </si>
  <si>
    <t>WOS:000267231300008</t>
  </si>
  <si>
    <t>Voinov, GN</t>
  </si>
  <si>
    <t>Voinov, G. N.</t>
  </si>
  <si>
    <t>Harmonic analysis of tides from standard observations of the sea level</t>
  </si>
  <si>
    <t>Peculiarities of harmonic analysis of tides by using standard observation data of the sea level with a 6-hourly time step are considered. Masking frequencies causing difficulties when interpreting the results of the data analysis are presented. A method of control and editing of standard observations by using a non-recursive filter is proposed. The data interpolation approach based on direct and inverse Fourier transformation is considered.</t>
  </si>
  <si>
    <t>Voinov, GN (corresponding author), Arctic &amp; Antarctic Res Inst, Ul Beringa 38, St Petersburg 199397, Russia.</t>
  </si>
  <si>
    <t>Voinov, Gennadiy/E-6141-2016</t>
  </si>
  <si>
    <t>Voinov, Gennadiy/0000-0003-1657-049X</t>
  </si>
  <si>
    <t>Russian Foundation for Basic Research [07-05-00692a]</t>
  </si>
  <si>
    <t>The work was partly supported by the Russian Foundation for Basic Research (project 07-05-00692a).</t>
  </si>
  <si>
    <t>1934-8096</t>
  </si>
  <si>
    <t>RUSS METEOROL HYDRO+</t>
  </si>
  <si>
    <t>10.3103/S1068373909070061</t>
  </si>
  <si>
    <t>499BG</t>
  </si>
  <si>
    <t>WOS:000270190900006</t>
  </si>
  <si>
    <t>Ball, BA; Virginia, RA; Barrett, JE; Parsons, AN; Wall, DH</t>
  </si>
  <si>
    <t>Ball, Becky A.; Virginia, Ross A.; Barrett, J. E.; Parsons, Andy N.; Wall, Diana H.</t>
  </si>
  <si>
    <t>Interactions between physical and biotic factors influence CO2 flux in Antarctic dry valley soils</t>
  </si>
  <si>
    <t>Soil respiration; CO2 flux; Antarctic soils; McMurdo Dry Valleys; Carbon cycling; Climate change; Nematodes; Soil biodiversity</t>
  </si>
  <si>
    <t>TAYLOR VALLEY; DESERT ECOSYSTEM; CLIMATE-CHANGE; NET ECOSYSTEM; MOJAVE-DESERT; VICTORIA LAND; CARBON-CYCLE; RESPIRATION; PRODUCTIVITY; DIVERSITY</t>
  </si>
  <si>
    <t>Soil carbon dioxide (CO2) flux is an integrative measure of ecosystem functioning representing both biotic and physical controls over carbon (C) balance. In the McMurdo Dry Valleys of Antarctica, Soil CO2 fluxes (approximately -0.1-0.15 mu mol m(-2) s(-1)) are generally low, and negative fluxes (uptake Of CO2) are sometimes observed. A combination of biological respiration and physical mechanisms. driven by temperature and mediated by soil moisture and mineralogy, determine CO2 flux and, therefore, soil organic C balance. The physical factors important to CO2 flux are being altered with climate variability in many ecosystems including and forms such as the Antarctic terrestrial ecosystems, making it critical to understand how climate factors interact with biotic drivers to control Soil CO2 fluxes and C balances. We measured soil CO2 flux in experimental field manipulations, microcosm incubations and across natural environmental gradients of soil moisture to estimate biotic soil respiration and abiotic sources Of CO2 flux in soils over a range of physical and biotic conditions. We determined that temperature fluctuations were the most important factor influencing diel variation in CO2 flux. Variation within these diel CO2 cycles was explained by differences in soil moisture. Increased temperature (as opposed to temperature fluctuations) had little or no effect on CO2 flux if Moisture was not also increased. We conclude that CO2 flux in dry valley soils is driven primarily by physical factors such as soil temperature and moisture, indicating that future climate change may alter the dry valley soil C cycle. Negative CO2 fluxes in and soils have recently been identified as potential net C sinks. We demonstrate the potential for and polar soils to take UP CO2, driven largely by abiotic factors associated with climate change. The low levels Of CO2 absorption into soils we observed may not constitute a significant sink of atmospheric CO2, but will influence the interpretation Of CO2 flux for the dry valley soil C cycle and possibly other and environments where biotic controls over C cycling are secondary to physical drivers. (C) 2009 Elsevier Ltd. All rights reserved.</t>
  </si>
  <si>
    <t>[Ball, Becky A.; Virginia, Ross A.; Barrett, J. E.] Dartmouth Coll, Environm Studies Program, Hanover, NH 03755 USA; [Barrett, J. E.] Virginia Polytech Inst &amp; State Univ, Dept Biol Sci, Blacksburg, VA 24061 USA; [Parsons, Andy N.] NERC, Swindon SN2 1EU, Wilts, England; [Wall, Diana H.] Colorado State Univ, Dept Biol, Ft Collins, CO 80523 USA; [Wall, Diana H.] Colorado State Univ, Nat Resource Ecol Lab, Ft Collins, CO 80523 USA</t>
  </si>
  <si>
    <t>Dartmouth College; Virginia Polytechnic Institute &amp; State University; UK Research &amp; Innovation (UKRI); Natural Environment Research Council (NERC); Colorado State University; Colorado State University</t>
  </si>
  <si>
    <t>Ball, BA (corresponding author), Dartmouth Coll, Environm Studies Program, 6182 Steele Hall, Hanover, NH 03755 USA.</t>
  </si>
  <si>
    <t>rebecca.a.ball@dartmouth.edu</t>
  </si>
  <si>
    <t>Wall, Diana H/F-5491-2011; Ball, Becky A/E-6573-2011; Barrett, John/D-5851-2016</t>
  </si>
  <si>
    <t>Ball, Becky A/0000-0001-8592-1316; Barrett, John/0000-0002-7610-0505</t>
  </si>
  <si>
    <t>National Science Foundation Office of Polar Program; Direct For Education and Human Resources; Division Of Graduate Education [0801490] Funding Source: National Science Foundation</t>
  </si>
  <si>
    <t>National Science Foundation Office of Polar Program(National Science Foundation (NSF)); Direct For Education and Human Resources; Division Of Graduate Education(National Science Foundation (NSF)NSF - Directorate for STEM Education (EDU))</t>
  </si>
  <si>
    <t>We thank Paul Zietz for assistance with sample processing and analysis. Logistical support was provided by Raytheon Polar Services Corporation and Petroleum Helicopters, Inc. Additional field and lab support was provided by Steve Blecker, Nicole DeCrappeo, Mike Poage, and Dorota Porazinska. We thank two anonymous reviewers for their thoughtful comments on this manuscript. This research was supported by National Science Foundation Office of Polar Program grants to the McMurdo LTER Program.</t>
  </si>
  <si>
    <t>10.1016/j.soilbio.2009.04.011</t>
  </si>
  <si>
    <t>467XB</t>
  </si>
  <si>
    <t>WOS:000267775300018</t>
  </si>
  <si>
    <t>Cooper, J; Bester, MN; Chown, SL; Crawford, RM; Daly, R; Heyns, E; Lamont, T; Ryan, PG; Shaw, JD</t>
  </si>
  <si>
    <t>Cooper, J.; Bester, M. N.; Chown, S. L.; Crawford, R. J. M.; Daly, R.; Heyns, E.; Lamont, T.; Ryan, P. G.; Shaw, J. D.</t>
  </si>
  <si>
    <t>Biological survey of the Prince Edward Islands, December 2008</t>
  </si>
  <si>
    <t>SOUTH AFRICAN JOURNAL OF SCIENCE</t>
  </si>
  <si>
    <t>Prince Edward Islands; sub-Antarctic; Southern Ocean; population surveys; alien plants; oceanographic research</t>
  </si>
  <si>
    <t>MARION ISLAND; SOUTHERN-OCEAN; POPULATION; NUMBERS; ECOSYSTEM; PENGUINS; ARRIVAL; AFRICA; MASS</t>
  </si>
  <si>
    <t>A biological survey of the Prince Edward Islands took place in December 2008. The survey repeated an earlier survey of the populations of surface-nesting seabirds on both islands and of fur seals (Arctocephalus spp.) and alien plants on Prince Edward Island in December 2001. Observations on burrowing seabirds, macro-invertebrates and plant communities on Prince Edward Island and an oceanographic survey of surrounding waters were also included. The survey confirmed many of the observations made on the earlier survey and permitted an assessment of trends in the abundance and distribution of biota since 2001.</t>
  </si>
  <si>
    <t>[Cooper, J.; Crawford, R. J. M.] Univ Cape Town, Dept Zool, Anim Demog Unit, ZA-7701 Rondebosch, South Africa; [Cooper, J.; Chown, S. L.; Shaw, J. D.] Univ Stellenbosch, Dept Bot &amp; Zool, DST NRF Ctr Excellence Invas Biol, ZA-7602 Matieland, South Africa; [Bester, M. N.] Univ Pretoria, Dept Zool &amp; Entomol, Mammal Res Inst, ZA-0002 Pretoria, South Africa; [Crawford, R. J. M.; Lamont, T.] Dept Agr Forestry &amp; Fisheries, ZA-8012 Cape Town, South Africa; [Daly, R.; Heyns, E.] Rhodes Univ, Dept Zool &amp; Entomol, So Ocean Grp, ZA-6140 Grahamstown, South Africa; [Ryan, P. G.] Univ Cape Town, Percy FitzPatrick Inst, DST NRF Ctr Excellence, ZA-7701 Rondebosch, South Africa</t>
  </si>
  <si>
    <t>University of Cape Town; Stellenbosch University; National Research Foundation - South Africa; University of Pretoria; Rhodes University; University of Cape Town; National Research Foundation - South Africa</t>
  </si>
  <si>
    <t>john.cooper@uct.ac.za</t>
  </si>
  <si>
    <t>Bester, Marthán N/E-5387-2010; Chown, Steven/ABD-7646-2021; Chown, Steven/H-3347-2011</t>
  </si>
  <si>
    <t>Ryan, Peter/0000-0002-3356-2056; Chown, Steven/0000-0001-6069-5105; Lamont, Tarron/0000-0001-8464-891X; Shaw, Justine/0000-0002-9603-2271</t>
  </si>
  <si>
    <t>Branch: Marine and Coastal Management; Prince Edward Islands Management Committee</t>
  </si>
  <si>
    <t>The survey was supported financially and logistically by the Branch: Marine and Coastal Management and was conducted with the approval of the Prince Edward Islands Management Committee, Directorate: Antarctica and Islands, then both of the South African Department of Environmental Affairs and Tourism. Funding was also obtained from the National Research Foundation through its South African National Antarctic Programme. Funding for satellite-tracking time was received from the BirdLife International Global Seabird Programme. We thank the following members of the survey team for their willing contributions and support: R.W Leslie, A. Omardien, S.L. Petersen, L. Pichegru, M. Slabber, R.J.Q. Tarr G. Tutt, L. Upfold, J. Visagie, L.J. Waller, D.A. Whitelaw, PA. Whittington, C. Wilkie, R. Williamson and P Woodhead. Captain M. Vljoen and the officers and crew of the FRX Africana made the sea journeys in often rough seas bearable, and even enjoyable at times, with their friendship and excellent seamanship and catering. We are grateful to the members of the 65th overwintering team at Marion Island, especially L.J. Clokie, J.B. Harding, M.G.W Jones, P. Kfitzinger, M.H. Mashau, G.TW McClelland, E.M. Mertz and A.M. Treasure, for their help with surveys and hospitality. PW Froneman commented on a draft text.</t>
  </si>
  <si>
    <t>ACAD SCIENCE SOUTH AFRICA A S S AF</t>
  </si>
  <si>
    <t>LYNWOOD RIDGE</t>
  </si>
  <si>
    <t>PO BOX 72135, LYNWOOD RIDGE 0040, SOUTH AFRICA</t>
  </si>
  <si>
    <t>0038-2353</t>
  </si>
  <si>
    <t>1996-7489</t>
  </si>
  <si>
    <t>S AFR J SCI</t>
  </si>
  <si>
    <t>S. Afr. J. Sci.</t>
  </si>
  <si>
    <t>7-8</t>
  </si>
  <si>
    <t>501IZ</t>
  </si>
  <si>
    <t>WOS:000270376500021</t>
  </si>
  <si>
    <t>Shanklin, J; Moore, C; Colwell, S</t>
  </si>
  <si>
    <t>Shanklin, Jonathan; Moore, Cathy; Colwell, Steve</t>
  </si>
  <si>
    <t>Meteorological observing and climate in the British Antarctic Territory and South Georgia: Part 2</t>
  </si>
  <si>
    <t>WEATHER</t>
  </si>
  <si>
    <t>PENINSULA</t>
  </si>
  <si>
    <t>[Shanklin, Jonathan; Moore, Cathy; Colwell, Steve] British Antarctic Survey, Cambridge CB3 0ET, England</t>
  </si>
  <si>
    <t>Shanklin, J (corresponding author), British Antarctic Survey, High Cross,Madingley Rd, Cambridge CB3 0ET, England.</t>
  </si>
  <si>
    <t>j.shanklin@bas.ac.uk</t>
  </si>
  <si>
    <t>0043-1656</t>
  </si>
  <si>
    <t>Weather</t>
  </si>
  <si>
    <t>10.1002/wea.398</t>
  </si>
  <si>
    <t>470ED</t>
  </si>
  <si>
    <t>WOS:000267956500008</t>
  </si>
  <si>
    <t>Pugh, RS; McCave, IN; Hillenbrand, CD; Kuhn, G</t>
  </si>
  <si>
    <t>Pugh, R. S.; McCave, I. N.; Hillenbrand, C. -D.; Kuhn, G.</t>
  </si>
  <si>
    <t>Circum-Antarctic age modelling of Quaternary marine cores under the Antarctic Circumpolar Current: Ice-core dust-magnetic correlation</t>
  </si>
  <si>
    <t>Antarctic circumpolar current; magnetic susceptibility; dust; correlation; Cycladophora davisiana; Scotia Sea</t>
  </si>
  <si>
    <t>SOUTHERN-OCEAN SEDIMENTS; LAST GLACIAL MAXIMUM; NORTHERN SCOTIA SEA; DOME-C; INDIAN-OCEAN; TERRIGENOUS SEDIMENT; ISOTOPIC CONSTRAINTS; ATLANTIC-OCEAN; OXYGEN-ISOTOPE; CLIMATE-CHANGE</t>
  </si>
  <si>
    <t>Sediments in the belt under the Antarctic Circumpolar Current (ACC) contain high quantities of siliceous microfossils (mainly diatoms) and very little to zero carbonate. This prevents establishment of the age by the usual methods of oxygen isotope stratigraphy at most coring sites. Downcore variation in magnetic susceptibility (MS) from cores from the Scotia Sea closely resembles the temporal pattern of dust concentration and flux in East Antarctic ice cores. The validity of the temporal correlation between marine MS and EPICA Dome C (EDC) dust on the EDC3 time scale is established through C-14 dating of the acid insoluble organic matter back to 30 ka, and radiolarian abundance stratigraphy of Cycladophora davisiana back to 180 ka. The correlations are good (r&gt;0.80) and give credence to the use of MS-dust as a means of establishing chronostratigraphy in carbonate-free pelagic sediments from the Southern Ocean. This correlation has been established in &gt;10 cores in the Scotia Sea. The circum-Antarctic validity of the pattern is shown in correlations to MS in sediment cores from the Indian and SW Pacific sectors of the Southern Ocean. During MIS 3 (57-29 ka), when sedimentation rates at correlated core sites exceeded 10 cm ka(-1). three MS maxima in the marine sediments and dust peaks at EDC, respectively, correspond to the cool periods between Antarctic warm events A1-A4. We have not established the precise cause of the correlation. but its validity around the circum-Antarctic west wind belt suggests that the material was either all transported by wind or was supplemented by wind-driven current transport. The fact that it occurs also in sections with a low terrigenous content suggests a fine grained, high-susceptibility material such as magnetite as the likely source. (C) 2009 Elsevier B.V. All rights reserved.</t>
  </si>
  <si>
    <t>[Pugh, R. S.; McCave, I. N.] Univ Cambridge, Dept Earth Sci, Godwin Lab Palaeoclimate Res, Cambridge CB2 3EQ, England; [Pugh, R. S.; Hillenbrand, C. -D.] British Antarctic Survey, Cambridge CB3 0ET, England; [Kuhn, G.] Stiftung Alfred Wegener Inst Polar &amp; Meeresforsch, D-27568 Bremerhaven, Germany</t>
  </si>
  <si>
    <t>University of Cambridge; UK Research &amp; Innovation (UKRI); Natural Environment Research Council (NERC); NERC British Antarctic Survey; Helmholtz Association; Alfred Wegener Institute, Helmholtz Centre for Polar &amp; Marine Research</t>
  </si>
  <si>
    <t>Pugh, RS (corresponding author), Univ Cambridge, Dept Earth Sci, Godwin Lab Palaeoclimate Res, Downing St, Cambridge CB2 3EQ, England.</t>
  </si>
  <si>
    <t>robert.s.pugh@gmail.com</t>
  </si>
  <si>
    <t>McCave, I. Nick/O-3992-2018; McCave, Nick N/G-7323-2016</t>
  </si>
  <si>
    <t>McCave, I. Nick/0000-0002-4702-5489; McCave, Nick N/0000-0002-4702-5489; Kuhn, Gerhard/0000-0001-6069-7485</t>
  </si>
  <si>
    <t>NERC [NER/S/A/2003/11321]; European Commission [EPICA-MIS-003868]; NERC [bas010018, bas010016] Funding Source: UKRI; Natural Environment Research Council [bas010018, bas010016] Funding Source: researchfish</t>
  </si>
  <si>
    <t>NERC(UK Research &amp; Innovation (UKRI)Natural Environment Research Council (NERC)); European Commission(European Union (EU)European Commission Joint Research Centre); NERC(UK Research &amp; Innovation (UKRI)Natural Environment Research Council (NERC)); Natural Environment Research Council(UK Research &amp; Innovation (UKRI)Natural Environment Research Council (NERC))</t>
  </si>
  <si>
    <t>We are most grateful to Dr. Bob Anderson (LDEO) for the data relating to the NBP9802 cores, to Dr. Alain Mazaud (L-SCE, Gif) for the susceptibility data and Dr L. Dezileau (Univ. Montpellier) for compositional data for MD 94-103 and -104, and to Prof. Tom Stocker (Univ. Bern) and Dr. Jean-Robert Petit (LGGE, Grenoble) for the EPICA Dome C dust concentrations and fluxes. We are indebted to Dr. Carol Pudsey (formerly BAS) for all her support, are grateful to Dr. Claire Allen (BAS) for helping with the radiolarian work, and thank Prof Barbara Maher (Lancaster University) for helping with the calculations of the magnetic susceptibility fluxes. We are grateful to Mr Huw Griffiths for help with Fig. 1. We thank the officers and crews of RRS James Clark Ross and RV Polarstern. We acknowledge support of NERC for a PhD studentship for RP (NER/S/A/2003/11321), the NERC Radiocarbon Laboratory (East Kilbride, UK) for dates (allocation 1134-0805), particularly Dr. Steve Moreton from the laboratory for his support, and the European Commission for EPICA-MIS-003868 to INMcC.</t>
  </si>
  <si>
    <t>JUN 30</t>
  </si>
  <si>
    <t>10.1016/j.epsl.2009.04.016</t>
  </si>
  <si>
    <t>476KK</t>
  </si>
  <si>
    <t>WOS:000268438900013</t>
  </si>
  <si>
    <t>Varela, ME; Kurat, G</t>
  </si>
  <si>
    <t>Varela, M. E.; Kurat, G.</t>
  </si>
  <si>
    <t>Glasses in coarse-grained micrometeorites</t>
  </si>
  <si>
    <t>micrometeorites; glasses; carbonaceous chondrites; nebular metasomatic modification; glasses from cometary particles</t>
  </si>
  <si>
    <t>ANTARCTIC MICROMETEORITES; SOLAR NEBULA; OLIVINE; INCLUSIONS; ORIGIN; CONDENSATION; COLLECTION; MINERALS; BEHAVIOR; RENAZZO</t>
  </si>
  <si>
    <t>Micrometeorites (MMs, interplanetary dust particles with 25 - 500 mu m diameters) carry the main mass of extraterrestrial matter that is captured by Earth. The coarse-grained MMs mainly consist of olivine aggregates, which - as their counterparts in CC chondrites - also contain pyroxenes and glass. We studied clear glasses in four coarse-grained crystalline MMs (10M12, M92-6b, AM9, and Mc7-10), which were collected from the ice at Cap Prudhomme, Antarctica. Previous studies of glasses (e.g., glass inclusions trapped in olivine and clear mesostasis glass) in carbonaceous and ordinary chondrites showed that these phases could keep memory of the physical-chemical conditions to which extraterrestrial matter was exposed. Here we compare the chemical compositions of MM glasses and glasses from CM chondrites with that in experimentally heated objects from the Allende CV chondrite and with glasses from cometary particles. Our results show that MMs were heated to variable degrees (during entry through the terrestrial atmosphere), which caused a range from very little chemical modification of the glass to total melting of the precursor object. Such modifications include dissolution of minerals in the melted glass precursor and some loss of volatile alkali elements. The chemical composition of all precursor glasses in the MMs investigated is not primitive such as glasses in CM and CR chondrite objects. It shows signs of pre-terrestrial chemical modification, e.g., metasomatic enrichments in Na and Fe2+ presumably in the solar nebula. Glasses of MMs heated to very low degree have a chemical composition indistinguishable from that of glasses in comet Wild 2 particles; giving additional evidence that interplanetary dust (e.g., Antarctic MMs) possibly represents samples from comets. (C) 2009 Elsevier B.V. All rights reserved.</t>
  </si>
  <si>
    <t>[Varela, M. E.] CASLEO, San Juan, Argentina; [Kurat, G.] Univ Vienna, Dept Lithospher Res, A-1090 Vienna, Austria</t>
  </si>
  <si>
    <t>University of Vienna</t>
  </si>
  <si>
    <t>Varela, ME (corresponding author), CASLEO, Av Espana 1512 Sur,J5402DSP, San Juan, Argentina.</t>
  </si>
  <si>
    <t>evarela@casleo.gov.ar; gero.kurat@univie.ac.at</t>
  </si>
  <si>
    <t>FWF, Austria [P16420-N10, P20226-N10]; CONICET [PIP 5005)]; Agencia [PICT212]; CONICET-FWF International Cooperation Project, Argentina</t>
  </si>
  <si>
    <t>FWF, Austria(Austrian Science Fund (FWF)); CONICET(Consejo Nacional de Investigaciones Cientificas y Tecnicas (CONICET)); Agencia; CONICET-FWF International Cooperation Project, Argentina(Austrian Science Fund (FWF)Consejo Nacional de Investigaciones Cientificas y Tecnicas (CONICET))</t>
  </si>
  <si>
    <t>We thank Franz Brandstatter for his Support in ASEM work and Theo Ntaflos for his support with EMPA. We appreciate the comments of two anonymous reviewers that helped to improve the paper and the editorial handling by T. Spohn. Financial support was received from FWF (P16420-N10 and P20226-N10), Austria, from CONICET (PIP 5005), Agencia (PICT212) and CONICET-FWF International Cooperation Project, Argentina.</t>
  </si>
  <si>
    <t>10.1016/j.epsl.2009.04.030</t>
  </si>
  <si>
    <t>WOS:000268438900023</t>
  </si>
  <si>
    <t>Hughes, C; Chuck, AL; Rossetti, H; Mann, PJ; Turner, SM; Clarke, A; Chance, R; Liss, PS</t>
  </si>
  <si>
    <t>Hughes, Claire; Chuck, Adele L.; Rossetti, Helen; Mann, Paul J.; Turner, Suzanne M.; Clarke, Andrew; Chance, Rosie; Liss, Peter S.</t>
  </si>
  <si>
    <t>Seasonal cycle of seawater bromoform and dibromomethane concentrations in a coastal bay on the western Antarctic Peninsula</t>
  </si>
  <si>
    <t>DIFFUSION-COEFFICIENTS; VOLATILE HALOCARBONS; HALOGENATED METHANES; ARCTIC SEAWATER; SEA; BROMINE; ICE; ATLANTIC; TROPOSPHERE; MACROALGAE</t>
  </si>
  <si>
    <t>Sea-to-air emissions of bromocarbon gases are known to play an important role in atmospheric ozone depletion. In this study, seawater concentrations of bromoform (CHBr3) and dibromomethane (CH2Br2) were measured regularly between February 2005 and March 2007 at the Rothera Oceanographic and Biological Time Series (RaTS) site located in Marguerite Bay on the Antarctic Peninsula. Strong seasonality in CHBr3 and CH2Br2 concentrations was observed. The highest bromocarbon concentrations (up to 276.4 +/- 13.0 pmol CHBr3 L-1 and 30.0 +/- 0.4 pmol CH2Br2 L-1) were found to coincide with the annual microalgal bloom during the austral summer, with lower concentrations (up to 39.5 pmol CHBr3 L-1 and 9.6 +/- 0.6 pmol CH2Br2 L-1) measured under the winter fast ice. The timing of the initial increase in bromocarbon concentrations was related to the sea-ice retreat and onset of the microalgal bloom. Observed seasonal variability in CH2Br2/CHBr3 suggests that this relationship may be of use in resolving bromocarbon source regions. Mainly positive saturation anomalies calculated for both the 2005/2006 and 2006/2007 summers suggest that the bay was a source of CHBr3 and CH2Br2 to the atmosphere. Estimates of bromocarbon sea-to-air flux rates from Marguerite Bay during ice-free periods are 84 (-13 to 275) CHBr3 nmol m(-2) d(-1) and 21 (2 to 70) nmol CH2Br2 m(-2) d(-1). If these flux rates are representative of the seasonal ice edge zone bloom which occurs each year over large areas of the Southern Ocean during the austral summer, sea-to-air bromocarbon emissions could have an important impact on the chemistry of the Antarctic atmosphere.</t>
  </si>
  <si>
    <t>[Hughes, Claire; Chuck, Adele L.; Turner, Suzanne M.; Liss, Peter S.] Univ E Anglia, Lab Global Marine &amp; Atmospher Chem, Sch Environm Sci, Norwich NR4 7TJ, Norfolk, England; [Chance, Rosie] Univ York, Dept Chem, York YO10 5DD, N Yorkshire, England; [Rossetti, Helen; Clarke, Andrew] British Antarctic Survey, NERC, Cambridge CB3 0ET, England; [Mann, Paul J.] Univ Newcastle, Sch Marine Sci &amp; Technol, Ocean Res Grp, Newcastle Upon Tyne NE1 7RU, Tyne &amp; Wear, England</t>
  </si>
  <si>
    <t>University of East Anglia; University of York - UK; UK Research &amp; Innovation (UKRI); Natural Environment Research Council (NERC); NERC British Antarctic Survey; Newcastle University - UK</t>
  </si>
  <si>
    <t>Hughes, C (corresponding author), Univ E Anglia, Lab Global Marine &amp; Atmospher Chem, Sch Environm Sci, Norwich NR4 7TJ, Norfolk, England.</t>
  </si>
  <si>
    <t>claire.hughes@uea.ac.uk</t>
  </si>
  <si>
    <t>LISS, Peter S./A-8219-2013; Mann, Paul/H-7268-2014</t>
  </si>
  <si>
    <t>Mann, Paul/0000-0002-6221-3533; Chance, Rosie/0000-0002-5906-176X</t>
  </si>
  <si>
    <t>U.K. Natural Environmental Research Council (NERC) [NER/G/S/2003/00024]; Natural Environment Research Council [NE/E013287/1] Funding Source: researchfish; NERC [NE/E013287/1] Funding Source: UKRI</t>
  </si>
  <si>
    <t>U.K. Natural Environmental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</si>
  <si>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Acknowledgments. This work was supported by a U.K. Natural Environmental Research Council (NERC) grant (NER/G/S/2003/00024, Liss) awarded as part of the Antarctic Funding Initiative (AFI). The authors would like to acknowledge the help and support of personnel based at the Rothera Research Station between January 2005 and April 2007 and the assistance of the AFI coordinator Martin Miller. Additionally, thanks are given to Margaret Wallace for assistance in interpreting the CTD data and mixed layer depth calculations and to two anonymous reviewers for their helpful comments and suggestions.</t>
  </si>
  <si>
    <t>GB2024</t>
  </si>
  <si>
    <t>10.1029/2008GB003268</t>
  </si>
  <si>
    <t>466DZ</t>
  </si>
  <si>
    <t>WOS:000267642300002</t>
  </si>
  <si>
    <t>Pezza, AB; Simmonds, I; Pereira, AJ</t>
  </si>
  <si>
    <t>Pezza, Alexandre Bernardes; Simmonds, Ian; Pereira Filho, Augusto Jose</t>
  </si>
  <si>
    <t>Climate perspective on the large-scale circulation associated with the transition of the first South Atlantic hurricane</t>
  </si>
  <si>
    <t>Southern Annular Mode; mid-latitude storms; tropical-extra-tropical interaction; hybrid systems</t>
  </si>
  <si>
    <t>SEA-SURFACE TEMPERATURE; VARIABILITY; CYCLONE; INTENSITY; FREQUENCY; BLOCKING; MODEL; ANTICYCLONES; OSCILLATIONS; DIAGNOSTICS</t>
  </si>
  <si>
    <t>The landfall of Cyclone Catarina on the Brazilian coast in March 2004 became known as the first documented hurricane in the South Atlantic Ocean, promoting a new view oil how large-scale features can contribute to tropical transition. The aim of this paper is to put the large-scale circulation associated with Catarina's transition in climate perspective. This is discussed in the light of a robust pattern of spatial correlations between thermodynamic and dynamic variables of importance for hurricane formation. A discussion on how transition mechanisms respond to the present-day circulation is presented. These associations help in understanding why Catarina was formed in a region previously thought to be hurricane-free. Catarina developed over a large-scale area of thermodynamically favourable air/sea temperature contrast. This aspect explains the paradox that such a rare system developed when the sea surface temperature was slightly below average. But, although thermodynamics played an important role, it is apparent that Catarina would not have formed without the key dynamic interplay triggered by a high latitude blocking. The blocking was associated with an extreme positive phase of the Southern Annular Mode (SAM) both hemispherically and locally, and the nearby area where Catarina developed is found to be more cyclonic during the positive phase of the SAM. A conceptual model is developed and a 'South Atlantic index' is introduced as a useful diagnostic of potential conditions leading to tropical transition in the area, where large-scale indices indicate trends towards more favourable atmospheric conditions for tropical cyclone formation. Copyright (c) 2008 Royal Meteorological Society</t>
  </si>
  <si>
    <t>[Pezza, Alexandre Bernardes; Simmonds, Ian] Univ Melbourne, Sch Earth Sci, Melbourne, Vic 3010, Australia; [Pereira Filho, Augusto Jose] Univ Sao Paulo, Dept Atmospher Sci, Inst Astron Geophys &amp; Atmospher Sci, Sao Paulo, Brazil</t>
  </si>
  <si>
    <t>University of Melbourne; Melbourne Bioinformatics; Universidade de Sao Paulo</t>
  </si>
  <si>
    <t>Filho, Augusto José J Pereira/L-6854-2018</t>
  </si>
  <si>
    <t>Filho, Augusto José J Pereira/0000-0002-6690-9669; Simmonds, Ian/0000-0002-4479-3255</t>
  </si>
  <si>
    <t>The authors would like to acknowledge K Keay and J Bye for their comments on an earlier version of this article. We acknowledge the Australian Research Council and the Antarctic Science Advisory Committee for funding parts of this work. Comments from two anonymous reviewers contributed to improving the manuscript.</t>
  </si>
  <si>
    <t>10.1002/joc.1757</t>
  </si>
  <si>
    <t>463QD</t>
  </si>
  <si>
    <t>WOS:000267445800006</t>
  </si>
  <si>
    <t>Kantor, YI; Pastorino, G</t>
  </si>
  <si>
    <t>Kantor, Yu. I.; Pastorino, Guido</t>
  </si>
  <si>
    <t>An unusual new genus and a new species of Buccinulidae (Neogastropoda) from the Magellanic Province</t>
  </si>
  <si>
    <t>NAUTILUS</t>
  </si>
  <si>
    <t>Gastropoda; southwestern Atlantic; Jerrybuccinum malvinense; new genus; new species</t>
  </si>
  <si>
    <t>ANTARCTIC WATERS; GASTROPODA; MURICIDAE; REVISION</t>
  </si>
  <si>
    <t>A new genus and species of the family Buccinulidae is described from the Southwestern Atlantic in Argentine waters. Jerrybuccinum malvinense new genus and species combines the conchological characters of Fasciolariidae with the radula of Buccinulidae.</t>
  </si>
  <si>
    <t>[Kantor, Yu. I.] Russian Acad Sci, AN Severtzov Inst Ecol &amp; Evolut, Moscow 119071, Russia; [Pastorino, Guido] Museo Argentino Ciencias Nat Bernardino Rivadavia, Buenos Aires, DF, Argentina</t>
  </si>
  <si>
    <t>Russian Academy of Sciences; Saratov Scientific Center of the Russian Academy of Sciences; Severtsov Institute of Ecology &amp; Evolution; Museo Argentino de Ciencias Naturales Bernardino Rivadavia (MACN)</t>
  </si>
  <si>
    <t>Kantor, YI (corresponding author), Russian Acad Sci, AN Severtzov Inst Ecol &amp; Evolut, Leninski Prospect 33, Moscow 119071, Russia.</t>
  </si>
  <si>
    <t>kantor@malaco-sevin.msk.ru; gpastorino@macn.gov.ar</t>
  </si>
  <si>
    <t>Kantor, Yuri/HKW-8238-2023; Kantor, Yuri/D-5259-2014</t>
  </si>
  <si>
    <t>Kantor, Yuri/0000-0002-3209-4940; Kantor, Yuri/0000-0002-3209-4940</t>
  </si>
  <si>
    <t>NSF-USAP United States Antarctic [ANT0636408]</t>
  </si>
  <si>
    <t>NSF-USAP United States Antarctic</t>
  </si>
  <si>
    <t>This work was supported in part by a Research Award from the NSF-USAP United States Antarctic Program Grant [ANT0636408].</t>
  </si>
  <si>
    <t>BAILEY-MATTHEWS SHELL MUSEUM</t>
  </si>
  <si>
    <t>SANIBEL</t>
  </si>
  <si>
    <t>C/O DR JOSE H LEAL, ASSOCIATE/MANAGING EDITOR, 3075 SANIBEL-CAPTIVA RD, SANIBEL, FL 33957 USA</t>
  </si>
  <si>
    <t>0028-1344</t>
  </si>
  <si>
    <t>Nautilus</t>
  </si>
  <si>
    <t>466BB</t>
  </si>
  <si>
    <t>WOS:000267634100004</t>
  </si>
  <si>
    <t>Tilmes, S; Garcia, RR; Kinnison, DE; Gettelman, A; Rasch, PJ</t>
  </si>
  <si>
    <t>Tilmes, Simone; Garcia, Rolando R.; Kinnison, Douglas E.; Gettelman, Andrew; Rasch, Philip J.</t>
  </si>
  <si>
    <t>Impact of geoengineered aerosols on the troposphere and stratosphere</t>
  </si>
  <si>
    <t>OZONE DEPLETION; VOLCANIC AEROSOLS; MODEL; CIRCULATION; FORMULATION; SIMULATION; EVOLUTION</t>
  </si>
  <si>
    <t>A coupled chemistry climate model, the Whole Atmosphere Community Climate Model was used to perform a transient climate simulation to quantify the impact of geoengineered aerosols on atmospheric processes. In contrast to previous model studies, the impact on stratospheric chemistry, including heterogeneous chemistry in the polar regions, is considered in this simulation. In the geoengineering simulation, a constant stratospheric distribution of volcanic-sized, liquid sulfate aerosols is imposed in the period 2020-2050, corresponding to an injection of 2 Tg S/a. The aerosol cools the troposphere compared to a baseline simulation. Assuming an Intergovernmental Panel on Climate Change A1B emission scenario, global warming is delayed by about 40 years in the troposphere with respect to the baseline scenario. Large local changes of precipitation and temperatures may occur as a result of geoengineering. Comparison with simulations carried out with the Community Atmosphere Model indicates the importance of stratospheric processes for estimating the impact of stratospheric aerosols on the Earth's climate. Changes in stratospheric dynamics and chemistry, especially faster heterogeneous reactions, reduce the recovery of the ozone layer in middle and high latitudes for the Southern Hemisphere. In the geoengineering case, the recovery of the Antarctic ozone hole is delayed by about 30 years on the basis of this model simulation. For the Northern Hemisphere, a onefold to twofold increase of the chemical ozone depletion occurs owing to a simulated stronger polar vortex and colder temperatures compared to the baseline simulation, in agreement with observational estimates.</t>
  </si>
  <si>
    <t>[Tilmes, Simone; Garcia, Rolando R.; Kinnison, Douglas E.; Gettelman, Andrew] Natl Ctr Atmospher Res, Div Atmospher Chem, Boulder, CO 80307 USA; [Rasch, Philip J.] Pacific NW Natl Lab, Richland, WA 99352 USA</t>
  </si>
  <si>
    <t>National Center Atmospheric Research (NCAR) - USA; United States Department of Energy (DOE); Pacific Northwest National Laboratory</t>
  </si>
  <si>
    <t>Tilmes, S (corresponding author), Natl Ctr Atmospher Res, Div Atmospher Chem, POB 3000, Boulder, CO 80307 USA.</t>
  </si>
  <si>
    <t>tilmes@ucar.edu</t>
  </si>
  <si>
    <t>Tilmes, Simone/JUV-6618-2023; Rasch, Philip J/F-7978-2018; Gettelman, Andrew/AAY-2312-2021; Garcia-Herrera, Ricardo/ABE-4731-2020</t>
  </si>
  <si>
    <t>Tilmes, Simone/0000-0002-6557-3569;</t>
  </si>
  <si>
    <t>U.K. Meteorological Office; European Center for Medium-range Weather Forecasts</t>
  </si>
  <si>
    <t>We gratefully acknowledge the members of the HALOE team at NASA/Langley Research Center for their work in producing and making available the HALOE data set. Thanks are also owed to the U.K. Meteorological Office and the European Center for Medium-range Weather Forecasts for providing meteorological analyses. Further, we thank the WACCM team, especially Francis Vitt, StacyWalters, and Fabrizio Sassi, for assistance with regard to the WACCM3 model setup and analysis tools. We also thank Michael Mills and Brian Toon for helpful discussions on microphysical processes in connection with stratospheric sulfur injection. Finally, we are grateful to Steven Massie and John Orlando for their review of the original manuscript. The National Center for Atmospheric Research is operated by the University Corporation for Atmospheric Research under sponsorship of the National Science Foundation.</t>
  </si>
  <si>
    <t>JUN 27</t>
  </si>
  <si>
    <t>D12305</t>
  </si>
  <si>
    <t>10.1029/2008JD011420</t>
  </si>
  <si>
    <t>464FH</t>
  </si>
  <si>
    <t>WOS:000267490200003</t>
  </si>
  <si>
    <t>Forcada, J; Malone, D; Royle, JA; Staniland, IJ</t>
  </si>
  <si>
    <t>Forcada, Jaume; Malone, Donald; Royle, J. Andrew; Staniland, Iain J.</t>
  </si>
  <si>
    <t>Modelling predation by transient leopard seals for an ecosystem-based management of Southern Ocean fisheries</t>
  </si>
  <si>
    <t>ECOLOGICAL MODELLING</t>
  </si>
  <si>
    <t>Bioenergetics; Data augmentation; Dispersal; Food consumption; Hydrurga leptonyx; Mark-recapture; MCMC; Prey choice; State-space model; Sub-Antarctic</t>
  </si>
  <si>
    <t>ANTARCTIC FUR SEALS; ICEFISH CHAMPSOCEPHALUS-GUNNARI; EUPHAUSIA-SUPERBA DANA; ARCTOCEPHALUS-GAZELLA; HYDRURGA-LEPTONYX; WINTER DISPERSAL; BODY-COMPOSITION; DIET COMPOSITION; FOOD WEBS; GEORGIA</t>
  </si>
  <si>
    <t>Correctly quantifying the impacts of rare apex marine predators is essential to ecosystem-based approaches to fisheries management, where harvesting must be sustainable for targeted species and their dependent predators. This requires modelling the uncertainty in such processes as predator life history, seasonal abundance and movement, size-based predation, energetic requirements, and prey vulnerability. We combined these uncertainties to evaluate the predatory impact of transient leopard seals on a community of mesopredators (seals and penguins) and their prey at South Georgia, and assess the implications for an ecosystem-based management. The mesopredators are highly dependent on Antarctic krill and icefish, which are targeted by regional fisheries. We used a state-space formulation to combine (1) a mark-recapture open-population model and individual identification data to assess seasonally variable leopard seal arrival and departure dates, numbers, and residency times; (2) a size-based bioenergetic model; and (3) a size-based prey choice model from a diet analysis. Our models indicated that prey choice and consumption reflected seasonal changes in leopard seal population size and structure, size-selective predation and prey vulnerability. A population of 104 (90-125) leopard seals, of which 64% were juveniles, consumed less than 2% of the Antarctic fur seal pup production of the area (50% of total ingested energy, IE), but ca. 12-16% of the local gentoo penguin population (20% IE). Antarctic krill (28% IE) were the only observed food of leopard seal pups and supplemented the diet of older individuals. Direct impacts on krill and fish were negligible, but the escapement due to leopard seal predation on fur seal pups and penguins could be significant for the mackerel icefish fishery at South Georgia. These results suggest that: (1) rare apex predators like leopard seals may control, and may depend on, populations of mesopredators dependent on prey species targeted by fisheries: and (2) predatory impacts and community control may vary throughout the predator's geographic range, and differ across ecosystems and management areas, depending on the seasonal abundance of the prey and the predator's dispersal movements. This understanding is important to integrate the predator needs as natural mortality of its prey in models to set prey catch limits for fisheries. Reliable estimates of the variability of these needs are essential for a precautionary interpretation in the context of an ecosystem-based management. (C) 2009 Elsevier B.V. All rights reserved.</t>
  </si>
  <si>
    <t>[Forcada, Jaume; Malone, Donald; Staniland, Iain J.] British Antarctic Survey, NERC, Cambridge CB3 0ET, England; [Royle, J. Andrew] US Geol Survey, Patuxent Wildlife Res Ctr, Laurel, MD 20708 USA</t>
  </si>
  <si>
    <t>UK Research &amp; Innovation (UKRI); Natural Environment Research Council (NERC); NERC British Antarctic Survey; United States Department of the Interior; United States Geological Survey</t>
  </si>
  <si>
    <t>Staniland, Iain/I-4725-2012; Forcada, Jaume/GYU-0677-2022</t>
  </si>
  <si>
    <t>Staniland, Iain/0000-0003-2736-9134; Royle, Jeffrey/0000-0003-3135-2167</t>
  </si>
  <si>
    <t>Natural Environment Research Council [bas0100025, bas010017] Funding Source: researchfish; NERC [bas010017, bas0100025] Funding Source: UKRI</t>
  </si>
  <si>
    <t>0304-3800</t>
  </si>
  <si>
    <t>1872-7026</t>
  </si>
  <si>
    <t>ECOL MODEL</t>
  </si>
  <si>
    <t>Ecol. Model.</t>
  </si>
  <si>
    <t>JUN 24</t>
  </si>
  <si>
    <t>10.1016/j.ecolmodel.2009.03.020</t>
  </si>
  <si>
    <t>457CI</t>
  </si>
  <si>
    <t>WOS:000266902700007</t>
  </si>
  <si>
    <t>Tregoning, P; Ramillien, G; McQueen, H; Zwartz, D</t>
  </si>
  <si>
    <t>Tregoning, Paul; Ramillien, Guillaume; McQueen, Herbert; Zwartz, Dan</t>
  </si>
  <si>
    <t>Glacial isostatic adjustment and nonstationary signals observed by GRACE</t>
  </si>
  <si>
    <t>ICE MASS-LOSS; SATELLITE GRAVITY; EARTH; SURFACE; FIELD; FENNOSCANDIA; VELOCITY; BALANCE; SYSTEM; MODEL</t>
  </si>
  <si>
    <t>Changes in hydrologic surface loads, glacier mass balance, and glacial isostatic adjustment (GIA) have been observed using data from the Gravity Recovery and Climate Experiment (GRACE) mission. In some cases, the estimates have been made by calculating a combination of the linear rate of change of the time series and periodic seasonal variations of GRACE estimates, yet the geophysical phenomena are often not stationary in nature or are dominated by other nonstationary signals. We investigate the variation in linear rate estimates that arise when selecting different time intervals of GRACE solutions and show that more accurate estimates of stationary signals such as GIA can be obtained after the removal of model-based hydrologic effects. We focus on North America, where numerical hydrological models exist, and East Antarctica, where such models are not readily available. The root mean square of vertical velocities in North America are reduced by similar to 20% in a comparison of GRACE- and GPS-derived uplift rates when the GRACE products are corrected for hydrological effects using the GLDAS model. The correlation between the rate estimates of the two techniques increases from 0.58 to 0.73. While acknowledging that the GLDAS model does not model all aspects of the hydrological cycle, it is sufficiently accurate to demonstrate the importance of accounting for hydrological effects before estimating linear trends from GRACE signals. We also show from a comparison of predicted GIA models and observed GPS uplift rates that the positive anomaly seen in Enderby Land, East Antarctica, is not a stationary signal related to GIA.</t>
  </si>
  <si>
    <t>[Tregoning, Paul; McQueen, Herbert; Zwartz, Dan] Australian Natl Univ, Res Sch Earth Sci, Canberra, ACT 0200, Australia; [Ramillien, Guillaume] CNRS, Lab Etud Geophys &amp; Oceanog, F-31400 Toulouse, France</t>
  </si>
  <si>
    <t>Australian National University; Universite de Toulouse; Universite Toulouse III - Paul Sabatier; Centre National de la Recherche Scientifique (CNRS); Institut de Recherche pour le Developpement (IRD); Laboratoire d'Etudes en Geophysique et oceanographie spatiales</t>
  </si>
  <si>
    <t>Tregoning, P (corresponding author), Australian Natl Univ, Res Sch Earth Sci, OHB A,Bldg 61A,Mills Rd, Canberra, ACT 0200, Australia.</t>
  </si>
  <si>
    <t>paul.tregoning@anu.edu.au; ramillie@legos.obs-mip.fr</t>
  </si>
  <si>
    <t>Tregoning, Paul/D-9283-2013; Tregoning, Paul/N-4842-2018</t>
  </si>
  <si>
    <t>Tregoning, Paul/0000-0001-7192-5391; Tregoning, Paul/0000-0001-7192-5391; McQueen, Herbert/0000-0002-3490-7482</t>
  </si>
  <si>
    <t>Australian Antarctic Division; National Collaborative Research Infrastructure Strategy (NCRIS); Australian Commonwealth Government</t>
  </si>
  <si>
    <t>Australian Antarctic Division; National Collaborative Research Infrastructure Strategy (NCRIS)(Australian GovernmentDepartment of Industry, Innovation and Science); Australian Commonwealth Government(Australian Government)</t>
  </si>
  <si>
    <t>We thank the GRGS GRACE team for making their solutions freely available and the IGS for the global GPS data. The GPS fieldwork undertaken in Enderby Land was supported by the Australian Antarctic Division and we thank the many field, station, and logistics personnel who contributed to the fieldwork. We thank K. Lambeck and T. Purcell for the use of their GIA modeling software. The GPS data were computed on the Terrawulf II computational facility at the Research School of Earth Sciences, a facility supported through the AuScope initiative. AuScope Ltd. is funded under the National Collaborative Research Infrastructure Strategy (NCRIS), an Australian Commonwealth Government Programme. We thank the associate editor and three anonymous reviewers whose helpful review comments improved this manuscript.</t>
  </si>
  <si>
    <t>JUN 23</t>
  </si>
  <si>
    <t>B06406</t>
  </si>
  <si>
    <t>10.1029/2008JB006161</t>
  </si>
  <si>
    <t>464FR</t>
  </si>
  <si>
    <t>WOS:000267491200002</t>
  </si>
  <si>
    <t>Ortega-Retuerta, E; Reche, I; Pulido-Villena, E; Agustí, S; Duarte, CM</t>
  </si>
  <si>
    <t>Ortega-Retuerta, E.; Reche, I.; Pulido-Villena, E.; Agusti, S.; Duarte, C. M.</t>
  </si>
  <si>
    <t>Uncoupled distributions of transparent exopolymer particles (TEP) and dissolved carbohydrates in the Southern Ocean</t>
  </si>
  <si>
    <t>Transparent exopolymer particles; Monosaccharides; Polysaccharides; Carbohydrates; Southern Ocean</t>
  </si>
  <si>
    <t>MARINE BACTERIOPLANKTON; BACTERIAL-COLONIZATION; SPATIAL-DISTRIBUTION; ORGANIC-CARBON; ATLANTIC-OCEAN; ROSS SEA; ABUNDANCE; PHYTOPLANKTON; SIZE; POLYSACCHARIDES</t>
  </si>
  <si>
    <t>Transparent exopolymer particles (TEP) are formed by the assembly of dissolved precursors, mainly mono and polysaccharides (DMCHO and DPCHO) that are released by microorganisms. Although TEP formation plays a significant role in carbon export to deep waters and can affect gas exchange at the sea surface, simultaneous measurements of TEP and their precursors in natural waters have been scantly reported. In this study, we described the spatial (vertical and regional) distribution of TEP, DMCHO and DPCHO in a region located around the Antarctic Peninsula, assessed their contribution to the total organic carbon pool, and explored their relationships with phytoplankton (with chlorophyll a (chl a) as a proxy) and bacteria. TEP concentration ranged from undetectable values to 48.9 mu g XG eq L-1 with a mean value of 15.4 mu g XG eq L-1 (11.6 mu g TEP-C L-1). DMCHO and DPCHO showed average values of 4.3 mu mol C L-1 and 8.6 mu mol C L-1. respectively. We did not find simple relationships between the concentrations of TEP and dissolved carbohydrates, but a negative correlation between DMCHO and DPCHO was observed. Chl a was the best regressor of TEP concentration in waters within the upper mixed layer, while bacterial production was the best regressor of TEP concentration below the mixed layer, underlining the direct link between these particles and bacterial activity in deep waters. (C) 2009 Elsevier B.V. All rights reserved.</t>
  </si>
  <si>
    <t>[Ortega-Retuerta, E.; Reche, I.] Univ Granada, Dept Ecol, Fac Ciencias, E-18071 Granada, Spain; [Ortega-Retuerta, E.; Reche, I.] Univ Granada, Inst Agua, E-18071 Granada, Spain; [Pulido-Villena, E.] Lab Oceanog Villefranche, Villefranche Sur Mer, France; [Agusti, S.; Duarte, C. M.] UIB, CSIC, Inst Mediterraneo Estudios Avanzados, Esporles, Illes Balears, Spain</t>
  </si>
  <si>
    <t>University of Granada; University of Granada; Sorbonne Universite; Universitat de les Illes Balears; Consejo Superior de Investigaciones Cientificas (CSIC)</t>
  </si>
  <si>
    <t>Ortega-Retuerta, E (corresponding author), Univ Granada, Dept Ecol, Fac Ciencias, E-18071 Granada, Spain.</t>
  </si>
  <si>
    <t>evaor@ugr.es; ireche@ugr.es; pulido-villena@obs-vlfr.fr; sagusti@uib.cs; cduarte@uib.es</t>
  </si>
  <si>
    <t>Duarte, Carlos M/A-7670-2013; Agusti, Susana/G-2864-2017; Duarte Quesada, Carlos Manuel/ABD-6208-2021; Reche, Isabel/K-7120-2014; Agusti, Susana/H-8421-2012; Ortega-Retuerta, Eva/I-2432-2015</t>
  </si>
  <si>
    <t>Duarte, Carlos M/0000-0002-1213-1361; Agusti, Susana/0000-0003-0536-7293; Reche, Isabel/0000-0003-2908-1724; Pulido, Elvira/0000-0002-5436-2133; Ortega-Retuerta, Eva/0000-0003-0780-8347</t>
  </si>
  <si>
    <t>Spanish Ministry of Science and Technology [REN2002-04165-CO3-02, CGL2005-00076]; Spanish Ministry of Science and Education</t>
  </si>
  <si>
    <t>Spanish Ministry of Science and Technology(Spanish Government); Spanish Ministry of Science and Education(Spanish Government)</t>
  </si>
  <si>
    <t>We thank the crew of R/V Hesperides and Marine Technology Unit for their assistance in the field, and Maria Calleja for DOC analyses. We also acknowledge U. Passow, A. Corzo and L Prieto for sharing TEP data. This work was funded by the Spanish Ministry of Science and Technology (ICEPOS, REN2002-04165-CO3-02 to CD and DISPAR, CGL2005-00076 to 111). E. O.R. was supported by a fellowship of the Spanish Ministry of Science and Education.</t>
  </si>
  <si>
    <t>JUN 20</t>
  </si>
  <si>
    <t>10.1016/j.marchem.2009.06.004</t>
  </si>
  <si>
    <t>499ZK</t>
  </si>
  <si>
    <t>WOS:000270265400006</t>
  </si>
  <si>
    <t>Hellmer, HH; Kauker, F; Timmermann, R</t>
  </si>
  <si>
    <t>Hellmer, H. H.; Kauker, F.; Timmermann, R.</t>
  </si>
  <si>
    <t>Weddell Sea anomalies: Excitation, propagation, and possible consequences</t>
  </si>
  <si>
    <t>BOTTOM WATER; ROSS SEA; MODEL; WEST; DEEP</t>
  </si>
  <si>
    <t>Antarctic marginal seas are susceptible to significant decadal variability as revealed by the analysis of a 200-year integration of a regional ice-ocean model forced with the atmospheric output of the IPCC climate model ECHAM5-MPIOM. The strongest signal occurs on the southern and western Weddell Sea continental shelf where changes in bottom salinity are initiated by a variable sea ice cover and modification of surface waters near the Greenwich meridian. Related zonal shifts of the western rim current guide deep waters with different temperature out of the Weddell Sea. With a deep boundary current the temperature signal propagates westward through southern Drake Passage and along the upper continental rise in the southeast Pacific thereby influencing the hydrographic conditions on the continental shelf of Bellingshausen, Amundsen, and Ross Seas. Citation: Hellmer, H. H., F. Kauker, and R. Timmermann (2009), Weddell Sea anomalies: Excitation, propagation, and possible consequences, Geophys. Res. Lett., 36, L12605, doi: 10.1029/2009GL038407.</t>
  </si>
  <si>
    <t>[Hellmer, H. H.; Kauker, F.; Timmermann, R.] Alfred Wegener Inst Polar &amp; Marine Res, Dept Climate Sci, D-27570 Bremerhaven, Germany; [Kauker, F.] OASys, Hamburg, Germany</t>
  </si>
  <si>
    <t>Hellmer, HH (corresponding author), Alfred Wegener Inst Polar &amp; Marine Res, Dept Climate Sci, Bussestr 24, D-27570 Bremerhaven, Germany.</t>
  </si>
  <si>
    <t>hartmut.hellmer@awi.de; frank.kauker@awi.de; ralph.timmermann@awi.de</t>
  </si>
  <si>
    <t>Hellmer, Hartmut/0000-0002-9357-9853</t>
  </si>
  <si>
    <t>JUN 19</t>
  </si>
  <si>
    <t>L12605</t>
  </si>
  <si>
    <t>10.1029/2009GL038407</t>
  </si>
  <si>
    <t>460KI</t>
  </si>
  <si>
    <t>WOS:000267186200002</t>
  </si>
  <si>
    <t>Zandomeneghi, D; Barclay, A; Almendros, J; Godoy, JMI; Wilcock, WSD; Ben-Zvi, T</t>
  </si>
  <si>
    <t>Zandomeneghi, Daria; Barclay, Andrew; Almendros, Javier; Ibanez Godoy, Jesus M.; Wilcock, William S. D.; Ben-Zvi, Tami</t>
  </si>
  <si>
    <t>Crustal structure of Deception Island volcano from P wave seismic tomography: Tectonic and volcanic implications</t>
  </si>
  <si>
    <t>EAST PACIFIC RISE; SOUTH-SHETLAND-ISLANDS; BACK-ARC BASIN; BRANSFIELD STRAIT; WEST ANTARCTICA; VELOCITY STRUCTURE; STRUCTURE BENEATH; POISSONS RATIO; PLATE BOUNDARY; EVOLUTION</t>
  </si>
  <si>
    <t>Deception Island (62 degrees 59'S, 60 degrees 41'W) is an active volcano located in the Bransfield Strait between the Antarctic Peninsula and the South Shetland Islands. The island is composed of rocks that date from &lt;0.75 Ma to historical eruptions (1842, 1967, 1969, and 1970), and nowadays most of its activity is represented by vigorous hydrothermal circulation, slight resurgence of the inner bay floor, and intense seismicity, with frequent volcano-tectonic and long-period events. In January 2005 an extensive seismic survey took place in and around the island to collect high-quality data for a high-resolution P wave velocity tomography study. A total of 95 land and 14 ocean bottom seismometers were deployed, and more than 6600 air gun shots were fired. As a result of this experiment, more than 70,000 travel time data were used to obtain the velocity model, which resolves strong P wave velocity contrasts down to 5 km depth. The joint interpretation of the Vp distribution together with the results of geological, geochemical, and other geophysical (magnetic and gravimetric) measurements allows us to map and interpret several volcanic features of the island and surroundings. The most striking feature is the low P wave velocity beneath the caldera floor which represents the seismic image of an extensive region of magma beneath a sediment-filled basin. Another low-velocity zone to the east of Deception Island corresponds to seafloor sedimentary deposits, while high velocities to the northwest are interpreted as the crystalline basement of the South Shetland Islands platform. In general, in the tomographic image we observe NE-SW and NW-SE distributions of velocity contrasts that are compatible with the regional tectonic directions and suggest that the volcanic evolution of Deception Island is strongly conditioned by the Bransfield Basin geodynamics.</t>
  </si>
  <si>
    <t>[Zandomeneghi, Daria; Almendros, Javier; Ibanez Godoy, Jesus M.] Univ Granada, Inst Andaluz Geofis, E-18071 Granada, Spain; [Barclay, Andrew] Columbia Univ, Lamont Doherty Geol Observ, Earth Inst, Palisades, NY 10964 USA; [Almendros, Javier; Ibanez Godoy, Jesus M.] Univ Granada, Dept Fis Teor &amp; Cosmos, E-18071 Granada, Spain; [Wilcock, William S. D.; Ben-Zvi, Tami] Univ Washington, Sch Oceanog, Seattle, WA 98195 USA</t>
  </si>
  <si>
    <t>University of Granada; Columbia University; University of Granada; University of Washington; University of Washington Seattle</t>
  </si>
  <si>
    <t>Zandomeneghi, D (corresponding author), New Mexico Inst Min &amp; Technol, Dept Earth &amp; Environm Sci, 801 Leroy Pl, Socorro, NM 87801 USA.</t>
  </si>
  <si>
    <t>daria@ees.nmt.edu</t>
  </si>
  <si>
    <t>IBANEZ, JESUS M/G-9910-2019; Almendros, Javier/M-2468-2014</t>
  </si>
  <si>
    <t>IBANEZ, JESUS M/0000-0002-9846-8781; Almendros, Javier/0000-0001-5936-6160; Wilcock, William/0000-0001-7224-7246</t>
  </si>
  <si>
    <t>Spanish Education and Research Ministry [REN 2001-3833, CGL2005-05789-C02-02/ANT, POL2006-08663, CGL2008-01660]; U. S. National Science Foundation [ANT-0230094]</t>
  </si>
  <si>
    <t>Spanish Education and Research Ministry; U. S. National Science Foundation(National Science Foundation (NSF))</t>
  </si>
  <si>
    <t>We are grateful to the officers and crew of the R/V Hesperides and R/ V Las Palmas, the personnel of the Marine Technology Unit (UTM), and the members of the TOMODEC Working Group. Additional field support was provided by the Gabriel de Castilla base. This work was supported by the Spanish Education and Research Ministry grants REN 2001-3833, CGL2005-05789-C02-02/ANT, POL2006-08663, and CGL2008-01660 and the U. S. National Science Foundation grant ANT-0230094. The ocean bottom seismometers were provided by the U. S National Oceanographic Instrument Pool.</t>
  </si>
  <si>
    <t>B06310</t>
  </si>
  <si>
    <t>10.1029/2008JB006119</t>
  </si>
  <si>
    <t>460MA</t>
  </si>
  <si>
    <t>WOS:000267190600004</t>
  </si>
  <si>
    <t>Laybourn-Parry, J</t>
  </si>
  <si>
    <t>Laybourn-Parry, Johanna</t>
  </si>
  <si>
    <t>No Place Too Cold</t>
  </si>
  <si>
    <t>Laybourn-Parry, J (corresponding author), Univ Tasmania, Inst Antarctic &amp; So Ocean Studies, Hobart, Tas 7001, Australia.</t>
  </si>
  <si>
    <t>Jo.Laybourn-Parry@utas.edu.au</t>
  </si>
  <si>
    <t>10.1126/science.1173645</t>
  </si>
  <si>
    <t>459SU</t>
  </si>
  <si>
    <t>WOS:000267130600027</t>
  </si>
  <si>
    <t>Eldrett, JS; Greenwood, DR; Harding, IC; Huber, M</t>
  </si>
  <si>
    <t>Eldrett, James S.; Greenwood, David R.; Harding, Ian C.; Huber, Matthew</t>
  </si>
  <si>
    <t>Increased seasonality through the Eocene to Oligocene transition in northern high latitudes</t>
  </si>
  <si>
    <t>CARBON-DIOXIDE CONCENTRATIONS; MODEL VERSION-3 CCSM3; EOCENE/OLIGOCENE BOUNDARY; CALCITE COMPENSATION; PALEOCLIMATIC CHANGE; CLIMATE SENSITIVITY; BIPOLAR GLACIATION; GREENLAND; ICE; SIMULATION</t>
  </si>
  <si>
    <t>A profound global climate shift took place at the Eocene-Oligocene transition (similar to 33.5 million years ago) when Cretaceous/early Palaeogene greenhouse conditions gave way to icehouse conditions(1-3). During this interval, changes in the Earth's orbit and a long-term drop in atmospheric carbon dioxide concentrations(4-6) resulted in both the growth of Antarctic ice sheets to approximately their modern size(2,3) and the appearance of Northern Hemisphere glacial ice(7,8). However, palaeoclimatic studies of this interval are contradictory: although some analyses indicate no major climatic changes(9,10), others imply cooler temperatures(11), increased seasonality(12,13) and/or aridity(12-15). Climatic conditions in high northern latitudes over this interval are particularly poorly known. Here we present northern high-latitude terrestrial climate estimates for the Eocene to Oligocene interval, based on bioclimatic analysis of terrestrially derived spore and pollen assemblages preserved in marine sediments from the Norwegian-Greenland Sea. Our data indicate a cooling of similar to 5 degrees C in cold-month (winter) mean temperatures to 0-2 degrees C, and a concomitant increased seasonality before the Oi-1 glaciation event. These data indicate that a cooling component is indeed incorporated in the delta 18O isotope shift across the Eocene Oligocene transition. However, the relatively warm summer temperatures at that time mean that continental ice on East Greenland was probably restricted to alpine outlet glaciers.</t>
  </si>
  <si>
    <t>[Eldrett, James S.] Shell Explorat &amp; Prod UK Ltd, Aberdeen AB12 3FY, Scotland; [Greenwood, David R.] Brandon Univ, Dept Biol, Brandon, MB R7A 6A9, Canada; [Harding, Ian C.] Univ Southampton, Natl Oceanog Ctr, Sch Ocean &amp; Earth Sci, Southampton SO14 3ZH, Hants, England; [Huber, Matthew] Purdue Univ, Dept Earth &amp; Atmospher Sci, Purdue Climate Change Res Ctr, W Lafayette, IN 47906 USA</t>
  </si>
  <si>
    <t>Brandon University; University of Southampton; NERC National Oceanography Centre; Purdue University System; Purdue University</t>
  </si>
  <si>
    <t>Eldrett, JS (corresponding author), Shell Explorat &amp; Prod UK Ltd, 1 Altens Farm Rd, Aberdeen AB12 3FY, Scotland.</t>
  </si>
  <si>
    <t>james.eldrett@shell.com</t>
  </si>
  <si>
    <t>Greenwood, David R./C-2758-2008; Harding, Ian C/K-3320-2012; Huber, Matthew/A-7677-2008</t>
  </si>
  <si>
    <t>Greenwood, David R./0000-0002-8569-9695; Huber, Matthew/0000-0002-2771-9977; Harding, Ian/0000-0003-4281-0581; Eldrett, James/0000-0001-5196-3112</t>
  </si>
  <si>
    <t>US National Science Foundation (NSF); NSERC (Canada)</t>
  </si>
  <si>
    <t>US National Science Foundation (NSF)(National Science Foundation (NSF)); NSERC (Canada)(Natural Sciences and Engineering Research Council of Canada (NSERC))</t>
  </si>
  <si>
    <t>This research used samples provided by the Ocean Drilling Program (ODP). ODP was sponsored by the US National Science Foundation (NSF) and participating countries under management of Consortium for Ocean Leadership. D. R. G.'s research is supported by NSERC (Canada). We thank S. Akbari for sample preparation.</t>
  </si>
  <si>
    <t>JUN 18</t>
  </si>
  <si>
    <t>U91</t>
  </si>
  <si>
    <t>10.1038/nature08069</t>
  </si>
  <si>
    <t>458XS</t>
  </si>
  <si>
    <t>WOS:000267063500039</t>
  </si>
  <si>
    <t>Yamashita, C; Chu, XZ; Liu, HL; Espy, PJ; Nott, GJ; Huang, WT</t>
  </si>
  <si>
    <t>Yamashita, Chihoko; Chu, Xinzhao; Liu, Han-Li; Espy, Patrick J.; Nott, Graeme J.; Huang, Wentao</t>
  </si>
  <si>
    <t>Stratospheric gravity wave characteristics and seasonal variations observed by lidar at the South Pole and Rothera, Antarctica</t>
  </si>
  <si>
    <t>MIDDLE ATMOSPHERE; RAYLEIGH LIDAR; MOMENTUM FLUX; MESOSPHERE; GENERATION; DYNAMICS; FLUCTUATIONS; CLIMATOLOGY; TEMPERATURE; SPECTRA</t>
  </si>
  <si>
    <t>We present an observational study of stratospheric gravity wave spectra and seasonal variations of potential energy density at the South Pole (90 degrees S) and Rothera (67.5 degrees S, 68.0 degrees W), Antarctica. The gravity wave spectra are derived from the atmospheric relative density perturbation in the altitude range of 30-45 km measured by an iron Boltzmann lidar. The ground-relative wave characteristics obtained at each location are comparable, with an annual mean vertical wavelength of similar to 4.1 km, vertical phase speed of similar to 0.7 m s(-1), and period of similar to 104 min. Approximately 44% of the observed waves show an upward phase progression while the rest display a downward phase progression in ground-based reference for both locations. Gravity wave potential energy density (GW-E-P) at Rothera is similar to 4 times higher than the South Pole in winter but is comparable in summer. Clear seasonal variations of GW-E-P are observed at Rothera with the winter average being 6 times larger than that of summer. The seasonal variations of GW-E-P at the South Pole are significantly smaller than those at Rothera. The absence of seasonal variations in wave sources and critical level filtering at the South Pole is likely to be responsible for the nearly constant GW-E-P. The minimum critical level filtering in winter at Rothera is likely to be a main cause for the winter enhanced GW-E-P, as this would allow more orography-generated waves to reach the 30 to 45 km range. The stratospheric jet streams may also contribute to the winter enhancement at Rothera.</t>
  </si>
  <si>
    <t>[Yamashita, Chihoko; Chu, Xinzhao; Huang, Wentao] Univ Colorado, Cooperat Inst Res Environm Sci, Boulder, CO 80309 USA; [Yamashita, Chihoko; Chu, Xinzhao; Huang, Wentao] Univ Colorado, Dept Aerosp Engn Sci, Boulder, CO 80309 USA; [Yamashita, Chihoko; Liu, Han-Li] Natl Ctr Atmospher Res, High Altitude Observ, Boulder, CO 80307 USA; [Espy, Patrick J.] Norwegian Univ Sci &amp; Technol, Dept Phys, NO-7491 Trondheim, Norway; [Nott, Graeme J.] Dalhousie Univ, Dept Phys &amp; Atmospher Sci, Halifax, NS B3H 3J5, Canada</t>
  </si>
  <si>
    <t>University of Colorado System; University of Colorado Boulder; University of Colorado System; University of Colorado Boulder; National Center Atmospheric Research (NCAR) - USA; Norwegian University of Science &amp; Technology (NTNU); Dalhousie University</t>
  </si>
  <si>
    <t>Yamashita, C (corresponding author), Univ Colorado, Cooperat Inst Res Environm Sci, 216 UCB, Boulder, CO 80309 USA.</t>
  </si>
  <si>
    <t>Liu, Han/GVT-8296-2022; Liu, Han/HMD-9231-2023; Chu, Xinzhao/I-5670-2015; Liu, Han-Li/A-9549-2008; Cullens, Chihoko/P-2425-2015</t>
  </si>
  <si>
    <t>Liu, Han/0000-0002-5269-8477; Liu, Han-Li/0000-0002-6370-0704; Cullens, Chihoko/0000-0002-9951-9763</t>
  </si>
  <si>
    <t>U.K. Natural Environmental Research Council; United States National Science Foundation; NCAR Newkirk Graduate Fellowship; Office of Naval Research [N00014-07-C0209]; National Science Foundation; [ATM-0602334]; [ATM-0645584]; [ATM-0632501]; [ATM-0545353]</t>
  </si>
  <si>
    <t>U.K. Natural Environmental Research Council(UK Research &amp; Innovation (UKRI)Natural Environment Research Council (NERC)); United States National Science Foundation(National Science Foundation (NSF)); NCAR Newkirk Graduate Fellowship; Office of Naval Research(Office of Naval Research); National Science Foundation(National Science Foundation (NSF)); ; ; ;</t>
  </si>
  <si>
    <t>We sincerely acknowledge Jan C. Diettrich and the staff of the British Antarctic Survey for their operation of the lidar at Rothera. We also acknowledge two winter-over scientists, Ashraf El Dakrouri and John Bird, and the staff of Amundsen-Scott South Pole Station for their help and support in collecting data at the South Pole. We appreciate the valuable discussion with Dave Fritts. Rothera lidar project was supported by the U.K. Natural Environmental Research Council and by the United States National Science Foundation. C.Y., X. C., and W. H. were partially supported by NSF grants ATM-0602334, ATM-0645584, ATM-0632501, and ATM-0545353. C. Y. sincerely acknowledges the generous support of NCAR Newkirk Graduate Fellowship. H. L. L's effort is in part supported by the Office of Naval Research (N00014-07-C0209). National Center for Atmospheric Research is sponsored by the National Science Foundation.</t>
  </si>
  <si>
    <t>JUN 17</t>
  </si>
  <si>
    <t>D12101</t>
  </si>
  <si>
    <t>10.1029/2008JD011472</t>
  </si>
  <si>
    <t>460KP</t>
  </si>
  <si>
    <t>WOS:000267186900004</t>
  </si>
  <si>
    <t>Blagoveshchensky, DV; Andreyev, MY; Mingalev, VS; Mingaleva, GI; Kalishin, AS</t>
  </si>
  <si>
    <t>Blagoveshchensky, D. V.; Andreyev, M. Yu.; Mingalev, V. S.; Mingaleva, G. I.; Kalishin, A. S.</t>
  </si>
  <si>
    <t>Physical and model interpretation of HF radio propagation on the St. Petersburg-Longyearbyen (Svalbard) path</t>
  </si>
  <si>
    <t>Ionospheric model; Radio propagation; Ray-tracing</t>
  </si>
  <si>
    <t>MAIN IONOSPHERIC TROUGH; MIDLATITUDE TROUGH; IONIZATION TROUGHS; ELECTRIC-FIELDS; SUPERDARN; DYNAMICS; LATITUDES; SIGNALS; REGION</t>
  </si>
  <si>
    <t>HF radio wave observations have been carried out with an oblique ionospheric sounding (OIS) method on the radio path from St. Petersburg to Longyearbyen (Svalbard), and experimental ionograms were obtained for December 2001. These ionograms have been analysed to investigate the impact of the main ionospheric trough (MIT) and magnetic disturbances on the signals on this path. The observations during weakly disturbed (K-p = 2) magnetic conditions on 14-15 December 2001 were compared with predictions from ray-tracing through a numerical model of the ionosphere. The ray-tracing computer program synthesizes the OIS ionograms by means of the shooting method. This method calculates trajectories of HF radio waves for different values of elevation angle and transmission frequency. There was a variety of calculated trajectories, from which we choose those which reach the receiver, and the selected paths provide a synthesis of the oblique ionograms. To simulate HF radio wave propagation, we apply a three-dimensional distribution of the electron density calculated with the mathematical model of the high-latitude ionosphere developed in the Polar Geophysical Institute (PGI). These numerical simulations permit us to interpret specific peculiarities of the OIS data such as abnormal propagation modes, increased delays of signals, enhanced MOF (maximum observed frequency) values etc. New results of the study are summarised as follows. (1) An unusual feature of the propagation along the path is the change of propagation mechanism during substorms on entering a path midpoint (or 1-hop reflection point) to the MIT. (2) Even weak substorms, having the distinguished intensities, lead to the appearance of different types of irregularities observed by the CUTLASS radar and therefore to the different propagation modes and F2MOF values. (3) The PGI model of the ionosphere was first used for ray-tracing at high latitudes. The model results are basically in a good qualitative agreement with experimental observations. This model provides the satisfactory agreement between the calculated and experimental F2MOF values while not correctly representing the fine structure of the experimental OIS ionograms at night. An agreement between the calculated and experimental data is better for day and evening hours than at night. (C) 2009 COSPAR. Published by Elsevier Ltd. All rights reserved.</t>
  </si>
  <si>
    <t>[Blagoveshchensky, D. V.] Univ Aerosp Instrumentat, St Petersburg 190000, Russia; [Andreyev, M. Yu.; Mingalev, V. S.; Mingaleva, G. I.] Russian Acad Sci, Polar Geophys Inst, Kola Sci Ctr, Apatity 184209, Murmansk Region, Russia; [Kalishin, A. S.] Arctic &amp; Antarctic Res Inst, St Petersburg 199397, Russia</t>
  </si>
  <si>
    <t>Saint Petersburg State University of Aerospace Instrumentation; Russian Academy of Sciences; Kola Science Centre of the Russian Academy of Sciences; Polar Geophysical Institute; Arctic &amp; Antarctic Research Institute</t>
  </si>
  <si>
    <t>Blagoveshchensky, DV (corresponding author), Univ Aerosp Instrumentat, 67 Bolshaya Morskaya, St Petersburg 190000, Russia.</t>
  </si>
  <si>
    <t>dvb@ppp.delfa.net; mingalev@pgi.kolasc.net.ru; dvb@aanet.ru</t>
  </si>
  <si>
    <t>; Mingalev, Victor/B-3975-2017</t>
  </si>
  <si>
    <t>Kalishin, Alexey/0000-0001-7299-6546; Mingalev, Victor/0000-0003-0341-6901</t>
  </si>
  <si>
    <t>NATO [CLG 983460]</t>
  </si>
  <si>
    <t>NATO(NATO (North Atlantic Treaty Organisation))</t>
  </si>
  <si>
    <t>This study was carried out with the financial support from NATO, Grant CLG 983460. Authors thank Prof. M. Lester for providing some CUTLASS data.</t>
  </si>
  <si>
    <t>JUN 15</t>
  </si>
  <si>
    <t>10.1016/j.asr.2009.01.030</t>
  </si>
  <si>
    <t>460IM</t>
  </si>
  <si>
    <t>WOS:000267181400017</t>
  </si>
  <si>
    <t>Straza, TRA; Cottrell, MT; Ducklow, HW; Kirchman, DL</t>
  </si>
  <si>
    <t>Straza, Tiffany R. A.; Cottrell, Matthew T.; Ducklow, Hugh W.; Kirchman, David L.</t>
  </si>
  <si>
    <t>Geographic and Phylogenetic Variation in Bacterial Biovolume as Revealed by Protein and Nucleic Acid Staining</t>
  </si>
  <si>
    <t>IN-SITU HYBRIDIZATION; NORTH-ATLANTIC OCEAN; MARINE BACTERIOPLANKTON; DELAWARE ESTUARY; OLIGONUCLEOTIDE PROBES; SALMONELLA-TYPHIMURIUM; BIOMASS PRODUCTION; FLOW-CYTOMETRY; CELLULAR DNA; ARCTIC-OCEAN</t>
  </si>
  <si>
    <t>Biovolume is an important characteristic of cells that shapes the contribution of microbes to total biomass and biogeochemical cycling. Most studies of bacterial cell volumes use DAPI (4',6'-diamidino-2-phenylindole), which stains nucleic acids and therefore only a portion of the cell. We used SYPRO Ruby protein stain combined with fluorescence in situ hybridization to examine biovolumes of bacteria in the total community, as well in phylogenetic subgroups. Protein-based volumes varied more and were consistently larger than DNA-based volumes by 3.3-fold on average. Bacterial cells were ca. 30% larger in the Arctic Ocean and Antarctic coastal waters than in temperate regimes. We hypothesized that geographic differences in the abundance of specific bacterial groups drove the observed patterns in biovolume. In support of this hypothesis, we found that Gammaproteobacteria and members of the Sphingobacteria-Flavobacteria group were larger in higher-latitude waters and that the mean volumes of both groups were larger than the mean bacterial volume in all environments tested. The mean cell size of SAR11 bacteria was larger than the mean cell size of the total bacterial community on average, although this varied. Protein staining increases the accuracy of biovolume measurements and gives insights into how the biomass of marine microbial communities varies over time and space.</t>
  </si>
  <si>
    <t>[Straza, Tiffany R. A.; Cottrell, Matthew T.; Kirchman, David L.] Univ Delaware, Coll Marine &amp; Earth Studies, Lewes, DE 19958 USA; [Ducklow, Hugh W.] Marine Biol Lab, Ctr Ecosyst, Woods Hole, MA 02543 USA</t>
  </si>
  <si>
    <t>University of Delaware; Marine Biological Laboratory - Woods Hole</t>
  </si>
  <si>
    <t>Kirchman, DL (corresponding author), Univ Delaware, Coll Marine &amp; Earth Studies, 700 Pilottown Rd, Lewes, DE 19958 USA.</t>
  </si>
  <si>
    <t>Straza, Tiffany/0000-0002-1129-1080; Cottrell, Matthew/0000-0003-0449-9999</t>
  </si>
  <si>
    <t>NSF [MCB 0453993, OPP 0632233, OPP 0217282]</t>
  </si>
  <si>
    <t>This study was supported by NSF grants MCB 0453993 and OPP 0632233 to D. L. K. and OPP 0217282 to H. W. D.; G. Christman, V. Michelou, A. Sundberg, L. Yu, and the crew of the R/V Sharp helped with sample collection. We thank R. Dale for assistance with Python and MySQL and two anonymous reviewers for their comments.</t>
  </si>
  <si>
    <t>10.1128/AEM.00183-09</t>
  </si>
  <si>
    <t>455RP</t>
  </si>
  <si>
    <t>WOS:000266782300024</t>
  </si>
  <si>
    <t>Carter, SP; Blankenship, DD; Young, DA; Peters, ME; Holt, JW; Siegert, MJ</t>
  </si>
  <si>
    <t>Carter, Sasha P.; Blankenship, Donald D.; Young, Duncan A.; Peters, Matthew E.; Holt, John W.; Siegert, Martin J.</t>
  </si>
  <si>
    <t>Dynamic distributed drainage implied by the flow evolution of the 1996-1998 Adventure Trench subglacial lake discharge</t>
  </si>
  <si>
    <t>East Antarctica; subglacial lakes; jokulhlaup; radar; Adventure Subglacial Trench; hydrology; ice-ocean interactions; polar science; remote sensing; climate change; sea level; ice shelf; cryosphere</t>
  </si>
  <si>
    <t>EAST ANTARCTICA; ICE STREAM; TRANSANTARCTIC MOUNTAINS; BASAL ICE; WATER; BED; GLACIER; FLOODS; PENETRATION; MECHANICS</t>
  </si>
  <si>
    <t>The transport of subglacial water beneath the East Antarctic Ice Sheet is an enigmatic and difficult to observe process which may affect the flow of the overlying ice and mixing of the oceans in the sub ice shelf cavities, and ultimately global climate. Periodic outbursts are a critical mechanism in this process. Recent analysis of satellite data has inferred a subglacial hydraulic discharge totaling 2 km(3) traveling some 260 km along the ice-bed interface of the Adventure Subglacial Trench between 1996 and 1998 (Wingham et al., 2006. Rapid discharge connects Antarctic subglacial lakes. Nature 440,1033-1036). Using radar echo sounding data from the Adventure Subglacial Trench region in conjunction with the previously reported satellite observations, along with some basic modeling, we calculate a mass budget and infer a flow mechanism for the 1996-1998 event. The volume released from the source lake exceeded the volume received by the destination lakes by similar to 1.1 km(3). This discrepancy indicates that some water must have escaped downstream from the lowest destination lake from 1997 onward. The downstream release of water from the destination lakes continued until at least 2003, several years after the 1998 cessation of surface subsidence at the source lake. By 2003 a total of 1.5 km(3) or nearly 75% of the water released by the source lake had traveled downstream from the destination lakes. The temporal evolution of discharge from the outlet can be simulated with the classic ice-walled semicircular channel model, if and only if the retreat of the source lake shoreline is taken into account. Further downstream, the ice bedrock geometry along the inferred flow path downstream includes many sections where thermal erosion of the overlying ice would not be sustainable. Along these reaches mechanical lifting of the ice roof and/or erosion of a sedimentary substrate by a broad shallow water system would be most effective means of sustaining the discharge. A distributed system is also consistent with the 3-month delay between water release at the source lake and water arrival at the destination lake. Observations of intermittent flat bright bed reflections in radar data acquired along the flow path are consistent with the presence of a broad shallow water system. Ultimately the presence of large subglacial lakes along the flow path of the 1996-1998 Adventure Subglacial Trench flow path delayed the arrival of water to points downstream by approximately 12 months. (C) 2009 Elsevier B.V. All rights reserved.</t>
  </si>
  <si>
    <t>[Carter, Sasha P.; Blankenship, Donald D.; Young, Duncan A.; Peters, Matthew E.; Holt, John W.] Univ Texas John A &amp; Katherine G Jackson Sch Geosc, Inst Geophys UTIG, Austin, TX 78758 USA; [Carter, Sasha P.] Univ Calif San Diego, Scripps Inst Oceanog, Inst Geophys &amp; Planetary Phys, La Jolla, CA 92093 USA; [Peters, Matthew E.] Univ Texas Austin, Appl Res Labs, Environm Sci Grp, Austin, TX 78713 USA; [Siegert, Martin J.] Univ Edinburgh, Sch Geosci, Grant Inst, Edinburgh EH9 3JW, Midlothian, Scotland</t>
  </si>
  <si>
    <t>University of California System; University of California San Diego; Scripps Institution of Oceanography; University of Texas System; University of Texas Austin; University of Edinburgh</t>
  </si>
  <si>
    <t>Carter, SP (corresponding author), Univ Texas John A &amp; Katherine G Jackson Sch Geosc, Inst Geophys UTIG, JJ Pickle Res Campus,Bldg 196,10100 Burnet Rd R22, Austin, TX 78758 USA.</t>
  </si>
  <si>
    <t>spcarter@ucsd.edu; blank@ig.utexas.edu; duncan@ig.utexas.edu; peters@arlut.utexas.edu; jack@ig.utexas.edu; M.J.Siegert@ed.ac.uk</t>
  </si>
  <si>
    <t>Holt, John W/C-4896-2009; Siegert, Martin/M-9939-2019; Siegert, Martin J/A-3826-2008; Blankenship, Donald D./G-5935-2010; Young, Duncan/G-6256-2010</t>
  </si>
  <si>
    <t>Siegert, Martin/0000-0002-0090-4806; Siegert, Martin J/0000-0002-0090-4806; Young, Duncan/0000-0002-6866-8176</t>
  </si>
  <si>
    <t>National Science Foundation [OPP 91-19379, OPP 93-19379, OPP 99-11617, OPP 96-15832, OPP 98-14816, OCE 04-02363]; John A. and Katherine G. Jackson School of Geosciences Geology Foundation; University of Texas; NASA [NNX08AN68G]; Vetlesen Foundation; NERC [NE/F016646/1] Funding Source: UKRI; Natural Environment Research Council [NE/F016646/1] Funding Source: researchfish; NASA [97564, NNX08AN68G] Funding Source: Federal RePORTER</t>
  </si>
  <si>
    <t>National Science Foundation(National Science Foundation (NSF)); John A. and Katherine G. Jackson School of Geosciences Geology Foundation; University of Texas; NASA(National Aeronautics &amp; Space Administration (NASA)); Vetlesen Foundation; NERC(UK Research &amp; Innovation (UKRI)Natural Environment Research Council (NERC)); Natural Environment Research Council(UK Research &amp; Innovation (UKRI)Natural Environment Research Council (NERC)); NASA(National Aeronautics &amp; Space Administration (NASA))</t>
  </si>
  <si>
    <t>The Support Office for Aerogeophysical Research at the University of Texas Institute for Geophysics, through which the data for this study was obtained, was funded by the National Science Foundation under Cooperative Agreement OPP 91-19379 and OPP 93-19379 as well as NSF grant OPP 99-11617. Additional data collection and processing was supported through NSF Grant OPP 96-15832 and OPP 98-14816. Multiple portions of this work were supported in part through the John A. and Katherine G. Jackson School of Geosciences Geology Foundation at The University of Texas at Austin and the Arthur E. Maxwell Graduate Fellowship. We thank Mr. James C. Patterson and Dr. James A. Austin for their support. Additional support for S.P.C. during the final write up of this work was provided by NSF Grant OCE 04-02363. Further financial and data support was provided by NASA grant NNX08AN68G. We also thank the Vetlesen Foundation for their generous financial support. We thank the SOAR team members and collaborators.; We thank Kevin Johnson, Steffen Saustrup, and Mark Weiderspan for their technical support in the processing of this data. We thank Marcy Davis, Jan Everett, Nancy Hard, Wilbert King, and Gwen Watson for administrative support. This manuscript was improved with comments from Dr. David Mohrig, Susan Carter, Charles Jackson, Helen A. Fricker, Joseph A. Walder, Anthony Wild, and one anonymous reviewer.</t>
  </si>
  <si>
    <t>10.1016/j.epsl.2009.03.019</t>
  </si>
  <si>
    <t>464OD</t>
  </si>
  <si>
    <t>WOS:000267513700003</t>
  </si>
  <si>
    <t>Haussmann, NS; McGeoch, MA; Boelhouwers, JC</t>
  </si>
  <si>
    <t>Haussmann, N. S.; McGeoch, M. A.; Boelhouwers, J. C.</t>
  </si>
  <si>
    <t>Interactions between a cushion plant (Azorella selago) and surface sediment transport on sub-Antarctic Marion Island</t>
  </si>
  <si>
    <t>Particle sorting; Azorella selago; Terrace formation; Needle ice; Sub-Antarctic</t>
  </si>
  <si>
    <t>VEGETATION PATTERNS; PRIMARY SUCCESSION; SORTED STRIPES; SIZE ANALYSIS; COLONIZATION; LANDFORMS; ROSETTES; GROWTH; FORMS</t>
  </si>
  <si>
    <t>On sub-Antarctic Marion Island cushions of the dominant vascular plant species, Azorella selago, interact with the geomorphology of fellfield landscapes by affecting sediment distribution and ultimately terrace formation. Here, to understand the consequences of Azorella cushions for substrate movement and sorting, we quantified the size and shape of Azorella cushions and the grain size distribution of sediment surrounding these Cushions, using a combination of image analysis approaches. Results show that as cushions become larger, they tend to become more elongated and grow more perpendicular to the slope. Mean and variance of grain size were greater upslope of Azorella cushions, while the number of particles was higher downslope of cushions, although these differences were not significant at all sites studied. Differences between upslope and downslope particle sizes were, however, not related to cushion elongation or growth angle as had been expected. The observed sediment partitioning is likely caused by a combination of frost-related sediment transport and Azorella cushions acting as sediment obstructions. Understanding these interactions between Azorella cushions and the landscape is especially important in the light of recent warming and drying on the island, as particle size affects soil properties such as water-holding capacity and frost susceptibility. (C) 2008 Elsevier B.V. All rights reserved.</t>
  </si>
  <si>
    <t>[Haussmann, N. S.] Univ Stellenbosch, Dept Conservat Ecol &amp; Entomol, ZA-7602 Matieland, South Africa; [Boelhouwers, J. C.] Univ Pretoria, Dept Geog Geoinformat &amp; Meteorol, ZA-0002 Pretoria, South Africa</t>
  </si>
  <si>
    <t>Stellenbosch University; University of Pretoria</t>
  </si>
  <si>
    <t>Haussmann, NS (corresponding author), Univ Stellenbosch, Dept Conservat Ecol &amp; Entomol, Private Bag 11, ZA-7602 Matieland, South Africa.</t>
  </si>
  <si>
    <t>nshau@sun.ac.za</t>
  </si>
  <si>
    <t>Haussmann, Natalie/AFK-4732-2022; Haussmann, Natalie/A-5665-2011; McGeoch, Melodie/F-8353-2011</t>
  </si>
  <si>
    <t>Haussmann, Natalie/0000-0002-0314-0266; McGeoch, Melodie/0000-0003-3388-2241</t>
  </si>
  <si>
    <t>The South African National Research Foundation (NRF); South African National Antarctic Programme (SANAP); Swedish International Development Cooperation Agency (SIDA)</t>
  </si>
  <si>
    <t>The South African National Research Foundation (NRF)(National Research Foundation - South Africa); South African National Antarctic Programme (SANAP); Swedish International Development Cooperation Agency (SIDA)</t>
  </si>
  <si>
    <t>The South African National Research Foundation (NRF), South African National Antarctic Programme (SANAP) and the Swedish International Development Cooperation Agency (SIDA) are thanked for financial and logistic support. Jesse Kalwij and Ethel Phiri are thanked for their help with the multivariate analysis and GIS map respectively.</t>
  </si>
  <si>
    <t>10.1016/j.geomorph.2008.12.002</t>
  </si>
  <si>
    <t>451FI</t>
  </si>
  <si>
    <t>WOS:000266455700003</t>
  </si>
  <si>
    <t>Gillies, JA; Nickling, WG; Tilson, M</t>
  </si>
  <si>
    <t>Gillies, John A.; Nickling, William G.; Tilson, Michael</t>
  </si>
  <si>
    <t>Ventifacts and wind-abraded rock features in the Taylor Valley, Antarctica</t>
  </si>
  <si>
    <t>Ventifacts; Wind abraded rocks; Antarctica</t>
  </si>
  <si>
    <t>MCMURDO DRY VALLEYS; VICTORIA LAND; EVOLUTION; COUNTY; RATES; LAKES; SITE</t>
  </si>
  <si>
    <t>An area north of Lake Fryxell in the Taylor Valley, Antarctica, was surveyed to determine the frequency of occurrence of rocks that show strong evidence of wind abrasion and ventifaction, which is defined here as rocks having well-developed faceting, to define their relative abundance in this area of the ice-free McMurdo Dry Valley system and to provide an indication of the role of wind as a geomorphic agent in this area. The orientation of abrasion-caused features (facets. keels, and grooves) with respect to the present day wind regime is also described. Rocks were examined on five linear transects ranging from 300 to 510 m in length. A total of 1324 rocks were examined. On average, 60% of all rocks exhibited distinct wind abrasion features with polish being the most common feature and polished rocks were distributed equally between survey lines, suggesting abrasion was ubiquitous in the study area. Approximately 4% of the rocks had distinct facets and/or keels, and fine-grained ultramafic peridotite-type rocks produced the most finely-featured forms (i.e., sharp facet edges and keels). A larger percentage, approximate to 12.5%, had grooves. Grooves were typically associated with a tabular form of mafic diabase-type igneous rock. The distribution of faceted ventifacts and grooved rocks was not uniform for the five transects, suggesting that the distribution mechanism for the surface rocks and the source areas determined, to a large extent, what form of ventifact could be produced at a location. The orientation of the grooves and dip directions of the facets indicates the direction of the abrasive winds had a strong westerly component, which coincides with the modern wind regime of winter katabatic flows that move down valley toward the Ross Sea. The orientation of the facets and grooves suggests that the rate of formation of the ventifacts proceeds at a pace greater than other surficial processes (e.g., down-slope soil movement, cryoturbation), which should tend to remove trends in the facet and groove orientations, or that the down-slope movement of the surface is approximately perpendicular to the wind allowing preservation of the alignment. (C) 2008 Elsevier B.V. All rights reserved.</t>
  </si>
  <si>
    <t>[Gillies, John A.] Desert Res Inst, Div Atmospher Sci, Reno, NV 89512 USA; [Nickling, William G.; Tilson, Michael] Univ Guelph, Dept Geog, Wind Eros Lab, Guelph, ON N1G 2W1, Canada</t>
  </si>
  <si>
    <t>Nevada System of Higher Education (NSHE); Desert Research Institute NSHE; University of Guelph</t>
  </si>
  <si>
    <t>Gillies, JA (corresponding author), Desert Res Inst, Div Atmospher Sci, 2215 Raggio Pkwy, Reno, NV 89512 USA.</t>
  </si>
  <si>
    <t>jackg@dri.edu</t>
  </si>
  <si>
    <t>U.S. National Science Foundation's Office of Polar Programs [ANT-063621]; National Sciences and Engineering Council, Canada</t>
  </si>
  <si>
    <t>U.S. National Science Foundation's Office of Polar Programs(National Science Foundation (NSF)); National Sciences and Engineering Council, Canada</t>
  </si>
  <si>
    <t>This research was supported by the U.S. National Science Foundation's Office of Polar Programs, Grant ANT-063621 to J.A. Gillies. W.G. Nickling would also like to acknowledge support to him from the National Sciences and Engineering Council, Canada. We are also grateful for the outstanding logistical support provided by the United States Antarctic Program. We would also like to thank Ms. Becky Peace (BFC, USAP) for her invaluable assistance in the field, and to Dr. W. Chesworth, Department of Land Resource Science, University of Guelph, for identifying the lithologies of the faceted ventifacts and grooved rocks.</t>
  </si>
  <si>
    <t>10.1016/j.geomorph.2008.12.007</t>
  </si>
  <si>
    <t>WOS:000266455700004</t>
  </si>
  <si>
    <t>Phillips, G; Läufer, AL</t>
  </si>
  <si>
    <t>Phillips, G.; Laeufer, A. L.</t>
  </si>
  <si>
    <t>Brittle deformation relating to the Carboniferous-Cretaceous evolution of the Lambert Graben, East Antarctica: A precursor for Cenozoic relief development in an intraplate and glaciated region</t>
  </si>
  <si>
    <t>East Antarctica; Gamburtsev Mountains; Lambert Graben; Palaeostress; Intracontinental relief; Stress inversion</t>
  </si>
  <si>
    <t>PRINCE-CHARLES-MOUNTAINS; GAMBURTSEV SUBGLACIAL MOUNTAINS; REVISED STRATIGRAPHY; LANDSCAPE EVOLUTION; MAWSON-ESCARPMENT; ICE-SHEET; SEA-LEVEL; RIFT; HISTORY; ORIGIN</t>
  </si>
  <si>
    <t>Stress inversions of kinematic data measured from brittle deformation structures exposed in the southern Prince Charles Mountains have been carried out to elucidate the drivers of intracontinental deformation responsible for the development of the Lambert Graben, East Antarctica. Four palaeostress fields (D1-D4) were identified from these data, which when coupled with pre-existing geochronological and sedimentological evidence. provide a clear deformation framework. The architecture of the Lambert Graben is dominantly defined by north-south trending D2 and northeast-southwest trending D3 faults that formed respectively during: (1) Carboniferous-Permian intracontinental extrusion and (2) Cretaceous transtensional tectonics related to the dispersion of East Gondwana. Interestingly, sub-ice topography in the southern Prince Charles Mountains and further south towards the Gamburtsev Mountains is defined by bedrock lineaments that parallel the orientations of the main fault arrays. Previous work shows that the development of relief in the southern Prince Charles Mountains is Tertiary in age and probably not associated with Carboniferous-Permian or Cretaceous tectonic events. Based on a clear spatial link between the orientations of faults and bedrock lineaments, we suggest that inherited fault zones were integral in accommodating uplift driven by plate flexure as a response to crustal unloading during glacial incision. (C) 2009 Elsevier B.V. All rights reserved.</t>
  </si>
  <si>
    <t>[Phillips, G.] Univ Newcastle, Discipline Earth Sci, Newcastle, NSW 2308, Australia; [Phillips, G.] Univ Melbourne, Sch Earth Sci, Parkville, Vic 3010, Australia; [Laeufer, A. L.] Bundesanstalt Geowissensch &amp; Rohstoffe, D-3000 Hannover, Germany</t>
  </si>
  <si>
    <t>University of Newcastle; University of Melbourne</t>
  </si>
  <si>
    <t>Phillips, G (corresponding author), Univ Newcastle, Discipline Earth Sci, Newcastle, NSW 2308, Australia.</t>
  </si>
  <si>
    <t>Läufer, Andreas/ABC-1465-2020</t>
  </si>
  <si>
    <t>Läufer, Andreas/0000-0003-2219-0450</t>
  </si>
  <si>
    <t>Australian Antarctic Division [1215]; Bundesanstalt fur Geowissenschaften und Rohstoffe (BGR); Deutsche Forschungsgemeinschaft (DFG) [LA 1080/4-1]</t>
  </si>
  <si>
    <t>Australian Antarctic Division; Bundesanstalt fur Geowissenschaften und Rohstoffe (BGR); Deutsche Forschungsgemeinschaft (DFG)(German Research Foundation (DFG))</t>
  </si>
  <si>
    <t>The Australian Antarctic Division (AAS Grant 1215) and the Bundesanstalt fur Geowissenschaften und Rohstoffe (BGR) are thanked for logistical and financial support of the 2002-03 PCMEGA field season in Antarctica. G.P. acknowledges the support of a Scientific Committee of Antarctic Research Fellowship. A.L. thanks BGR for invitation on to the PCMEGA expedition and acknowledges Deutsche Forschungsgemeinschaft (DFG) for financial support (Grant LA 1080/4-1). Thanks to Mark McLean for providing bedrock elevation maps and Chris Wilson for assistance in the field. Frank Lisker and Robin Offler provided comments on an earlier version of the manuscript and John Veevers provided an official review.</t>
  </si>
  <si>
    <t>10.1016/j.tecto.2009.02.012</t>
  </si>
  <si>
    <t>466VD</t>
  </si>
  <si>
    <t>WOS:000267690400004</t>
  </si>
  <si>
    <t>van Peet, JCA; van der A, RJ; de Laat, ATJ; Tuinder, ONE; König-Langlo, G; Wittig, J</t>
  </si>
  <si>
    <t>van Peet, J. C. A.; van der A, R. J.; de laat, A. T. J.; Tuinder, O. N. E.; Koenig-Langlo, G.; Wittig, J.</t>
  </si>
  <si>
    <t>Height resolved ozone hole structure as observed by the Global Ozone Monitoring Experiment-2</t>
  </si>
  <si>
    <t>ABSORPTION CROSS-SECTIONS; PROFILE RETRIEVAL; UV SPECTROSCOPY; TEMPERATURE</t>
  </si>
  <si>
    <t>We present Global Ozone Monitoring Experiment-2 (GOME-2) ozone profiles that were operationally retrieved with the KNMI Ozone ProfilE Retrieval Algorithm (OPERA) algorithm for the period September-December 2008. It is shown that it is possible to accurately measure the vertical distribution of stratospheric ozone for Antarctic ozone hole conditions from spectra measured at ultraviolet wavelengths from a nadir viewing instrument. Comparisons with ozone sonde observations from the Neumayer station at the Antarctic coast show a good agreement for various ozone profile shapes representing different phases of the annual recurring ozone hole cycle. A preliminary analysis of the three-dimensional structure of the ozone hole shows for example that at the vortex edges ozone rich mid-latitude middle and upper stratospheric layers can be found over ozone depleted lower stratospheric 'ozone hole' layers. These Antarctic ozone profile observations combined with the daily global coverage of GOME-2 enables the monitoring of the three-dimensional structure of the ozone hole on a daily basis. Citation: van Peet, J. C. A., R. J. van der A, A. T. J. de Laat, O. N. E. Tuinder, G. Konig-Langlo, and J. Wittig (2009), Height resolved ozone hole structure as observed by the Global Ozone Monitoring Experiment-2, Geophys. Res. Lett., 36, L11816, doi:10.1029/2009GL038603.</t>
  </si>
  <si>
    <t>[van Peet, J. C. A.; van der A, R. J.; de laat, A. T. J.; Tuinder, O. N. E.] Royal Netherlands Meteorol Inst, NL-3730 AE De Bilt, Netherlands; [Koenig-Langlo, G.; Wittig, J.] Alfred Wegener Inst Polar &amp; Marine Res, D-27570 Bremerhaven, Germany</t>
  </si>
  <si>
    <t>Royal Netherlands Meteorological Institute; Helmholtz Association; Alfred Wegener Institute, Helmholtz Centre for Polar &amp; Marine Research</t>
  </si>
  <si>
    <t>van Peet, JCA (corresponding author), Royal Netherlands Meteorol Inst, POB 201, NL-3730 AE De Bilt, Netherlands.</t>
  </si>
  <si>
    <t>peet@knmi.nl</t>
  </si>
  <si>
    <t>; Konig-Langlo, Gert/K-5048-2012</t>
  </si>
  <si>
    <t>de Laat, Jos/0000-0003-1078-5334; van Peet, J.C.A./0000-0002-8979-5000; Konig-Langlo, Gert/0000-0002-6100-4107</t>
  </si>
  <si>
    <t>JUN 13</t>
  </si>
  <si>
    <t>L11816</t>
  </si>
  <si>
    <t>10.1029/2009GL038603</t>
  </si>
  <si>
    <t>458FN</t>
  </si>
  <si>
    <t>WOS:000267000700007</t>
  </si>
  <si>
    <t>Kuhn, KL; Near, TJ; Jones, CD; Eastman, JT</t>
  </si>
  <si>
    <t>Kuhn, Kristen L.; Near, Thomas J.; Jones, Christopher D.; Eastman, Joseph T.</t>
  </si>
  <si>
    <t>Aspects of the Biology and Population Genetics of the Antarctic Nototheniid Fish Trematomus nicolai</t>
  </si>
  <si>
    <t>WEST WIND DRIFT; MCMURDO SOUND; STATISTICAL TESTS; BUOYANCY; MITOCHONDRIAL; PERCIFORMES; INFERENCES; NEUTRALITY; TOOTHFISH; DISPERSAL</t>
  </si>
  <si>
    <t>Trematomus nicolai is a near shore benthic notothenioid fish most abundant In the subzero shelf waters of East Antarctica. During recent collecting we obtained the first specimens of this species from West Antarctica (the Bransfield Strait), and we compare these with specimens from the Ross Sea (McMurdo Sound) in East Antarctica. Because T. nicolai has been frequently misidentified as T. tokarevi, we provide several non-meristic characters that separate these species. We employ a radiographic technique for rapid visualization of the cephalic lateral-line canals, an important diagnostic character in trematomids. Compared to those from McMurdo Sound, the Bransfield Strait specimens have lower ranges and mean counts for meristic characters, with significant differences for anal rays, pectoral rays, and vertebrae. Our data suggest a panmictic population, but the Bransfield Strait specimens live in water 3-4 degrees C warmer than McMurdo Sound, and this may contribute to lower meristic counts. The mean buoyancy between the two samples is not significantly different. We examined sequence variation in the ND2 portion of the mitochondrial DNA (mtDNA) genome for evidence of population structure in samples from both areas. We identified 12 mtDNA haplotypes (haplotype diversity [h] = 0.978, nucleotide diversity [pi] = 0.458%) and analysis of molecular variance (AMOVA) shows no significant global differentiation. A median-joining network that represents the genealogical relationships among the mitochondrial haplotypes also shows little separation between the samples from West and East Antarctica, and additional tests suggest the T. nicolai population is in equilibrium and of constant size. Trematomus nicolai exemplifies the potential of the Antarctic current regime for circum-Antarctic dispersal of a variety of organisms in the Southern Ocean.</t>
  </si>
  <si>
    <t>[Kuhn, Kristen L.; Near, Thomas J.] Yale Univ, Dept Ecol &amp; Evolutionary Biol, New Haven, CT 06520 USA; [Kuhn, Kristen L.; Near, Thomas J.] Yale Univ, Peabody Museum Nat Hist, New Haven, CT 06520 USA; [Jones, Christopher D.] NOAA, SW Fisheries Sci Ctr, Natl Marine Fisheries Serv, La Jolla, CA 92037 USA; [Eastman, Joseph T.] Ohio Univ, Dept Biomed Sci, Athens, OH 45701 USA</t>
  </si>
  <si>
    <t>Yale University; Yale University; National Oceanic Atmospheric Admin (NOAA) - USA; University System of Ohio; Ohio University</t>
  </si>
  <si>
    <t>kristen.kuhn@yale.edu; thomas.near@yale.edu; Chris.D.Jones@noaa.gov; eastman@ohiou.edu</t>
  </si>
  <si>
    <t>Eastman, Joseph T/A-9786-2008; Eastman, Joseph T./O-6150-2019; Near, Thomas J./K-1204-2012</t>
  </si>
  <si>
    <t>Eastman, Joseph T./0000-0003-3868-261X; Near, Thomas J./0000-0002-7398-6670</t>
  </si>
  <si>
    <t>Institutional Animal Care and Use Committee of Ohio University; New Zealand Ministry of Agriculture and Fisheries [A.S. 7015, A.S. 7016]; United States Fish and Wildlife Service; NSF [ANT 04-36190 UTE]</t>
  </si>
  <si>
    <t>Institutional Animal Care and Use Committee of Ohio University; New Zealand Ministry of Agriculture and Fisheries; United States Fish and Wildlife Service(US Fish &amp; Wildlife Service); NSF(National Science Foundation (NSF))</t>
  </si>
  <si>
    <t>We are grateful to J. Sattler for photographing Figure 3A and to D. Pratt for assembling Figure 3. Research was conducted Linder protocol L01-14 as approved by the Institutional Animal Care and Use Committee of Ohio University. In collecting specimens, we adhered to provisions of the Antarctic Conservation Act. For transshipping and importing specimens, we had permits from the New Zealand Ministry of Agriculture and Fisheries (#A.S. 7015 and A.S. 7016) and the United States Fish and Wildlife Service (a cleared Form 3-177). Supported by NSF grant ANT 04-36190 UTE).</t>
  </si>
  <si>
    <t>JUN 12</t>
  </si>
  <si>
    <t>10.1643/CG-08-087</t>
  </si>
  <si>
    <t>459YX</t>
  </si>
  <si>
    <t>WOS:000267151100015</t>
  </si>
  <si>
    <t>Dmitrenko, IA; Kirillov, SA; Ivanov, VV; Woodgate, RA; Polyakov, IV; Koldunov, N; Fortier, L; Lalande, C; Kaleschke, L; Bauch, D; Hölemann, JA; Timokhov, LA</t>
  </si>
  <si>
    <t>Dmitrenko, Igor A.; Kirillov, Sergey A.; Ivanov, Vladimir V.; Woodgate, Rebecca A.; Polyakov, Igor V.; Koldunov, Nikolay; Fortier, Louis; Lalande, Catherine; Kaleschke, Lars; Bauch, Dorothea; Hoelemann, Jens A.; Timokhov, Leonid A.</t>
  </si>
  <si>
    <t>Seasonal modification of the Arctic Ocean intermediate water layer off the eastern Laptev Sea continental shelf break</t>
  </si>
  <si>
    <t>ATLANTIC WATER; BARENTS SEA; DENSE WATER; INTERANNUAL VARIABILITY; OFFSHORE TRANSPORT; COASTAL POLYNYA; NANSEN BASIN; SPITSBERGEN; SLOPE; MODEL</t>
  </si>
  <si>
    <t>Through the analysis of observational mooring data collected at the northeastern Laptev Sea continental slope in 2004-2007, we document a hydrographic seasonal signal in the intermediate Atlantic Water (AW) layer, with generally higher temperature and salinity from December-January to May-July and lower values from May-July to December-January. At the mooring position, this seasonal signal dominates, contributing up to 75% of the total variance. Our data suggest that the entire AW layer down to at least 840 m is affected by seasonal cycling, although the strength of the seasonal signal in temperature and salinity reduces from 260 m (+/-0.25 degrees C and +/-0.025 psu) to 840 m (+/-0.05 degrees C and +/-0.005 psu). The seasonal velocity signal is substantially weaker, strongly masked by high-frequency variability, and lags the thermohaline cycle by 45-75 days. We hypothesize that our mooring record shows a time history of the along-margin propagation of the AW seasonal signal carried downstream by the AW boundary current. Our analysis suggests that the seasonal signal in the Fram Strait Branch of AW (FSBW) at 260 m is predominantly translated from Fram Strait, while the seasonality in the Barents Sea branch of AW (BSBW) domain (at 840 m) is attributed instead to the seasonal signal input from the Barents Sea. However, the characteristic signature of the BSBW seasonal dynamics observed through the entire AW layer leads us to speculate that BSBW also plays a role in seasonally modifying the properties of the FSBW.</t>
  </si>
  <si>
    <t>[Dmitrenko, Igor A.; Bauch, Dorothea] Univ Kiel, Leibniz Inst Marine Sci, Dept Paleoceanog, D-24148 Kiel, Germany; [Kirillov, Sergey A.; Timokhov, Leonid A.] Arctic &amp; Antarctic Res Inst, Dept Oceanol, St Petersburg 199397, Russia; [Ivanov, Vladimir V.; Polyakov, Igor V.] Univ Alaska Fairbanks, Int Arctic Res Ctr, Fairbanks, AK 99775 USA; [Woodgate, Rebecca A.] Univ Washington, Appl Phys Lab, Polar Sci Ctr, Seattle, WA 98105 USA; [Koldunov, Nikolay] Int Max Planck Res Sch Earth Syst Modelling, D-20146 Hamburg, Germany; [Koldunov, Nikolay; Kaleschke, Lars] Univ Hamburg, Inst Marine Sci, D-20146 Hamburg, Germany; [Fortier, Louis; Lalande, Catherine] Univ Laval, Dept Biol, Quebec City, PQ G1V 0A6, Canada; [Hoelemann, Jens A.] Alfred Wegener Inst Polar &amp; Marine Res, D-27570 Bremerhaven, Germany</t>
  </si>
  <si>
    <t>Helmholtz Association; GEOMAR Helmholtz Center for Ocean Research Kiel; University of Kiel; Arctic &amp; Antarctic Research Institute; University of Alaska System; University of Alaska Fairbanks; University of Washington; University of Washington Seattle; Max Planck Society; University of Hamburg; Laval University; Helmholtz Association; Alfred Wegener Institute, Helmholtz Centre for Polar &amp; Marine Research</t>
  </si>
  <si>
    <t>Dmitrenko, IA (corresponding author), Univ Kiel, Leibniz Inst Marine Sci, Dept Paleoceanog, Wischhofstr 1-3, D-24148 Kiel, Germany.</t>
  </si>
  <si>
    <t>Koldunov, Nikolay V. V./A-5439-2011; Ivanov, Vladimir/J-5979-2014; Ivanov, Vladimir/AAX-6830-2020; Hoelemann, Jens/N-3608-2016</t>
  </si>
  <si>
    <t>Koldunov, Nikolay V. V./0000-0002-3365-8146; Ivanov, Vladimir/0000-0003-2569-6027; Hoelemann, Jens/0000-0001-5102-4086; Bauch, Dorothea/0000-0002-1419-9714; Kaleschke, Lars/0000-0001-7086-3299; Dmitrenko, Igor/0000-0001-8388-7839</t>
  </si>
  <si>
    <t>NSF [ARC-0454843]; BMBF [03G0639A]; MPRS-ESM (International Max Planck Research School on Earth System Modeling); DFG [SP 526/3, 03G0639D]; Natural Environment Research Council [dml010002] Funding Source: researchfish; NERC [dml010002] Funding Source: UKRI</t>
  </si>
  <si>
    <t>NSF(National Science Foundation (NSF)); BMBF(Federal Ministry of Education &amp; Research (BMBF)); MPRS-ESM (International Max Planck Research School on Earth System Modeling); DFG(German Research Foundation (DFG)); Natural Environment Research Council(UK Research &amp; Innovation (UKRI)Natural Environment Research Council (NERC)); NERC(UK Research &amp; Innovation (UKRI)Natural Environment Research Council (NERC))</t>
  </si>
  <si>
    <t>The hydrographic observations in 2003 2007 were carried out within the working framework of the ongoing NOAA and NSF-funded IARC Program Nansen and Amundsen Basins Observational System'' (NABOS). The M2 mooring is maintained, thanks to funding through the Network of Centres of Excellence of Canada: ArcticNet. I. D. and S. K. gratefully acknowledge the financial support through the BMBF project System Laptev Sea'' (03G0639A). I. P. and V. I. thank the Frontier Research System for Global Change for financial support. R. W. acknowledges support from NSF grant ARC-0454843. N. K. was supported by a grant from the IMPRS-ESM (International Max Planck Research School on Earth System Modeling). D. B. appreciates funds through the DFG grant SP 526/3 and the BMBF project System Laptev Sea'' (03G0639D). We greatly appreciate Ursula Schauer for her helpful comments and discussions.</t>
  </si>
  <si>
    <t>JUN 11</t>
  </si>
  <si>
    <t>C06010</t>
  </si>
  <si>
    <t>10.1029/2008JC005229</t>
  </si>
  <si>
    <t>458GD</t>
  </si>
  <si>
    <t>WOS:000267002600002</t>
  </si>
  <si>
    <t>Style, RW; Worster, MG</t>
  </si>
  <si>
    <t>Style, Robert W.; Worster, M. Grae</t>
  </si>
  <si>
    <t>Frost flower formation on sea ice and lake ice</t>
  </si>
  <si>
    <t>SURFACE; GROWTH</t>
  </si>
  <si>
    <t>Frost flowers are clusters of ice crystals found on freshly formed sea ice and occasionally on frozen lakes. They belong to a class of vapour-related phenomena that includes freezing fog, hoar frost and dew. It has hitherto been supposed that they form by condensation from a supersaturated atmosphere or from water wicked up through porous sea ice. Here we show that they can form on solid, pure ice sublimating into an unsaturated atmosphere. We derive a general regime diagram showing the atmospheric conditions under which the different vapour-related phenomena occur and confirm our predictions of frost-flower formation with a series of laboratory experiments. Our results can be used in climate models to predict occurrence of frost flowers, which significantly enhance albedo and provide the substrate for chemical production of ozone-depleting bromine monoxide, and in paleo-climate reconstructions by relating observations of sea-salt aerosols in ice cores to atmospheric conditions. Citation: Style, R. W., and M. G. Worster (2009), Frost flower formation on sea ice and lake ice, Geophys. Res. Lett., 36, L11501, doi:10.1029/2009GL037304.</t>
  </si>
  <si>
    <t>[Style, Robert W.; Worster, M. Grae] Univ Cambridge, Inst Theoret Geophys, Dept Appl Math &amp; Theoret Phys, Ctr Math Sci, Cambridge CB3 0WA, England</t>
  </si>
  <si>
    <t>Style, RW (corresponding author), Univ Cambridge, Inst Theoret Geophys, Dept Appl Math &amp; Theoret Phys, Ctr Math Sci, Wilberforce Rd, Cambridge CB3 0WA, England.</t>
  </si>
  <si>
    <t>grae@damtp.cam.ac.uk</t>
  </si>
  <si>
    <t>Style, Robert/0000-0001-5305-7658; Worster, Michael Grae/0000-0002-9248-2144</t>
  </si>
  <si>
    <t>Natural Environment Research Council in collaboration with the British Antarctic Survey</t>
  </si>
  <si>
    <t>This work was supported by a Case studentship from the Natural Environment Research Council in collaboration with the British Antarctic Survey. We thank HE Huppert, JA Neufeld, D Notz, JS Wettlaufer and EW Wolff for their thoughtful readings of the manuscript.</t>
  </si>
  <si>
    <t>JUN 10</t>
  </si>
  <si>
    <t>L11501</t>
  </si>
  <si>
    <t>10.1029/2009GL037304</t>
  </si>
  <si>
    <t>458FJ</t>
  </si>
  <si>
    <t>WOS:000267000200001</t>
  </si>
  <si>
    <t>Divine, DV; Isaksson, E; Kaczmarska, M; Godtliebsen, F; Oerter, H; Schlosser, E; Johnsen, SJ; van den Broeke, M; van de Wal, RSW</t>
  </si>
  <si>
    <t>Divine, D. V.; Isaksson, E.; Kaczmarska, M.; Godtliebsen, F.; Oerter, H.; Schlosser, E.; Johnsen, S. J.; van den Broeke, M.; van de Wal, R. S. W.</t>
  </si>
  <si>
    <t>Tropical Pacific-high latitude south Atlantic teleconnections as seen in δ18O variability in Antarctic coastal ice cores</t>
  </si>
  <si>
    <t>DRONNING-MAUD-LAND; SEA-ICE; SYNCHRONOUS VARIABILITY; HEMISPHERE ATMOSPHERE; NEUMAYER STATION; CLIMATE-CHANGE; ANNULAR MODE; FIRN CORES; ACCUMULATION; TEMPERATURE</t>
  </si>
  <si>
    <t>We use a network of eight ice cores from coastal Dronning Maud Land (DML), Antarctica, to examine the role of the tropical ENSO (El Nino-Southern Oscillation) in the temporal variability of delta O-18 in annual accumulation. The longest record from the S100 ice core covering the period 1737-1999 is used to analyze the teleconnections between the tropical Pacific and coastal DML on decadal scales and longer. A shorter stacked coastal DML delta O-18 series spanning 1955-1999 is constructed to assess the variability of ENSO teleconnection on interannual scales. Results suggest that, on typical ENSO timescales of 2-6 years, the strength of the teleconnection varies in time, being stronger for years with generally negative phase of the Southern Annular Mode (SAM). On the timescales of approximately two decades (bidecadal), positive isotope anomalies are associated with oceanic warming and a westward sea surface temperature (SST) gradient in the equatorial Pacific. Bidecadal variability in SAM, forced by the tropical Pacific, is proposed as a critical element in the teleconnection. Our analysis suggests that a multidecadal positive trend in the annual mean delta O-18 values from the analyzed cores can be indicative of the atmospheric warming that begun in this part of the DML already in the 1910s. The trend in delta O-18, quantified in terms of long-term surface air temperature (SAT) changes, is consistent with the instrumental data. Yet, we speculate that the accurate estimation of SAT trends requires an assessment of the potential role of secular SAM and sea ice extent changes in shaping the isotopic signal.</t>
  </si>
  <si>
    <t>[Divine, D. V.; Isaksson, E.; Kaczmarska, M.] Norwegian Polar Res Inst, N-9296 Tromso, Norway; [Godtliebsen, F.] Univ Tromso, Dept Math &amp; Stat, N-9037 Tromso, Norway; [Oerter, H.] Alfred Wegener Inst Polar &amp; Marine Res, D-27568 Bremerhaven, Germany; [Schlosser, E.] Univ Innsbruck, Inst Meteorol &amp; Geophys, A-6020 Innsbruck, Austria; [Johnsen, S. J.] Univ Copenhagen, Niels Bohr Inst, Ctr Ice &amp; Climate, DK-2100 Copenhagen, Denmark; Univ Utrecht, Inst Marine &amp; Atmospher Res, NL-3508 TA Utrecht, Netherlands</t>
  </si>
  <si>
    <t>Norwegian Polar Institute; UiT The Arctic University of Tromso; Helmholtz Association; Alfred Wegener Institute, Helmholtz Centre for Polar &amp; Marine Research; University of Innsbruck; University of Copenhagen; Niels Bohr Institute; Utrecht University</t>
  </si>
  <si>
    <t>Divine, DV (corresponding author), Norwegian Polar Res Inst, N-9296 Tromso, Norway.</t>
  </si>
  <si>
    <t>dmitry.divine@npolar.no</t>
  </si>
  <si>
    <t>van de wal, roderik/D-1705-2011; Van den Broeke, Michiel R./F-7867-2011</t>
  </si>
  <si>
    <t>van de wal, roderik/0000-0003-2543-3892; Van den Broeke, Michiel R./0000-0003-4662-7565; Divine, Dmitry/0000-0003-0548-6698</t>
  </si>
  <si>
    <t>The Norwegian Research Council; EU EPICA-MIS; Norwegian contribution to International Trans Antarctic Scientific Expedition (ITASE); European Project for Ice Coring in Antarctica (EPICA); EU; national contributions from Belgium, Denmark, France, Germany, Italy, Netherlands, Norway, Sweden, Switzerland, and the United Kingdom</t>
  </si>
  <si>
    <t>The Norwegian Research Council(Research Council of Norway); EU EPICA-MIS(European Union (EU)); Norwegian contribution to International Trans Antarctic Scientific Expedition (ITASE); European Project for Ice Coring in Antarctica (EPICA); EU(European Union (EU)); national contributions from Belgium, Denmark, France, Germany, Italy, Netherlands, Norway, Sweden, Switzerland, and the United Kingdom(Netherlands Government)</t>
  </si>
  <si>
    <t>Financial support came from The Norwegian Research Council and EU EPICA-MIS. This work is a Norwegian contribution to International Trans Antarctic Scientific Expedition (ITASE) and the European Project for Ice Coring in Antarctica (EPICA), a joint European Science Foundation/European Commission scientific programme, funded by the EU and by national contributions from Belgium, Denmark, France, Germany, Italy, Netherlands, Norway, Sweden, Switzerland, and the United Kingdom. The main logistic support was provided by IPEV and PNRA ( at Dome C) and AWI ( at Dronning Maud Land). This is EPICA publication 224. The authors thank three anonymous reviewers for their constructive comments.</t>
  </si>
  <si>
    <t>JUN 9</t>
  </si>
  <si>
    <t>D11112</t>
  </si>
  <si>
    <t>10.1029/2008JD010475</t>
  </si>
  <si>
    <t>458FS</t>
  </si>
  <si>
    <t>WOS:000267001300001</t>
  </si>
  <si>
    <t>Bailey, DM; Collins, MA; Gordon, JDM; Zuur, AF; Priede, IG</t>
  </si>
  <si>
    <t>Bailey, D. M.; Collins, M. A.; Gordon, J. D. M.; Zuur, A. F.; Priede, I. G.</t>
  </si>
  <si>
    <t>Long-term changes in deep-water fish populations in the northeast Atlantic: a deeper reaching effect of fisheries?</t>
  </si>
  <si>
    <t>marine fishes; deep water; Atlantic Ocean; fisheries</t>
  </si>
  <si>
    <t>PORCUPINE SEABIGHT; CONTINENTAL-SLOPE; ABUNDANCE</t>
  </si>
  <si>
    <t>A severe scarcity of life history and population data for deep-water fishes is a major impediment to successful fisheries management. Long-term data for non-target species and those living deeper than the fishing grounds are particularly rare. We analysed a unique dataset of scientific trawls made from 1977 to 1989 and from 1997 to 2002, at depths from 800 to 4800 m. Over this time, overall fish abundance fell significantly at all depths from 800 to 2500 m, considerably deeper than the maximum depth of commercial fishing (approx. 1600 m). Changes in abundance were significantly larger in species whose ranges fell at least partly within fished depths and did not appear to be consistent with any natural factors such as changes in fluxes from the surface or the abundance of potential prey. If the observed decreases in abundance are due to fishing, then its effects now extend into the lower bathyal zone, resulting in declines in areas that have been previously thought to be unaffected. A possible mechanism is impacts on the shallow parts of the ranges of fish species, resulting in declines in abundance in the lower parts of their ranges. This unexpected phenomenon has important consequences for fisheries and marine reserve management, as this would indicate that the impacts of fisheries can be transmitted into deep offshore areas that are neither routinely monitored nor considered as part of the managed fishery areas.</t>
  </si>
  <si>
    <t>[Bailey, D. M.] Univ Glasgow, Fac Biomed &amp; Life Sci, Glasgow G12 8QQ, Lanark, Scotland; [Collins, M. A.] British Antarctic Survey, Nat Environm Res Council, Cambridge CB3 0ET, England; [Gordon, J. D. M.] Scottish Assoc Marine Sci, Dunstaffnage Marine Lab, Oban PA37 1QA, Argyll, Scotland; [Zuur, A. F.] Highland Stat Ltd, Newburgh AB41 6FN, Aberdeen, Scotland; [Priede, I. G.] Univ Aberdeen, Oceanlab, Newburgh AB41 6AA, Aberdeen, Scotland</t>
  </si>
  <si>
    <t>University of Glasgow; UK Research &amp; Innovation (UKRI); Natural Environment Research Council (NERC); NERC British Antarctic Survey; UHI Millennium Institute; University of Aberdeen</t>
  </si>
  <si>
    <t>Bailey, DM (corresponding author), Univ Glasgow, Fac Biomed &amp; Life Sci, Graham Kerr Bldg, Glasgow G12 8QQ, Lanark, Scotland.</t>
  </si>
  <si>
    <t>d.bailey@bio.gla.ac.uk</t>
  </si>
  <si>
    <t>, Martin/ABE-6728-2020; Collins, Martin A/J-8560-2017; Bailey, David/A-6240-2008</t>
  </si>
  <si>
    <t>, Martin/0000-0001-7132-8650; Priede, Imants/0000-0002-5064-9751; Bailey, David/0000-0002-0824-8823</t>
  </si>
  <si>
    <t>Natural Environment Research Council [GR3/12789]; Marie Curie Outgoing International Fellowship [MCOIF-CT2004-509286]; Marine Conservation Biology Institute Mia J. Tegner Memorial Research; Natural Environment Research Council, EU MAST [MAS2-CT920033 1993-1995]; EU-HERMES; NERC [bas010017, dml010005] Funding Source: UKRI; Natural Environment Research Council [dml010005, bas010017] Funding Source: researchfish</t>
  </si>
  <si>
    <t>Natural Environment Research Council(UK Research &amp; Innovation (UKRI)Natural Environment Research Council (NERC)); Marie Curie Outgoing International Fellowship(European Union (EU)); Marine Conservation Biology Institute Mia J. Tegner Memorial Research; Natural Environment Research Council, EU MAST(UK Research &amp; Innovation (UKRI)Natural Environment Research Council (NERC)); EU-HERMES(European Union (EU)); NERC(UK Research &amp; Innovation (UKRI)Natural Environment Research Council (NERC)); Natural Environment Research Council(UK Research &amp; Innovation (UKRI)Natural Environment Research Council (NERC))</t>
  </si>
  <si>
    <t>This study was supported by a Natural Environment Research Council grant (GR3/12789) to I. G. P. and M. A. C., and a Marie Curie Outgoing International Fellowship (MCOIF-CT2004-509286) and Marine Conservation Biology Institute Mia J. Tegner Memorial Research Grant to D. M. B. The Scottish Association for Marine Science and the ships parties of RRS Discovery and Challenger are gratefully acknowledged, with special thanks to the other members of the trawling and catch processing teams. We thank Dr Odd Aksel Bergstad for the very useful comments made on an earlier version of the manuscript. The early surveys by SAMS and IOS were supported directly by the Natural Environment Research Council, EU MAST Contract MAS2-CT920033 1993-1995 and analysis is contributed to the EU-HERMES programme.</t>
  </si>
  <si>
    <t>1471-2954</t>
  </si>
  <si>
    <t>P ROY SOC B-BIOL SCI</t>
  </si>
  <si>
    <t>JUN 7</t>
  </si>
  <si>
    <t>10.1098/rspb.2009.0098</t>
  </si>
  <si>
    <t>436XZ</t>
  </si>
  <si>
    <t>WOS:000265450700005</t>
  </si>
  <si>
    <t>Morris, RJ; Klekociuk, AR; Holdsworth, DA</t>
  </si>
  <si>
    <t>Morris, Ray J.; Klekociuk, Andrew R.; Holdsworth, David A.</t>
  </si>
  <si>
    <t>Low latitude 2-day planetary wave impact on austral polar mesopause temperatures: revealed by a January diminution in PMSE above Davis, Antarctica</t>
  </si>
  <si>
    <t>MESOSPHERE SUMMER ECHOES</t>
  </si>
  <si>
    <t>A new characteristic of the austral summer polar mesopause as revealed by ground-based radar and satellite temperature measurements is reported, that is linked to inter-annual variability of the low-latitude easterly wind jet. Four consecutive seasons of polar mesosphere summer echoes (PMSE) and mesosphere temperature observations above Davis, Antarctica (68.6 degrees S) show a mid-January diminution in PMSE occurrence rate that coincides with a minor mesopause warming of several degrees. Spectral analyses of PMSE, Aura Microwave Limb Sounder (MLS) temperatures and radar meridional winds show the presence of similar to 4-5-day planetary waves (PWs) throughout the austral summer in the polar upper mesosphere together with enhanced similar to 2-day PW activity from mid-January to mid-February. Analysis of MLS temperatures show that the similar to 2-day PWs have zonal wavenumbers (S) with both westward (S = similar to 2, similar to 3) and eastward (S = +2, +3) components. Although displaying some inter-annual variation in the peak onset time, the mid-January mesopause warming coincides with a weakening of the equatorward meridional wind above Davis and enhancement of low-latitude 2-day PW activity. Citation: Morris, R. J., A. R. Klekociuk, and D. A. Holdsworth (2009), Low latitude 2-day planetary wave impact on austral polar mesopause temperatures: revealed by a January diminution in PMSE above Davis, Antarctica, Geophys. Res. Lett., 36, L11807, doi:10.1029/2009GL037817.</t>
  </si>
  <si>
    <t>[Morris, Ray J.; Klekociuk, Andrew R.] Australian Antarctic Div, Kingston, Tas 7050, Australia; [Holdsworth, David A.] Atmospher Radar Syst, Thebarton, SA 5031, Australia</t>
  </si>
  <si>
    <t>Morris, RJ (corresponding author), Australian Antarctic Div, Channel Highway, Kingston, Tas 7050, Australia.</t>
  </si>
  <si>
    <t>ray.morris@aad.gov.au</t>
  </si>
  <si>
    <t>Klekociuk, Andrew/A-4498-2015</t>
  </si>
  <si>
    <t>Klekociuk, Andrew/0000-0003-3335-0034</t>
  </si>
  <si>
    <t>JUN 5</t>
  </si>
  <si>
    <t>L11807</t>
  </si>
  <si>
    <t>10.1029/2009GL037817</t>
  </si>
  <si>
    <t>455EV</t>
  </si>
  <si>
    <t>WOS:000266741800003</t>
  </si>
  <si>
    <t>Wu, ZW; Li, JP; Wang, B; Liu, XH</t>
  </si>
  <si>
    <t>Wu, Zhiwei; Li, Jianping; Wang, Bin; Liu, Xinhua</t>
  </si>
  <si>
    <t>Can the Southern Hemisphere annular mode affect China winter monsoon?</t>
  </si>
  <si>
    <t>NORTH-ATLANTIC OSCILLATION; SEA-SURFACE TEMPERATURE; ATMOSPHERIC CIRCULATION; INTERANNUAL VARIABILITY; EXTRATROPICAL CIRCULATION; ARCTIC OSCILLATION; LEVEL PRESSURE; CLIMATE; INDEX; ANOMALIES</t>
  </si>
  <si>
    <t>Many previous studies suggested that the anomalous Northern Hemisphere annular mode (NAM) and associated low boundary forcing (e.g., snow cover) greatly influence the China winter monsoon (CWM) variability on interannual to inter-decadal timescales. In this article, it is found that the Southern Hemisphere annular mode (SAM) also well correlates with the two observed CWM major modes, which has not been revealed before. Note that the two CWM major modes are obtained by performing Empirical Orthogonal Function (EOF) analysis on winter surface air temperature at 160 gauge stations across China for the 1951-2006 period. They explain around 70% of the total CWM variances. The first EOF mode exhibits a homogeneous spatial pattern with the corresponding principal component displaying a significant inter-decadal variation, which reflects the warming trend in China during the past 56 years. The second EOF mode shows a meridional seesaw pattern and is basically associated with significant interannual variations. Both of the leading modes are intimately associated with the simultaneous SAM-like hemispheric circulation anomalies. Moreover, the SAM-like anomalies signal precursory conditions for the first CWM mode in boreal autumn. The relevant physical mechanisms by which anomalous autumn SAM may affect the CWM are investigated with NCAR Community Atmospheric Model version 3 (CAM3). When SAM is in a strong phase during boreal autumn, the circum-Antarctic upper level jet stream displaces poleward and the corresponding surface wind speeds reduce in the region between 45 degrees S and 30 degrees S, inducing a hemispheric-scale warm sea surface temperature (SST) belt beneath. Such an anomalously warm SST belt persists through boreal winter and weakens the Hadley cell. The weakened Hadley cell in boreal winter corresponds to anomalous southerlies prevailing in the lower troposphere over China, which favor a weak CWM. The intimate linkage between the autumn SAM and CWM may be instrumental for understanding interactions between the Northern and Southern Hemisphere and can provide a way to predict the CWM variations.</t>
  </si>
  <si>
    <t>[Wu, Zhiwei; Li, Jianping] Chinese Acad Sci, Inst Atmospher Phys, State Key Lab Numer Modeling Atmospher Sci &amp; Geop, Beijing 100029, Peoples R China; [Wu, Zhiwei; Li, Jianping] Chinese Acad Sci, Grad Sch, Beijing 100029, Peoples R China; [Liu, Xinhua] China Meteorol Adm, Natl Meteorol Ctr, Beijing 100081, Peoples R China; [Wang, Bin] Univ Hawaii, Dept Meteorol, Honolulu, HI 96822 USA; [Wang, Bin] Univ Hawaii, IPRC, Honolulu, HI 96822 USA</t>
  </si>
  <si>
    <t>Chinese Academy of Sciences; Institute of Atmospheric Physics, CAS; Chinese Academy of Sciences; University of Chinese Academy of Sciences, CAS; China Meteorological Administration; University of Hawaii System; University of Hawaii System</t>
  </si>
  <si>
    <t>Wu, ZW (corresponding author), Chinese Acad Sci, Inst Atmospher Phys, State Key Lab Numer Modeling Atmospher Sci &amp; Geop, POB 9804, Beijing 100029, Peoples R China.</t>
  </si>
  <si>
    <t>ljp@lasg.iap.ac.cn</t>
  </si>
  <si>
    <t>Wu, Zhiwei/KHE-4328-2024; Li, Jianping/I-2661-2012</t>
  </si>
  <si>
    <t>Wu, Zhiwei/0000-0002-8163-2215</t>
  </si>
  <si>
    <t>National Natural Science Foundation of China [40605022, 40523001]; NSF [ATM03-29531]; FRCGC/JAMSTEC; NASA; NOAA; [2006CB403600]</t>
  </si>
  <si>
    <t>National Natural Science Foundation of China(National Natural Science Foundation of China (NSFC)); NSF(National Science Foundation (NSF)); FRCGC/JAMSTEC; NASA(National Aeronautics &amp; Space Administration (NASA)); NOAA(National Oceanic Atmospheric Admin (NOAA) - USA);</t>
  </si>
  <si>
    <t>The authors thank the three reviewers for helpful comments. Jianping Li and Zhiwei Wu acknowledge the support of the 973 program (2006CB403600) and the National Natural Science Foundation of China (grant 40605022 and 40523001). Bin Wang and Zhiwei Wu are supported by NSF climate dynamics program (ATM03-29531) and in part by IPRC, which is in part sponsored by FRCGC/JAMSTEC, NASA, and NOAA.</t>
  </si>
  <si>
    <t>D11107</t>
  </si>
  <si>
    <t>10.1029/2008JD011501</t>
  </si>
  <si>
    <t>455FC</t>
  </si>
  <si>
    <t>WOS:000266742500004</t>
  </si>
  <si>
    <t>Mende, SB; Frey, HU; McFadden, J; Carlson, CW; Angelopoulos, V; Glassmeier, KH; Sibeck, DG; Weatherwax, A</t>
  </si>
  <si>
    <t>Mende, S. B.; Frey, H. U.; McFadden, J.; Carlson, C. W.; Angelopoulos, V.; Glassmeier, K. -H.; Sibeck, D. G.; Weatherwax, A.</t>
  </si>
  <si>
    <t>Coordinated observation of the dayside magnetospheric entry and exit of the THEMIS satellites with ground-based auroral imaging in Antarctica</t>
  </si>
  <si>
    <t>FLUX-TRANSFER EVENTS; PLASMA CONVECTION; SOUTH-POLE; SIGNATURES; MAGNETOPAUSE; FORMS; MAGNETOSHEATH; MAGNETOMETER; MOMENTUM; DYNAMICS</t>
  </si>
  <si>
    <t>Data from the five-satellite Time History of Events and Macroscale Interactions during Substorms (THEMIS) constellation suitably located to study solar wind magnetospheric coupling during the austral winter of 2007 were compared to data from ground-based all-sky imagers (ASIs) at South Pole (74 degrees magnetic latitude) and at AGO-1 (80 degrees magnetic latitude). The THEMIS constellation entered and exited the magnetosphere near magnetic midday on 10 and 12 August 2007, respectively. On 12 August interplanetary magnetic field (IMF) (B-z &gt; 0) the dayside aurora was located more poleward between AGO-1 and South Pole. The THEMIS satellites traversing the magnetopause saw it move in and out several times during the satellite crossings. The inward motion of the magnetopause was sometimes correlated with equatorward expansions of the aurora and sometimes with solar wind pressure pulses as seen by Geotail. The Bz &gt; 0 auroral latitude was consistent with dayside cusp spot'' seen by the IMAGE spacecraft and had been associated with footprints of steady state'' lobe reconnection. The aurora consisted of a continuous stream of poleward moving auroral forms (PMAF) even during a period of slightly B-z &gt; 0 and B-y = 0. On 10 August 2007 IMF B-z &lt; 0 the dayside aurora was located more equatorward, over South Pole, and the THEMIS satellites crossed the bow shock from the magnetosheath into the solar wind. Negative Bz pulses observed at the satellite were correlated with large poleward expansions of the dayside aurora consistent with reconnection in the subsolar region accompanied by simultaneous plasma density increases at THEMIS B satellite consistent with outward radial motion of the bow shock.</t>
  </si>
  <si>
    <t>[Mende, S. B.; Frey, H. U.; McFadden, J.; Carlson, C. W.] Univ Calif Berkeley, Space Sci Lab, Berkeley, CA 94720 USA; [Angelopoulos, V.] Univ Calif Los Angeles, Dept Earth &amp; Space Sci, Inst Geophys &amp; Planetary Phys, Los Angeles, CA 90095 USA; [Glassmeier, K. -H.] Tech Univ Carolo Wilhelmina Braunschweig, Inst Geophys &amp; Extraterr Phys, D-38106 Braunschweig, Germany; [Sibeck, D. G.] NASA, Goddard Space Flight Ctr, Greenbelt, MD 20771 USA; [Weatherwax, A.] Siena Coll, Dept Phys, Loudonville, NY 12211 USA</t>
  </si>
  <si>
    <t>University of California System; University of California Berkeley; University of California System; University of California Los Angeles; Braunschweig University of Technology; National Aeronautics &amp; Space Administration (NASA); NASA Goddard Space Flight Center</t>
  </si>
  <si>
    <t>Mende, SB (corresponding author), Univ Calif Berkeley, Space Sci Lab, 7 Gauss Way, Berkeley, CA 94720 USA.</t>
  </si>
  <si>
    <t>mende@ssl.berkeley.edu</t>
  </si>
  <si>
    <t>Sibeck, David G/D-4424-2012</t>
  </si>
  <si>
    <t>Weatherwax, Allan/0000-0003-4732-358X; Frey, Harald/0000-0001-8955-3282; Angelopoulos, Vassilis/0000-0001-7024-1561</t>
  </si>
  <si>
    <t>NASA [NAS502099]; NSF [0636899, 0340845]; Directorate For Geosciences [0636899, 0636978, 0340845] Funding Source: National Science Foundation; Directorate For Geosciences; Office of Polar Programs (OPP) [0638587] Funding Source: National Science Foundation; Office of Polar Programs (OPP) [0636978, 0636899, 0340845] Funding Source: National Science Foundation</t>
  </si>
  <si>
    <t>NASA(National Aeronautics &amp; Space Administration (NASA)); 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</si>
  <si>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The authors gratefully acknowledge the outstanding accomplishments of the THEMIS engineering and science team. The THEMIS program was supported by NASA under contract NAS502099. The data collection from Antarctica was made possible by the Antarctic program funded by NSF under grants 0636899 and 0340845. The authors are also greatly indebted to all those who worked for many years on the U. S. Antarctic Automatic Geophysical Observatory program, including William Rachelson, Stewart Harris, and J. Doolittle. Data from Geotail through the courtesy of T. Mukai and S. Kokubun are gratefully acknowledged. Similarly, we acknowledge N. Ness at the Bartol Research Institute for providing the ACE magnetic field data.</t>
  </si>
  <si>
    <t>A00C23</t>
  </si>
  <si>
    <t>10.1029/2008JA013496</t>
  </si>
  <si>
    <t>455GS</t>
  </si>
  <si>
    <t>WOS:000266747100001</t>
  </si>
  <si>
    <t>Holland, PR; Corr, HFJ; Vaughan, DG; Jenkins, A; Skvarca, P</t>
  </si>
  <si>
    <t>Holland, Paul R.; Corr, Hugh F. J.; Vaughan, David G.; Jenkins, Adrian; Skvarca, Pedro</t>
  </si>
  <si>
    <t>Marine ice in Larsen Ice Shelf</t>
  </si>
  <si>
    <t>ANTARCTICA; MODEL</t>
  </si>
  <si>
    <t>It is argued that Larsen Ice Shelf contains marine ice formed by oceanic freezing and other mechanisms. Missing basal returns in airborne radar soundings and observations of a smooth and healed surface coincide downstream of regions where an ocean model predicts freezing. Visible imagery suggests that marine ice currently stabilizes Larsen C Ice Shelf and implicates failure of marine flow bands in the 2002 Larsen B Ice Shelf collapse. Ocean modeling indicates that any regime change towards the incursion of warmer Modified Weddell Deep Water into the Larsen C cavity could curtail basal freezing and its stabilizing influence. Citation: Holland, P. R., H. F. J. Corr, D. G. Vaughan, A. Jenkins, and P. Skvarca (2009), Marine ice in Larsen Ice Shelf, Geophys. Res. Lett., 36, L11604, doi: 10.1029/2009GL038162.</t>
  </si>
  <si>
    <t>[Holland, Paul R.; Corr, Hugh F. J.; Vaughan, David G.; Jenkins, Adrian] British Antarctic Survey, Cambridge CB3 0ET, England; [Skvarca, Pedro] Inst Antartico Argentino, Div Glaciol, RA-1245 Buenos Aires, DF, Argentina</t>
  </si>
  <si>
    <t>Holland, PR (corresponding author), British Antarctic Survey, Madingley Rd, Cambridge CB3 0ET, England.</t>
  </si>
  <si>
    <t>p.holland@bas.ac.uk</t>
  </si>
  <si>
    <t>Corr, Hugh/C-5398-2011; Vaughan, David/C-8348-2011; Holland, Paul R/G-2796-2012; Jenkins, Adrian/IUN-2406-2023</t>
  </si>
  <si>
    <t>Jenkins, Adrian/0000-0002-9117-0616; Vaughan, David/0000-0002-9065-0570</t>
  </si>
  <si>
    <t>NERC [bas010014, bas0100028] Funding Source: UKRI; STFC [ST/H008519/1, ST/F002289/1] Funding Source: UKRI; Natural Environment Research Council [bas0100028, bas010014] Funding Source: researchfish; Science and Technology Facilities Council [ST/H008519/1, ST/F002289/1] Funding Source: researchfish</t>
  </si>
  <si>
    <t>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</si>
  <si>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JUN 4</t>
  </si>
  <si>
    <t>L11604</t>
  </si>
  <si>
    <t>10.1029/2009GL038162</t>
  </si>
  <si>
    <t>455EU</t>
  </si>
  <si>
    <t>WOS:000266741700007</t>
  </si>
  <si>
    <t>Bo, S; Siegert, MJ; Mudd, SM; Sugden, D; Fujita, S; Cui, XB; Jiang, YY; Tang, XY; Li, YS</t>
  </si>
  <si>
    <t>Bo, Sun; Siegert, Martin J.; Mudd, Simon M.; Sugden, David; Fujita, Shuji; Cui Xiangbin; Jiang Yunyun; Tang Xueyuan; Li Yuansheng</t>
  </si>
  <si>
    <t>The Gamburtsev mountains and the origin and early evolution of the Antarctic Ice Sheet</t>
  </si>
  <si>
    <t>EAST ANTARCTICA; MIOCENE; VALLEY; EXPANSION; HISTORY</t>
  </si>
  <si>
    <t>Ice-sheet development in Antarctica was a result of significant and rapid global climate change about 34 million years ago(1). Ice-sheet and climate modelling suggest reductions in atmospheric carbon dioxide ( less than three times the pre-industrial level of 280 parts per million by volume) that, in conjunction with the development of the Antarctic Circumpolar Current, led to cooling and glaciation paced by changes in Earth's orbit(2). Based on the present subglacial topography, numerical models point to ice-sheet genesis on mountain massifs of Antarctica, including the Gamburtsev mountains at Dome A, the centre of the present ice sheet(2,3). Our lack of knowledge of the present-day topography of the Gamburtsev mountains(4) means, however, that the nature of early glaciation and subsequent development of a continental-sized ice sheet are uncertain. Here we present radar information about the base of the ice at Dome A, revealing classic Alpine topography with pre-existing river valleys overdeepened by valley glaciers formed when the mean summer surface temperature was around 3 degrees C. This landscape is likely to have developed during the initial phases of Antarctic glaciation. According to Antarctic climate history (estimated from offshore sediment records) the Gamburtsev mountains are probably older than 34 million years and were the main centre for ice-sheet growth. Moreover, the landscape has most probably been preserved beneath the present ice sheet for around 14 million years.</t>
  </si>
  <si>
    <t>[Bo, Sun; Cui Xiangbin; Jiang Yunyun; Tang Xueyuan; Li Yuansheng] Polar Res Inst China, Shanghai 200136, Peoples R China; [Siegert, Martin J.; Mudd, Simon M.; Sugden, David] Univ Edinburgh, Sch Geosci, Edinburgh EH9 3JW, Midlothian, Scotland; [Fujita, Shuji] Natl Inst Polar Res, Res Org Informat &amp; Syst, Itabashi Ku, Tokyo 1738515, Japan</t>
  </si>
  <si>
    <t>Polar Research Institute of China; University of Edinburgh; Research Organization of Information &amp; Systems (ROIS); National Institute of Polar Research (NIPR) - Japan</t>
  </si>
  <si>
    <t>Bo, S (corresponding author), Polar Res Inst China, 451 Jinqiao Rd, Shanghai 200136, Peoples R China.</t>
  </si>
  <si>
    <t>sunbo@pric.gov.cn; m.j.siegert@ed.ac.uk</t>
  </si>
  <si>
    <t>Siegert, Martin J/A-3826-2008; Cui, Xiangbin/Y-1551-2019; Mudd, Simon M/F-8521-2010; BO, SATHIVEL MURUGAN/AAE-2897-2022; Siegert, Martin/M-9939-2019; Fujita, Shuji/A-7884-2016</t>
  </si>
  <si>
    <t>Siegert, Martin J/0000-0002-0090-4806; Cui, Xiangbin/0000-0002-4269-8086; Mudd, Simon M/0000-0002-1357-8501; Siegert, Martin/0000-0002-0090-4806; Fujita, Shuji/0000-0003-0127-0777</t>
  </si>
  <si>
    <t>National Natural Science Foundation of China [40476005]; Ministry of Science and Technology of China [2006BAB18B03]; UK Natural Environment Research Council [NE/D003733/1]; Natural Environment Research Council [NE/F016646/1, NE/E018254/1] Funding Source: researchfish; NERC [NE/F016646/1, NE/E018254/1] Funding Source: UKRI</t>
  </si>
  <si>
    <t>National Natural Science Foundation of China(National Natural Science Foundation of China (NSFC)); Ministry of Science and Technology of China(Ministry of Science and Technology, China);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</si>
  <si>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paper is based upon work supported by the National Natural Science Foundation of China ( 40476005), the International Polar Year programme CHINARE ( Ministry of Science and Technology of China 2006BAB18B03) and the UK Natural Environment Research Council (NE/D003733/1). We thank A. Wright for drawing Fig. 1c.</t>
  </si>
  <si>
    <t>10.1038/nature08024</t>
  </si>
  <si>
    <t>453KF</t>
  </si>
  <si>
    <t>WOS:000266608600041</t>
  </si>
  <si>
    <t>Reynolds, BC</t>
  </si>
  <si>
    <t>Reynolds, B. C.</t>
  </si>
  <si>
    <t>Modeling the modern marine δ30Si distribution</t>
  </si>
  <si>
    <t>SOUTHERN-OCEAN; SILICON ISOTOPES; BIOGENIC SILICA; ANTARCTIC OCEAN; WORLD OCEAN; CYCLE; CIRCULATION; SENSITIVITY; FRACTIONATION; DISSOLUTION</t>
  </si>
  <si>
    <t>The silicon isotopic composition of opal sediments can be used as a proxy for past Si utilization, and hence paleoproductivity for a fixed ocean circulation. Interpretation of this Si utilization proxy is limited by our understanding of the present marine Si isotope distribution. Observations show significant isotopic variations is silicic acid between deep-water masses that are not captured by a previous global climate model (GCM). Here, simple box models of the global oceans for the Si cycle are presented, which can account for the observed 0.3 parts per thousand difference between Atlantic and Pacific deep-water delta Si-30 values, using typical opal export fluxes. The delta Si-30 gradient results from both a high delta Si-30 of dissolved Si overturning in the North Atlantic and the dissolution of low delta Si-30 of opal in the deep waters around the Southern Ocean that feed into the Pacific.</t>
  </si>
  <si>
    <t>Swiss Fed Inst Technol, Inst Isotope Geochem &amp; Mineral Resources, CH-8092 Zurich, Switzerland</t>
  </si>
  <si>
    <t>Swiss Federal Institutes of Technology Domain; ETH Zurich</t>
  </si>
  <si>
    <t>Reynolds, BC (corresponding author), Swiss Fed Inst Technol, Inst Isotope Geochem &amp; Mineral Resources, NW C81-2,Clausiusstr 25, CH-8092 Zurich, Switzerland.</t>
  </si>
  <si>
    <t>reynolds@erdw.ethz.ch</t>
  </si>
  <si>
    <t>JUN 3</t>
  </si>
  <si>
    <t>GB2015</t>
  </si>
  <si>
    <t>10.1029/2008GB003266</t>
  </si>
  <si>
    <t>455EX</t>
  </si>
  <si>
    <t>WOS:000266742000001</t>
  </si>
  <si>
    <t>McLean, MA; Wilson, CJL; Boger, SD; Betts, PG; Rawling, TJ; Damaske, D</t>
  </si>
  <si>
    <t>McLean, M. A.; Wilson, C. J. L.; Boger, S. D.; Betts, P. G.; Rawling, T. J.; Damaske, D.</t>
  </si>
  <si>
    <t>Basement interpretations from airborne magnetic and gravity data over the Lambert Rift region of East Antarctica</t>
  </si>
  <si>
    <t>PRINCE-CHARLES MOUNTAINS; PRYDZ BAY; LARSEMANN-HILLS; RAUER GROUP; MACROBERTSON LAND; GROVE MOUNTAINS; GAWLER CRATON; EVOLUTION; GEOCHRONOLOGY; GONDWANA</t>
  </si>
  <si>
    <t>Geological exposures in the Lambert Rift region of East Antarctica comprise scattered coastal outcrops and inland nunataks sporadically protruding through the Antarctic ice sheet from Prydz Bay to the southernmost end of the Prince Charles Mountains. This study utilized airborne magnetic, gravity, and ice radar data to interpret the distribution and architecture of tectonic terranes that are largely buried beneath the thick ice sheet. Free-air and Bouguer gravity data are highly influenced by the subice and mantle topography, respectively. Gravity stripping facilitated the removal of the effect of ice and Moho, and the residual gravity data set thus obtained for the intermediate crustal level allowed a direct comparison with magnetic data. Interpretation of geophysical data also provided insight into the distribution and geometry of four tectonic blocks: namely, the Vestfold, Beaver, Mawson, and Gamburtsev domains. These tectonic domains are supported by surface observations such as rock descriptions, isotopic data sets, and structural mapping.</t>
  </si>
  <si>
    <t>[McLean, M. A.; Wilson, C. J. L.; Boger, S. D.; Rawling, T. J.] Univ Melbourne, Sch Earth Sci, Melbourne, Vic 3010, Australia; [Betts, P. G.] Monash Univ, Sch Geosci, Clayton, Vic 3800, Australia; [Damaske, D.] Bundesanstalt Geowissensch &amp; Rohstoffe, D-30631 Hannover, Germany</t>
  </si>
  <si>
    <t>University of Melbourne; Melbourne Bioinformatics; Monash University</t>
  </si>
  <si>
    <t>McLean, MA (corresponding author), Univ Melbourne, Sch Earth Sci, Corner Elgin St &amp; Swanston St, Melbourne, Vic 3010, Australia.</t>
  </si>
  <si>
    <t>markallanmclean@gmail.com</t>
  </si>
  <si>
    <t>Boger, Steven/B-8799-2013; Betts, Peter G/A-3656-2008</t>
  </si>
  <si>
    <t>MCLEAN, MARK/0000-0002-2445-4918; Rawling, Tim/0000-0002-8841-4384; Boger, Steven/0000-0003-0739-6266; Betts, Peter/0000-0002-2088-7433</t>
  </si>
  <si>
    <t>AAS [1215, 2561]; ARC [DP 0343406.]</t>
  </si>
  <si>
    <t>AAS; ARC(Australian Research Council)</t>
  </si>
  <si>
    <t>The PCMEGA expedition was funded by the Bundesanstalt fur Geowissenschaften und Rohstoffe (BGR) of Germany and the Australian Antarctic Division, who also provided research support with AAS grants 1215, 2561 and ARC DP 0343406. Constructive reviews by Howard Stagg and an anonymous reviewer improved the manuscript and are greatly appreciated. Robert Smith is thanked for his helpful guidance and discussions during the development of this paper. Wayne Hewison and Allen Hudson at Fugro are acknowledged for undertaking the acquisition of magnetic data and Stuart Baron- Hay for the processing of the magnetic data. We would like to acknowledge our flight crew from Kenn Borek Air Ltd. (Scott Lippa, Trevor Popovich, and Kevin Kimpe), all those involved in field support at Mawson and Davis stations and the traverse team at Mount Cresswell.</t>
  </si>
  <si>
    <t>B06101</t>
  </si>
  <si>
    <t>10.1029/2008JB005650</t>
  </si>
  <si>
    <t>455GJ</t>
  </si>
  <si>
    <t>WOS:000266746100001</t>
  </si>
  <si>
    <t>Bradtmiller, LI; Anderson, RF; Fleisher, MQ; Burckle, LH</t>
  </si>
  <si>
    <t>Bradtmiller, Louisa I.; Anderson, Robert F.; Fleisher, Martin Q.; Burckle, Lloyd H.</t>
  </si>
  <si>
    <t>Comparing glacial and Holocene opal fluxes in the Pacific sector of the Southern Ocean</t>
  </si>
  <si>
    <t>EQUATORIAL PACIFIC; BIOGENIC SILICA; ATLANTIC SECTOR; INTERGLACIAL CHANGES; PARTICLE COMPOSITION; SEDIMENT TRAPS; ORGANIC-CARBON; DEEP-SEA; TH-230; PA-231</t>
  </si>
  <si>
    <t>The silicic acid leakage hypothesis (SALH) predicts that during glacial periods excess silicic acid was transported from the Southern Ocean to lower latitudes, which favored diatom production over coccolithophorid production and caused a drawdown of atmospheric CO2. Downcore records of Th-230-normalized opal (biogenic silica) fluxes from 31 cores in the Pacific sector of the Southern Ocean were used to compare diatom productivity during the last glacial period to that of the Holocene and to examine the evidence for increased glacial Si export to the tropics. Average glacial opal fluxes south of the modern Antarctic Polar Front (APF) were less than during the Holocene, while average glacial opal fluxes north of the APF were greater than during the Holocene. However, the magnitude of the increase north of the APF was not enough to offset decreased fluxes to the south, resulting in a decrease in opal burial in the Pacific sector of the Southern Ocean during the last glacial period, equivalent to approximately 15 Gt opal ka(-1). This is consistent with the work of Chase et al. (2003a), and satisfies the primary requirement of the SALH, assuming that the upwelled supply of Si was approximately equivalent during the Holocene and the glacial period. However, previous results from the equatorial oceans are inconsistent with the other predictions of the SALH, namely that either the C-org:CaCO3 ratio or the rate of opal burial should have increased during glacial periods. We compare the magnitudes of changes in the Southern Ocean and the tropics and suggest that Si escaping the glacial Southern Ocean must have had an alternate destination, possibly the continental margins. There is currently insufficient data to test this hypothesis, but the existence of this sink and its potential impact on glacial pCO(2) remain interesting topics for future study.</t>
  </si>
  <si>
    <t>[Bradtmiller, Louisa I.; Anderson, Robert F.; Fleisher, Martin Q.; Burckle, Lloyd H.] Columbia Univ, Lamont Doherty Earth Observ, Palisades, NY 10964 USA; [Bradtmiller, Louisa I.; Anderson, Robert F.] Columbia Univ, Dept Earth &amp; Environm Sci, New York, NY USA</t>
  </si>
  <si>
    <t>Bradtmiller, LI (corresponding author), Woods Hole Oceanog Inst, Dept Marine Chem &amp; Geochem, Woods Hole, MA 02543 USA.</t>
  </si>
  <si>
    <t>lbradtmiller@whoi.edu</t>
  </si>
  <si>
    <t>Bradtmiller, Louisa/IYJ-9617-2023</t>
  </si>
  <si>
    <t>Bradtmiller, Louisa/0000-0001-6595-6095; Anderson, Robert/0000-0002-8472-2494</t>
  </si>
  <si>
    <t>U.S. NSF [OPP02-30268]</t>
  </si>
  <si>
    <t>U.S. NSF(National Science Foundation (NSF))</t>
  </si>
  <si>
    <t>Funding for this research was provided in part by the U.S. NSF ( grant OPP02-30268). We thank the core repository at LDEO and the Antarctic Research Facility at FSU for providing samples. Thank you to Mark Siddall and Mary-Elena Carr for helpful discussions and to Peter DeMenocal, Jerry McManus, Doug Martinson, and Katsumi Matsumoto for improving the manuscript through their comments. This is LDEO contribution 7240.</t>
  </si>
  <si>
    <t>PA2214</t>
  </si>
  <si>
    <t>10.1029/2008PA001693</t>
  </si>
  <si>
    <t>455GX</t>
  </si>
  <si>
    <t>WOS:000266747700001</t>
  </si>
  <si>
    <t>Perrone, L; Parisi, M; Meloni, A; Damasso, M; Galliani, M</t>
  </si>
  <si>
    <t>Perrone, L.; Parisi, M.; Meloni, A.; Damasso, M.; Galliani, M.</t>
  </si>
  <si>
    <t>Study on solar sources and polar cap absorption events recorded in Antarctica</t>
  </si>
  <si>
    <t>Polar ionosphere; Solar proton event; Solar radiation; Coronal mass ejection; Geomagnetic storm; Cosmic ray</t>
  </si>
  <si>
    <t>CORONAL MASS EJECTIONS</t>
  </si>
  <si>
    <t>Particularly intense events occurred on the Sun in a period around minimum of solar activity during cycle 23. We investigated the characteristics of September 2005 and December 2006 events and the properties of the correlated observations of ionospheric absorption, obtained by a 30 MHz riometer installed at Mario Zucchelli Station (MZS-Antarctica), and of gcomagnetic activity recorded at Scott Base (Antarctica). Solar events are studied using the characteristics of CMEs measured with SoHO/LASCO coronagraphs and the temporal evolution of solar energetic protons in different energy ranges measured by GOES 11 spacecraft. Analysing these data, we have determined how these effects are finally observed on the Earth's surface not only in the ionospheric absorption of radio waves and in the intense geomagnetic activity, but also as significant variations of cosmic ray modulation, even at high energies. (C) 2009 COSPAR. Published by Elsevier Ltd. All rights reserved.</t>
  </si>
  <si>
    <t>[Perrone, L.; Meloni, A.] Ist Nazl Geofis &amp; Vulcanol, Sez Geomagnetismo Aeron &amp; Geofis Ambientale, I-00143 Rome, Italy; [Parisi, M.; Damasso, M.; Galliani, M.] Univ Roma Tre, Dipartimento Fis, I-00146 Rome, Italy</t>
  </si>
  <si>
    <t>Istituto Nazionale Geofisica e Vulcanologia (INGV); Roma Tre University</t>
  </si>
  <si>
    <t>Perrone, L (corresponding author), Ist Nazl Geofis &amp; Vulcanol, Sez Geomagnetismo Aeron &amp; Geofis Ambientale, Via Vigna Murata 605, I-00143 Rome, Italy.</t>
  </si>
  <si>
    <t>perrone@ingv.it</t>
  </si>
  <si>
    <t>parisi, mario/O-8924-2018; perrone, loredana/I-8087-2014</t>
  </si>
  <si>
    <t>parisi, mario/0000-0001-5550-5135; Perrone, Loredana/0000-0003-4335-0345; Damasso, Mario/0000-0001-9984-4278; Galliani, Marco/0000-0002-5282-6272</t>
  </si>
  <si>
    <t>NSF [ATM-0527878]; INAF/IFSI UNIRoma Tre Dipartimento di Fisica collaboration</t>
  </si>
  <si>
    <t>NSF(National Science Foundation (NSF)); INAF/IFSI UNIRoma Tre Dipartimento di Fisica collaboration(Istituto Nazionale Astrofisica (INAF))</t>
  </si>
  <si>
    <t>The authors would like to thank the Italian National Program of Antarctic Researches (PNRA) for supporting this study, Andrea Malagnini for the analysis of riometric data, Simone Miccoli for the realization of some figures, Vincenzo Romano for acquiring riometric data in Antarctica. Also the following organizations for providing data: Neutron monitors (Mc Murdo station) of the Bartol Research Institute are supported by NSF Grant ATM-0527878; Rome (SVIRCO) Neutron Monitor is supported by INAF/IFSI UNIRoma Tre Dipartimento di Fisica collaboration; INTERMAGNET for the Scott Base geomagnetic data.</t>
  </si>
  <si>
    <t>JUN 2</t>
  </si>
  <si>
    <t>10.1016/j.asr.2008.03.034</t>
  </si>
  <si>
    <t>456LS</t>
  </si>
  <si>
    <t>WOS:000266848400010</t>
  </si>
  <si>
    <t>Iimura, H; Palo, SE; Wu, Q; Killeen, TL; Solomon, SC; Skinner, WR</t>
  </si>
  <si>
    <t>Iimura, H.; Palo, S. E.; Wu, Q.; Killeen, T. L.; Solomon, S. C.; Skinner, W. R.</t>
  </si>
  <si>
    <t>Structure of the nonmigrating semidiurnal tide above Antarctica observed from the TIMED Doppler Interferometer</t>
  </si>
  <si>
    <t>SEMI-DIURNAL TIDE; LOWER THERMOSPHERE; SOUTH-POLE; METEOR RADAR; 12-HOUR OSCILLATION; PLANETARY-WAVES; MESOSPHERE; VARIABILITY; ATMOSPHERE; MODEL</t>
  </si>
  <si>
    <t>Spatial structure and temporal evolution of the nonmigrating semidiurnal tidal components over Antarctica are determined by analyzing horizontal wind measurements in the Mesosphere and Lower Thermosphere (MLT) collected using TIMED Doppler Interferometer (TIDI) on the NASA Thermosphere Ionosphere Mesosphere Energetics and Dynamics (TIMED) satellite from 2002 to 2007. The data were organized into six specific intervals of approximately 60 days corresponding to the TIMED yaw periods. The results confirm the existence of a westward propagating zonal wave number 1 (W1) semidiurnal tidal component in the Antarctic MLT meridional wind field prior to the Austral summer solstice. This wave achieves a peak amplitude near 20 m s(-1) at 90 km and is vertically stratified while extending latitudinally from the pole to 60 degrees S. A similar structure is observed in the zonal wind field. However, the amplitude maximizes around the Austral summer solstice during the yaw period spanning 15 November to 15 January. In addition to a strong latitudinal gradient in amplitude, the W1 component also shows a vertical wavelength from 20 km near the pole to 40 km at 60 degrees S. The amplitude and phase agree well with ground-based meteor radar observations from the South Pole. Evidence for significant though weaker standing (S0) and W3 components is also found. These components diminish in the vicinity of the pole and appear during the winter months with latitudinally restricted structures. The vertical wavelength of the S0 component during the summer is 25 km, similar to the W1 component. During the winter the wavelength of the S0 component becomes nearly evanescent.</t>
  </si>
  <si>
    <t>[Iimura, H.; Palo, S. E.] Univ Colorado, Dept Aerosp Engn Sci, Boulder, CO 80309 USA; [Wu, Q.; Killeen, T. L.; Solomon, S. C.] Natl Ctr Atmospher Res, High Latitude Observ, Boulder, CO 80307 USA; [Skinner, W. R.] Univ Michigan, Space Phys Res Lab, Ann Arbor, MI 48109 USA</t>
  </si>
  <si>
    <t>University of Colorado System; University of Colorado Boulder; National Center Atmospheric Research (NCAR) - USA; University of Michigan System; University of Michigan</t>
  </si>
  <si>
    <t>Iimura, H (corresponding author), Colorado Res Associates, 3380 Mitchell Lane, Boulder, CO 80303 USA.</t>
  </si>
  <si>
    <t>iimurah@cora.nwra.com</t>
  </si>
  <si>
    <t>Killeen, Timothy L/F-2215-2013; Solomon, Stanley C/J-4847-2012</t>
  </si>
  <si>
    <t>Solomon, Stanley C/0000-0002-5291-3034; PALO, SCOTT/0000-0002-4729-4929</t>
  </si>
  <si>
    <t>National Science Foundation Office of Polar Programs [ANT0538672, OPP-0438777]; NASA [NXX07AB76G, NNH05CC70C, NNH05CC69C]</t>
  </si>
  <si>
    <t>National Science Foundation Office of Polar Programs(National Science Foundation (NSF)NSF - Directorate for Geosciences (GEO)); NASA(National Aeronautics &amp; Space Administration (NASA))</t>
  </si>
  <si>
    <t>A basic concept of the nonmigrating tidal analyses in the high-latitude region by the TIDI measurements is from the tidal analyses of the SABER temperature measurements by J. M. Forbes. We thank D. C. Fritts and D. M. Riggin for their helpful and insightful comments. This work has been supported by the National Science Foundation Office of Polar Programs grant ANT0538672 and by OPP-0438777. The TIDI work at NCAR and CoRA is supported by NASA grants NXX07AB76G, NNH05CC70C, and NNH05CC69C.</t>
  </si>
  <si>
    <t>D11102</t>
  </si>
  <si>
    <t>10.1029/2008JD010608</t>
  </si>
  <si>
    <t>455EZ</t>
  </si>
  <si>
    <t>WOS:000266742200003</t>
  </si>
  <si>
    <t>Zalizovski, AV; Kashcheyev, SB; Yampolski, YM; Galushko, VG; Belyey, V; Isham, B; Rietveld, MT; La Hoz, C; Brekke, A; Blagoveshchenskaya, NF; Kornienko, VA</t>
  </si>
  <si>
    <t>Zalizovski, A. V.; Kashcheyev, S. B.; Yampolski, Y. M.; Galushko, V. G.; Belyey, V.; Isham, B.; Rietveld, M. T.; La Hoz, C.; Brekke, A.; Blagoveshchenskaya, N. F.; Kornienko, V. A.</t>
  </si>
  <si>
    <t>Self-scattering of a powerful HF radio wave on stimulated ionospheric turbulence</t>
  </si>
  <si>
    <t>RADIO SCIENCE</t>
  </si>
  <si>
    <t>LANGMUIR TURBULENCE; IRREGULARITIES; DYNASONDE; ELF</t>
  </si>
  <si>
    <t>An analysis is presented of high-frequency (HF) signals from the European Incoherent Scatter HF ionospheric modification transmitter received during 26-30 October 2002 at three sites, two in Europe and one in Antarctica. Two components with different characteristics (mirror-reflected'' and scattered'') were observed in the signal spectra. The mirror-reflected component can be associated with radiation through the side lobes of the transmitting antenna thus bypassing the modified volume on its way to the receiving sites. In contrast, the scattered component was radiated through the main antenna beam and then scattered by pump-induced ionospheric irregularities above the heater. As a result, variations in the scattered component signal intensity and Doppler frequency shifts (DFS) recorded at the greatly separated sites showed a high level of correlation. It is shown that the Doppler frequency variations can be associated with variations in the plasma density and/or physical motion velocities of stimulated inhomogeneities within the volume common to all propagation paths. Analysis of Doppler frequency shifts at greatly separated sites would allow identifying the mechanism responsible for the self-scattering effect. In the case of DFSs due to motion of the pump-induced scatterers it would be also possible to reconstruct the full velocity vector of the inhomogeneities.</t>
  </si>
  <si>
    <t>[Zalizovski, A. V.; Kashcheyev, S. B.; Yampolski, Y. M.; Galushko, V. G.] Natl Acad Sci Ukraine, Inst Radio Astron, UA-310002 Kharkov, Ukraine; [Belyey, V.; La Hoz, C.; Brekke, A.] Univ Tromso, Dept Phys, N-9037 Tromso, Norway; [Blagoveshchenskaya, N. F.; Kornienko, V. A.] Arctic &amp; Antarctic Res Inst, St Petersburg 199397, Russia; [Isham, B.] Interamer Univ, Dept Elect &amp; Comp Engn, Bayamon, PR 00957 USA; [Rietveld, M. T.] EISCAT Sci Assoc, N-9027 Ramfjordbotn, Norway</t>
  </si>
  <si>
    <t>National Academy of Sciences Ukraine; Institute of Radio Astronomy of the National Academy of Sciences of Ukraine; UiT The Arctic University of Tromso; Arctic &amp; Antarctic Research Institute; Inter American University of Puerto Rico-San German</t>
  </si>
  <si>
    <t>Zalizovski, AV (corresponding author), Natl Acad Sci Ukraine, Inst Radio Astron, UA-310002 Kharkov, Ukraine.</t>
  </si>
  <si>
    <t>vasyl.belyey@gmail.com</t>
  </si>
  <si>
    <t>Galushko, Volodymyr G/F-6354-2019; Zalizovski, Andriy/ABB-4475-2020; Zalizovski, Andriy/HII-4602-2022; Yampolski, Yuri/AAU-3037-2021; Belyey, Vasyl/D-5382-2011; yampolskiy, yuriy m/ABA-8387-2020</t>
  </si>
  <si>
    <t>Zalizovski, Andriy/0000-0002-6271-0126; Zalizovski, Andriy/0000-0002-6271-0126; Yampolski, Yuri/0000-0002-6142-5753</t>
  </si>
  <si>
    <t>STCU [P-330, P-072, 827-C]; INTAS [03-51-5583]</t>
  </si>
  <si>
    <t>STCU; INTAS(INTAS)</t>
  </si>
  <si>
    <t>This work has been performed with the support of STCU projects P-330, P-072, and 827-C, INTAS grant 03-51-5583, and in collaboration with the Ukrainian Antarctic Center. The authors would like to thank the staffs of the Ukrainian Antarctic Station Akademik Vernadsky; the Radio Astronomical Observatory of the Institute of Radio Astronomy, National Academy of Sciences of Ukraine; the European Incoherent Scatter Scientific Association; and the personnel of the University of Tromso. We are grateful to V. G. Sinitsin, V. G. Bezrodny, A. V. Koloskov, and A. S. Kascheev, and to engineers I. I. Pikulik and P. V. Silin, for their assistance in conducting the experiment in Antarctica and at RAO, and for useful comments and discussions.</t>
  </si>
  <si>
    <t>0048-6604</t>
  </si>
  <si>
    <t>RADIO SCI</t>
  </si>
  <si>
    <t>Radio Sci.</t>
  </si>
  <si>
    <t>RS3010</t>
  </si>
  <si>
    <t>10.1029/2008RS004111</t>
  </si>
  <si>
    <t>Astronomy &amp; Astrophysics; Geochemistry &amp; Geophysics; Meteorology &amp; Atmospheric Sciences; Remote Sensing; Telecommunications</t>
  </si>
  <si>
    <t>455HD</t>
  </si>
  <si>
    <t>WOS:000266748300003</t>
  </si>
  <si>
    <t>Posyniak, M; Markowicz, K</t>
  </si>
  <si>
    <t>Posyniak, Michal; Markowicz, Krzysztof</t>
  </si>
  <si>
    <t>Measurement of aerosol optical thickness over the Atlantic Ocean and in West Antarctica, 2006-2007</t>
  </si>
  <si>
    <t>ACTA GEOPHYSICA</t>
  </si>
  <si>
    <t>aerosols; sunphotometer; aerosol optical thickness; Angstrom exponent</t>
  </si>
  <si>
    <t>In this paper, optical measurements of aerosol properties made during a ship cruise from Poland to Antarctic Station in September and October 2006, and during the cruise back to Gdynia in April and May 2007 are described. A large gradient of pollution between the clear South Atlantic and the dusty North Atlantic was observed. The maximum of aerosol optical thickness at a wavelength of 500 nm reached 0.4 at 20A degrees N in September 2006 and 0.3 at 40A degrees N in May 2007, respectively. Strong Saharan dust transport is suggested as an explanation for the small values of A...ngstrom exponent observed (values of 0.2 and 0.4 on these respective dates). On the Southern Hemisphere the aerosol optical thickness at 500 nm ranged from 0.05 to 0.2. Significant increases of the aerosol optical thickness were associated with strong wind and sea salt production. Good agreement was found when the in situ measurements of aerosol optical thickness were compared to satellite retrievals and modelling results.</t>
  </si>
  <si>
    <t>[Posyniak, Michal; Markowicz, Krzysztof] Univ Warsaw, Inst Geophys, Atmospher Phys Div, Warsaw, Poland</t>
  </si>
  <si>
    <t>University of Warsaw</t>
  </si>
  <si>
    <t>Posyniak, M (corresponding author), Univ Warsaw, Inst Geophys, Atmospher Phys Div, Warsaw, Poland.</t>
  </si>
  <si>
    <t>mpos@igf.fuw.edu.pl; kmark@igf.fuw.edu.pl</t>
  </si>
  <si>
    <t>Posyniak, Michal/0000-0003-2156-9434; Markowicz, Krzysztof/0000-0003-4190-0243</t>
  </si>
  <si>
    <t>Polish State Committee for Scientific Research [PBZ-KBN108/P04/2004]</t>
  </si>
  <si>
    <t>This research was partially supported by a grant from the Polish State Committee for Scientific Research (PBZ-KBN108/P04/2004) and by the Polish Ministry of Science and Higher Education. Michal Posyniak would like to thank Evgienij Levakov ( master) and the crew of m/ v Polar Pioneer for assistance and collaboration during the experiments, as well as Michal Offierski ( leader) and other members of 31st Polish Antarctic Expedition for help and technical support during our stay at the Henryk Arctowski Polish Antarctic Station.</t>
  </si>
  <si>
    <t>1895-6572</t>
  </si>
  <si>
    <t>1895-7455</t>
  </si>
  <si>
    <t>ACTA GEOPHYS</t>
  </si>
  <si>
    <t>Acta Geophys.</t>
  </si>
  <si>
    <t>JUN</t>
  </si>
  <si>
    <t>10.2478/s11600-009-0002-0</t>
  </si>
  <si>
    <t>424YA</t>
  </si>
  <si>
    <t>WOS:000264603000015</t>
  </si>
  <si>
    <t>Béniguel, Y; Romano, V; Alfonsi, L; Aquino, M; Bourdillon, A; Cannon, P; De Franceschi, G; Dubey, S; Forte, B; Gherm, V; Jakowski, N; Materassi, M; Noack, T; Pozoga, M; Rogers, N; Spalla, P; Strangeways, HJ; Warrington, EM; Wernik, A; Wilken, V; Zernov, N</t>
  </si>
  <si>
    <t>Beniguel, Yannick; Romano, Vincenzo; Alfonsi, Lucilla; Aquino, Marcio; Bourdillon, Alain; Cannon, Paul; De Franceschi, Giorgiana; Dubey, Smita; Forte, Biagio; Gherm, Vadim; Jakowski, Norbert; Materassi, Massimo; Noack, Thoralf; Pozoga, Mariusz; Rogers, Niel; Spalla, Paolo; Strangeways, Hal J.; Warrington, E. Michael; Wernik, Andrzej; Wilken, Volker; Zernov, Nikolay</t>
  </si>
  <si>
    <t>Ionospheric scintillation monitoring and modelling</t>
  </si>
  <si>
    <t>ANNALS OF GEOPHYSICS</t>
  </si>
  <si>
    <t>scintillation; measurement campaigns; phase screen models; radar; wavelets; maps</t>
  </si>
  <si>
    <t>GNSS USERS; IRREGULARITIES; ANISOTROPY; DYNAMICS; DRIFTS</t>
  </si>
  <si>
    <t>This paper presents a review of the ionospheric scintillation monitoring and modelling by the European groups involved in COST 296. Several of these groups have organized scintillation measurement campaigns at low and high latitudes. Some characteristic results obtained from the measured data are presented. The paper also addresses the modeling activities: four models, based on phase screen techniques, with different options and application domains are detailed. Finally some new trends for research topics are given. This includes the wavelet analysis, the high latitudes analysis, the construction of scintillation maps and the mitigation techniques.</t>
  </si>
  <si>
    <t>[Beniguel, Yannick] IEEA, Paris, France; [Romano, Vincenzo; Alfonsi, Lucilla; De Franceschi, Giorgiana] Ist Nazl Geofis &amp; Vulcanol, Rome, Italy; [Aquino, Marcio] IESSG, Nottingham, England; [Bourdillon, Alain] Univ Rennes 1, IETR, F-35014 Rennes, France; [Cannon, Paul; Rogers, Niel] Qinetiq, Malvern, Worcs, England; [Dubey, Smita; Jakowski, Norbert; Noack, Thoralf; Wilken, Volker] DLR, Neustrelitz, Germany; [Forte, Biagio] Univ Nova Gorica, Nova Gorica, Slovenia; [Gherm, Vadim; Zernov, Nikolay] Univ St Petersburg, St Petersburg, Russia; [Materassi, Massimo; Spalla, Paolo] CNR, Inst Complex Syst, Florence, Italy; [Pozoga, Mariusz; Wernik, Andrzej] Polish Acad Sci, Space Res Ctr, PL-01237 Warsaw, Poland; [Strangeways, Hal J.] Univ Leeds, Sch Elect &amp; Elect Engn, Leeds LS2 9JT, W Yorkshire, England; [Warrington, E. Michael] Univ Leicester, Dept Engn, Leicester LE1 7RH, Leics, England</t>
  </si>
  <si>
    <t>Istituto Nazionale Geofisica e Vulcanologia (INGV); University of Nottingham; Universite de Rennes; Qinetiq Group Plc; Helmholtz Association; German Aerospace Centre (DLR); University of Nova Gorica; Saint Petersburg State University; Consiglio Nazionale delle Ricerche (CNR); Istituto dei Sistemi Complessi (ISC-CNR); Centrum Badan Kosmicznych, Polish Academy of Sciences; Polish Academy of Sciences; Space Research Centre of the Polish Academy of Sciences; University of Leeds; University of Leicester</t>
  </si>
  <si>
    <t>Béniguel, Y (corresponding author), IEEA, 13 Promenade Paul Dumer, F-92400 Courbevoie, France.</t>
  </si>
  <si>
    <t>beniguel@ieea.fr</t>
  </si>
  <si>
    <t>Zernov, Nikolay N/M-7566-2013; Cannon, Paul/A-2488-2011; Gherm, Vadim E/J-8218-2013; Romano, Vincenzo/HKV-6552-2023; Materassi, Massimo/AAX-7987-2020; Noack, Thilo/AAW-6632-2021; Alfonsi, Lucilla/V-2969-2018; Cannon, Paul S/C-3579-2011; Jakowski, Norbert/L-3827-2014</t>
  </si>
  <si>
    <t>Cannon, Paul/0000-0001-8240-994X; Gherm, Vadim E/0000-0002-8553-0398; Romano, Vincenzo/0000-0002-7532-4507; Materassi, Massimo/0000-0002-7070-333X; Zernov, Nikolay/0000-0002-1255-7768; Strangeways, Hal/0000-0002-2833-5860; Rogers, Neil/0000-0002-8423-6306; Forte, Biagio/0000-0003-1682-1930; Warrington, Michael/0000-0001-6505-7380; Noack, Thilo/0000-0003-0245-0147; Alfonsi, Lucilla/0000-0002-1806-9327; Jakowski, Norbert/0000-0003-3174-2624</t>
  </si>
  <si>
    <t>Polish Ministry of Science and Higher Education [IPY/280/2006]; EPSRC; Slovenian Research; Royal Society International Joint Project; [ASI/ISMB/ASI N.I./006/07/0]</t>
  </si>
  <si>
    <t>Polish Ministry of Science and Higher Education(Ministry of Science and Higher Education, Poland); EPSRC(UK Research &amp; Innovation (UKRI)Engineering &amp; Physical Sciences Research Council (EPSRC)); Slovenian Research; Royal Society International Joint Project(Royal Society);</t>
  </si>
  <si>
    <t>The Studies at the Polish Space Research Centre are sponsored by the Polish Ministry of Science and Higher Education through the grant IPY/280/2006. Parof this work was possible thanks to a free access to NSSDC archives. Part of the scintillation data used in this report were kindly provided by C. Mitchell at the University of Bath (UK) through an EPSRC project. The INGV authors thank the PNRA (Italian National Program for Antarctic Researches) and POLARNET-CNR. The work by MM has been partially supported by the contract ASI/ISMB/ASI N.I./006/07/0. BF thanks the Slovenian Research Agency for supporting his activity at the University of Nova Gorica. DLR thanks LAPAN/Indonesia for supporting the high rate GPS measurements in Bandung. Collaboration between the IESSG, INGV and UNESP has been facilitated by two Royal Society International Joint Project grants. The work carried out by the IESSG on the 2001-2003 data was sponsored by an EPSRC grant, which also funded the purchase and deployment of the GISTM receivers used in the experiments.</t>
  </si>
  <si>
    <t>IST NAZIONALE DI GEOFISICA E VULCANOLOGIA</t>
  </si>
  <si>
    <t>ROME</t>
  </si>
  <si>
    <t>VIA VIGNA MURATA 605, ROME, 00143, ITALY</t>
  </si>
  <si>
    <t>1593-5213</t>
  </si>
  <si>
    <t>2037-416X</t>
  </si>
  <si>
    <t>ANN GEOPHYS-ITALY</t>
  </si>
  <si>
    <t>Ann. Geophys.</t>
  </si>
  <si>
    <t>JUN-AUG</t>
  </si>
  <si>
    <t>517LT</t>
  </si>
  <si>
    <t>WOS:000271616600012</t>
  </si>
  <si>
    <t>Walton, David W. H.</t>
  </si>
  <si>
    <t>Half a century of the Antarctic treaty</t>
  </si>
  <si>
    <t>10.1017/S0954102009001941</t>
  </si>
  <si>
    <t>460OG</t>
  </si>
  <si>
    <t>WOS:000267196400001</t>
  </si>
  <si>
    <t>Walsh, JE</t>
  </si>
  <si>
    <t>Walsh, John E.</t>
  </si>
  <si>
    <t>A comparison of Arctic and Antarctic climate change, present and future</t>
  </si>
  <si>
    <t>SCAR/IASC Open Science Conference</t>
  </si>
  <si>
    <t>St Petersburg, RUSSIA</t>
  </si>
  <si>
    <t>air temperature; climate models; greenhouse signal; Polar Regions</t>
  </si>
  <si>
    <t>TEMPERATURE; SIMULATIONS</t>
  </si>
  <si>
    <t>Ongoing climate variations in the Arctic and Antarctic pose an apparent paradox. In contrast to the large warming and loss of sea ice in the Arctic in recent decades, Antarctic temperatures and sea ice show little change except for the Antarctic Peninsula. However, model simulations indicate that the Arctic changes have been shaped largely by low-frequency variations of the atmospheric circulation, superimposed on a greenhouse wan-ning that is apparent in model simulations when ensemble averages smooth out the circulation-driven variability of the late 20th century. By contrast, the Antarctic changes of recent decades appear to be shaped by ozone depletion and an associated strengthening of the Southern annular mode of the atmospheric circulation. While the signature of greenhouse-driven change is projected to emerge from the natural variability during the present century, the emergence of a statistically significant greenhouse signal may be slower than in other regions. Models Suggest that feedbacks from retreating sea ice will make autumn and winter the seasons of the earliest emergence of the greenhouse signal in both Polar Regions. Priorities for enhanced robustness of the Antarctic climate simulations are the inclusion of ozone chemistry and the realistic simulation of water vapour over the Antarctic Ice Sheet.</t>
  </si>
  <si>
    <t>Univ Alaska, Int Arctic Res Ctr, Fairbanks, AK 99701 USA</t>
  </si>
  <si>
    <t>Walsh, JE (corresponding author), Univ Alaska, Int Arctic Res Ctr, Fairbanks, AK 99701 USA.</t>
  </si>
  <si>
    <t>jwalsh@iarc.uaf.edu</t>
  </si>
  <si>
    <t>Walsh, John/GQI-2785-2022</t>
  </si>
  <si>
    <t>Walsh, John/0000-0002-2510-8734; Walsh, John/0000-0001-9541-5927</t>
  </si>
  <si>
    <t>10.1017/S0954102009001874</t>
  </si>
  <si>
    <t>WOS:000267196400002</t>
  </si>
  <si>
    <t>Phiri, EE; Mcgeoch, MA; Chown, SL</t>
  </si>
  <si>
    <t>Phiri, Ethel E.; Mcgeoch, Melodie A.; Chown, Steven L.</t>
  </si>
  <si>
    <t>Spatial variation in structural damage to a keystone plant species in the sub-Antarctic: interactions between Azorella selago and invasive house mice</t>
  </si>
  <si>
    <t>cushion plant; herbivory; invasive species; rodent; spatial distribution; sub-Antarctic</t>
  </si>
  <si>
    <t>PRINCE-EDWARD-ISLANDS; MARION ISLAND; CLIMATE-CHANGE; MUS-MUSCULUS; CONSERVATION; IMPACTS; DIET; TEMPERATURE; ERADICATION; MANAGEMENT</t>
  </si>
  <si>
    <t>On Southern Ocean islands the effects of the house Mouse on plants are not well understood. in particular, its influence at the landscape scale has largely been overlooked. To address this issue, we systematically mapped the distribution of a keystone, cushion plant species, Azorella selago, and mouse damage to it across Marion Island. Mouse damage was observed in a third of the sampled sites from sea level to 548 m a.s.l. Damage to individual cushions ranged from single burrows to the disintegration of entire cushions. Mouse damage was high in sites with low A. selago density, suggesting that in areas of low cushion density the impact of mice may be substantial. Moreover, it is not simply direct impacts oil the A. selago population that are ecologically significant. Azorella selago cushions serve as nurse plants for many epiphyte species, so increasing the altitudinal range of a variety of them, and also house high densities of invertebrates especially in fellfield landscapes. In consequence, this study demonstrates that mice are having a significant, negative impact at the landscape scale on Marion Island, so adding to the growing list of species and ecosystem-level effects attributable to this invasive rodent.</t>
  </si>
  <si>
    <t>[Phiri, Ethel E.; Chown, Steven L.] Univ Stellenbosch, Dept Bot &amp; Zool, Ctr Invas Biol, ZA-7602 Matieland, South Africa; [Mcgeoch, Melodie A.] Univ Stellenbosch, Dept Conservat Ecol &amp; Entomol, Ctr Invas Biol, ZA-7602 Matieland, South Africa</t>
  </si>
  <si>
    <t>Stellenbosch University; Stellenbosch University</t>
  </si>
  <si>
    <t>Phiri, EE (corresponding author), Univ Stellenbosch, Dept Bot &amp; Zool, Ctr Invas Biol, Private Bag XI, ZA-7602 Matieland, South Africa.</t>
  </si>
  <si>
    <t>ephiri@sun.ac.za</t>
  </si>
  <si>
    <t>Phiri, Ethel Emmarantia/W-7079-2019; Chown, Steven/ABD-7646-2021; McGeoch, Melodie/F-8353-2011; Chown, Steven/H-3347-2011</t>
  </si>
  <si>
    <t>Phiri, Ethel Emmarantia/0000-0003-1473-2045; McGeoch, Melodie/0000-0003-3388-2241; Chown, Steven/0000-0001-6069-5105</t>
  </si>
  <si>
    <t>United States Agency for International Development (USAID); DST-NRF Centre of Excellence for Invasion Biology; Stellenbosch University</t>
  </si>
  <si>
    <t>United States Agency for International Development (USAID)(United States Agency for International Development (USAID)); DST-NRF Centre of Excellence for Invasion Biology(Department of Science &amp; Technology (India)); Stellenbosch University</t>
  </si>
  <si>
    <t>Asanda Phiri is thanked for assistance in the field and Peter le Roux for comments, discussion, valuable insight, and data on cushion density. Two referees substantially improved the work by providing comments on a previous version of the manuscript. This work was funded by the United States Agency for International Development (USAID), DST-NRF Centre of Excellence for Invasion Biology, and Stellenbosch University. The South African National Antarctic Programme is acknowledged for logistic support.</t>
  </si>
  <si>
    <t>10.1017/S0954102008001569</t>
  </si>
  <si>
    <t>WOS:000267196400003</t>
  </si>
  <si>
    <t>Vallet, C; Koubbi, P; Sultan, E; Goffart, A; Swadling, KM; Wright, SW</t>
  </si>
  <si>
    <t>Vallet, Carole; Koubbi, Philippe; Sultan, Emmanuelle; Goffart, Anne; Swadling, Kerrie M.; Wright, Simon W.</t>
  </si>
  <si>
    <t>Distribution of euphausiid larvae along the coast of East Antarctica in the Dumont d'Urville Sea (139-145°E) during summer 2004</t>
  </si>
  <si>
    <t>abundance; environmental factors; Euphausia crystallorophias; Mertz Glacier Tongue; spatial distribution; Terre Adelie; Thysanoessa macrura</t>
  </si>
  <si>
    <t>PRYDZ BAY REGION; THYSANOESSA-MACRURA; COMMUNITY STRUCTURE; WATER MASSES; KRILL; CRYSTALLOROPHIAS; SUPERBA; ABUNDANCE; 80-150-DEGREES-E; MACROZOOPLANKTON</t>
  </si>
  <si>
    <t>The distribution of euphausiid larvae along the coast of Terre Adelie, Antarctica, was assessed using oblique tows of a double-framed bongo net at 38 stations during summer 2004. Larvae of Euphausia crystallorophias and Thysanoessa macrura were observed. For E. crystallorophias larvae, the calyptopis I stage was dominant along the coast, while the most commonly observed stage of T macrura was the furcilia. The distribution of E. crystallorophias larvae were correlated with abiotic factors, including depth and sea surface salinity, whereas those of T macrura larvae were correlated with biotic factors, especially chlorophyll a and nitrate. Developmental stages of both species increased in age from west to east in the survey area, with younger developmental stages (metanauplius and calyptopis I) in the western part of the region and older stages (calyptopis II and III and furcilia I to VI) in the eastern part near the Mertz Glacier Tongue (MGT). It is suggested that these patterns could be linked with the water circulation and wind: near the MGT gyres could concentrate all developmental stages of both species near the coast, while katabatic winds near Dumont d'Urville will promote larval advection seawards, with younger stages near the coast and older stages further offshore.</t>
  </si>
  <si>
    <t>[Vallet, Carole] Univ Artois, Ctr IUFM Nord Pas Calais, F-62230 Outreau, France; [Vallet, Carole] Univ Littoral Cote dOpale, Lab Oceanol &amp; Geosci, CNRS, LOG UMR 8187, F-62930 Wimereux, France; [Koubbi, Philippe] Univ Paris 06, Lab Oceanog Villefranche, UMR 7093, F-06230 Villefranche Sur Mer, France; [Koubbi, Philippe] CNRS, UMR 7093, LOV, F-06230 Villefranche Sur Mer, France; [Sultan, Emmanuelle] Univ Paris 06, LOCEAN MNHN, F-75005 Paris, France; [Goffart, Anne] Univ Liege, MARE Ctr, Lab Oceanol, B-4000 Liege, Belgium; [Swadling, Kerrie M.] Univ Tasmania, Tasmanian Aquaculture &amp; Fisheries Inst, Marine Res Labs, Hobart, Tas 7001, Australia; [Swadling, Kerrie M.] Univ Tasmania, Sch Zool, Hobart, Tas 7001, Australia; [Wright, Simon W.] Australian Antarctic Div, Kingston, Tas 7050, Australia; [Wright, Simon W.] Antarctic Climate &amp; Ecosyst CRC, Kingston, Tas 7050, Australia</t>
  </si>
  <si>
    <t>Universite d'Artois; Centre National de la Recherche Scientifique (CNRS); CNRS - National Institute for Earth Sciences &amp; Astronomy (INSU); Universite du Littoral-Cote-d'Opale; Centre National de la Recherche Scientifique (CNRS); CNRS - National Institute for Earth Sciences &amp; Astronomy (INSU); Sorbonne Universite; Sorbonne Universite; Centre National de la Recherche Scientifique (CNRS); CNRS - National Institute for Earth Sciences &amp; Astronomy (INSU); Museum National d'Histoire Naturelle (MNHN); Sorbonne Universite; University of Liege; University of Tasmania; University of Tasmania; Australian Antarctic Division; University of Tasmania</t>
  </si>
  <si>
    <t>Vallet, C (corresponding author), Univ Artois, Ctr IUFM Nord Pas Calais, 10 Rue Hippolyte Adam, F-62230 Outreau, France.</t>
  </si>
  <si>
    <t>carole.vallet@univ-littoral.fr</t>
  </si>
  <si>
    <t>Koubbi, Philippe/D-5873-2015</t>
  </si>
  <si>
    <t>Swadling, Kerrie/0000-0002-7620-841X</t>
  </si>
  <si>
    <t>Australian Government's Cooperative Research Centres Programme; BELSPO (Belgium) [EV/12/30A, SD/BA/851]</t>
  </si>
  <si>
    <t>Australian Government's Cooperative Research Centres Programme(Australian GovernmentDepartment of Industry, Innovation and ScienceCooperative Research Centres (CRC) Programme); BELSPO (Belgium)(Belgian Federal Science Policy Office)</t>
  </si>
  <si>
    <t>This work was supported by the Australian Government's Cooperative Research Centres Programme through the Antarctic Climate and Ecosystems Cooperative Research Centre (SW Wright). Work of Anne Goffart (MARE publication no. 149) was supported by BELSPO (Belgium) under contracts PELAGANT (EV/12/30A) and PADI (SD/BA/851).</t>
  </si>
  <si>
    <t>10.1017/S0954102008001697</t>
  </si>
  <si>
    <t>WOS:000267196400004</t>
  </si>
  <si>
    <t>Bícego, MC; Zanardi-Lamardo, E; Taniguchi, S; Martins, CC; Da Silva, DAM; Sasaki, ST; Albergaria-Barbosa, ACR; Paol, FS; Weber, RR; Montone, RC</t>
  </si>
  <si>
    <t>Bicego, Marcia C.; Zanardi-Lamardo, Eliete; Taniguchi, Satie; Martins, Cesar C.; Da Silva, Denis A. M.; Sasaki, Silvio T.; Albergaria-Barbosa, Ana C. R.; Paol, Fernando S.; Weber, Rolf R.; Montone, Rosalinda C.</t>
  </si>
  <si>
    <t>Results from a 15-year study on hydrocarbon concentrations in water and sediment from Admiralty Bay, King George Island, Antarctica</t>
  </si>
  <si>
    <t>PAHs; seawater; sewage; South Shetland Islands</t>
  </si>
  <si>
    <t>POLYCYCLIC AROMATIC-HYDROCARBONS; MARINE-ENVIRONMENT; ARTHUR HARBOR; ANTHROPOGENIC HYDROCARBONS; PETROLEUM-HYDROCARBONS; MCMURDO-STATION; DAVIS-STATION; FUEL SPILL; OIL-SPILL; SEA</t>
  </si>
  <si>
    <t>Admiralty Bay on the King George Island hosts the Brazilian, Polish and Peruvian research stations as well as the American and Ecuadorian field stations. Human activities in this region require the use of fossil fuels as an energy source, thereby placing the region at risk of hydrocarbon contamination. Hydrocarbon monitoring was conducted on water and sediment samples from the bay over 15 years. Fluorescence spectroscopy was used for the analysis of total polycyclic aromatic hydrocarbons (PAHs) in seawater samples and gas chromatography with flame ionization and/or mass spectrometric detection was used to analyse individual n-alkanes and PAHs in sediment samples. The results revealed that most sites contaminated by these Compounds are around the Brazilian and Polish research stations due to the intense human activities, mainly during the summer. Moreover, the sediments revealed the presence of hydrocarbons from different sources, suggesting a mixture of the direct input of oil or derivatives and derived from hydrocarbon combustion. A decrease in PAH concentrations occurred following improvement of the sewage treatment facilities at the Brazilian research station, indicating that the contribution from human waste may be significant.</t>
  </si>
  <si>
    <t>[Bicego, Marcia C.; Zanardi-Lamardo, Eliete; Taniguchi, Satie; Sasaki, Silvio T.; Albergaria-Barbosa, Ana C. R.; Weber, Rolf R.; Montone, Rosalinda C.] Univ Sao Paulo, Inst Oceanog, Lab Quim Organ Marinha, BR-05508900 Sao Paulo, Brazil; [Martins, Cesar C.] Univ Fed Parana, Ctr Estudos Mar, Pontal Do Parana, Parana, Brazil; [Da Silva, Denis A. M.] NOAA Fisheries, NW Fisheries Sci Ctr, Environm Conservat Div, Seattle, WA 98112 USA; [Paol, Fernando S.] Univ Sao Paulo, Inst Astron Geofis &amp; C Atmosfer, Dept Geofis, BR-05508900 Sao Paulo, Brazil</t>
  </si>
  <si>
    <t>Universidade de Sao Paulo; Universidade Federal do Parana; National Oceanic Atmospheric Admin (NOAA) - USA; Universidade de Sao Paulo</t>
  </si>
  <si>
    <t>Bícego, MC (corresponding author), Univ Sao Paulo, Inst Oceanog, Lab Quim Organ Marinha, BR-05508900 Sao Paulo, Brazil.</t>
  </si>
  <si>
    <t>marcia@io.usp.br</t>
  </si>
  <si>
    <t>de+Albergaria+Barbosa, Ana/AAQ-3872-2020; de Castro Martins, Cesar C/I-1086-2012; ZANARDI-LAMARDO, ELIETE/A-9084-2011; de Albergaria-Barbosa, Ana Cecília/AAC-6940-2021; da Silva, Denis A/C-1043-2008; Bicego, Marcia C/D-1996-2013; Montone, Rosalinda C/J-9110-2012; Sasaki, Silvio Tarou/ITW-1402-2023; Taniguchi, Satie/D-2552-2013</t>
  </si>
  <si>
    <t>ZANARDI-LAMARDO, ELIETE/0000-0003-3546-6479; Sasaki, Silvio Tarou/0000-0002-9207-241X; de Castro Martins, Cesar/0000-0002-2515-5565; Albergaria-Barbosa, Ana Cecilia R./0000-0003-2121-9792; Bicego, Marcia/0000-0002-9939-9853; Taniguchi, Satie/0000-0002-6825-6390</t>
  </si>
  <si>
    <t>Conselho Nacional de Pesquisa (CNPq)</t>
  </si>
  <si>
    <t>Conselho Nacional de Pesquisa (CNPq)(Conselho Nacional de Desenvolvimento Cientifico e Tecnologico (CNPQ))</t>
  </si>
  <si>
    <t>The authors would like to thank the Brazilian Antarctic Programme (PROANTAR) for the financial support through a grant from the Conselho Nacional de Pesquisa (CNPq) and logistical support from the Secretaria da Comissao Interministerial para os Recursos do Mar (SECIRM). The authors express their gratitude to the staff at the Brazilian Station for their assistance in the collection of samples and members of the Marine Organic Chemistry Laboratory of the Oceanographic Institute of the Universidade de Sao Paulo for their contribution and suggestions. Additional thanks go to the reviewers for their substantial input.</t>
  </si>
  <si>
    <t>10.1017/S0954102009001734</t>
  </si>
  <si>
    <t>WOS:000267196400005</t>
  </si>
  <si>
    <t>Casaux, R; Baroni, A; Ramón, A; Bertolin, M; Di Prinzio, CY</t>
  </si>
  <si>
    <t>Casaux, R.; Baroni, A.; Ramon, A.; Bertolin, M.; Di Prinzio, C. Y.</t>
  </si>
  <si>
    <t>The diet of post-breeding Antarctic shags Phalacrocorax bransfieldensis at the Danco Coast, Antarctic Peninsula</t>
  </si>
  <si>
    <t>Antarctica; Gobionotothen; Notothenia; post-breeding diet</t>
  </si>
  <si>
    <t>SOUTH-SHETLAND ISLANDS; BLUE-EYED SHAGS; NOTOTHENIA-CORIICEPS; DIVING BEHAVIOR; ATRICEPS-BRANSFIELDENSIS; MACQUARIE-ISLAND; ORKNEY ISLANDS; NELSON ISLAND; POTTER COVE; GEORGIA</t>
  </si>
  <si>
    <t>The diet of post-breeding Antarctic shags Phalacrocorax bransfieldensis was investigated at four colonies at the Danco Coast, Antarctic Peninsula, by the analysis of 399 pellets (regurgitated casts) collected during February and March 1998 and 2000. Overall, demersal-benthic fish were the most frequent and important prey at all the colonies sampled, followed by octopods and gastropods. Amongst the fish, Notothenia coriiceps and Gobionotothen gibberifrons were the main prey in all of the sampling sites in both seasons. The composition of the diet of post-breeding shags differed from that observed in the previous breeding season. Post-breeders preyed on the same fish species consumed by breeders, although in different proportions and on larger specimens. The information provided here differs from that reported for post-breeding individuals belonging to other shag species and also for post-breeding Antarctic shags. Our results, as well as the differences with previous studies, are discussed in relation to differences in prey availability among localities and to the use of alternative foraging grounds at the end of the breeding period.</t>
  </si>
  <si>
    <t>[Casaux, R.; Bertolin, M.; Di Prinzio, C. Y.] Consejo Nacl Invest Cient &amp; Tecn, RA-1033 Buenos Aires, DF, Argentina; [Baroni, A.] Univ Buenos Aires, Fac Farm &amp; Bioquim, RA-1113 Buenos Aires, DF, Argentina; [Ramon, A.] Subsecretaria Medioambiente Municipalidad Esquel, RA-9200 Esquel, Chubut, Argentina; [Casaux, R.] Inst Antartico Argentino, RA-1010 Buenos Aires, DF, Argentina</t>
  </si>
  <si>
    <t>Consejo Nacional de Investigaciones Cientificas y Tecnicas (CONICET); University of Buenos Aires; Instituto Antartico Argentino</t>
  </si>
  <si>
    <t>Casaux, R (corresponding author), Univ Nacl Patagonia San Juan Bosco, LIESA, Rua 259 Km Km,5 Planta Aromat, RA-9200 Esquel, Chubut, Argentina.</t>
  </si>
  <si>
    <t>rcasaux@dna.gov.ar</t>
  </si>
  <si>
    <t>di prinzio, cecilia/0000-0002-3561-4307</t>
  </si>
  <si>
    <t>10.1017/S0954102009001746</t>
  </si>
  <si>
    <t>WOS:000267196400006</t>
  </si>
  <si>
    <t>Tejedo, P; Justel, A; Benayas, J; Rico, E; Convey, P; Quesada, A</t>
  </si>
  <si>
    <t>Tejedo, P.; Justel, A.; Benayas, J.; Rico, E.; Convey, P.; Quesada, A.</t>
  </si>
  <si>
    <t>Soil trampling in an Antarctic Specially Protected Area: tools to assess levels of human impact</t>
  </si>
  <si>
    <t>Antarctica; ASPA; environmental monitoring; recovery capacity; soil degradation; trampling impact</t>
  </si>
  <si>
    <t>TERRESTRIAL ARTHROPOD FAUNA; LIVINGSTON-ISLAND; BYERS-PENINSULA; ENVIRONMENT</t>
  </si>
  <si>
    <t>Research in extremely delicate environments must be sensitive to the need to minimize impacts caused simply through the presence of research personnel. This study investigates the effectiveness of current advice relating to travel on foot over Antarctic vegetation-free soils. These are based on the concentration of impacts through the creation of properly signed and identified paths. In order to address these impacts, we quantified three factors - resistance to compression, bulk density and free-living terrestrial arthropod abundance - in areas of human activity over five summer field seasons at the Byers Peninsula (Livingston Island, South Shetland Islands). Studies included instances of both experimentally controlled use and natural non-controlled situations. The data demonstrate that a minimum human presence is sufficient to alter both physical and biological characteristics of Byers Peninsula soils, although at the lowest levels of human activity this difference was not significant in comparison with adjacent undisturbed control areas. On the other hand, a limited resilience of physical properties was observed in Antarctic soils, thus it is crucial not to exceed the soil's natural recovery capability.</t>
  </si>
  <si>
    <t>[Benayas, J.; Rico, E.] Univ Autonoma Madrid, Dept Ecol, E-28049 Madrid, Spain; [Tejedo, P.] IE Univ, Sch Biol, Segovia 40003, Spain; [Justel, A.] Univ Autonoma Madrid, Dept Matemat, E-28049 Madrid, Spain; [Convey, P.] British Antarctic Survey, NERC, Cambridge CB3 0ET, England; [Quesada, A.] Univ Autonoma Madrid, Dept Biol, E-28049 Madrid, Spain</t>
  </si>
  <si>
    <t>Autonomous University of Madrid; IE University; Autonomous University of Madrid; UK Research &amp; Innovation (UKRI); Natural Environment Research Council (NERC); NERC British Antarctic Survey; Autonomous University of Madrid</t>
  </si>
  <si>
    <t>Benayas, J (corresponding author), Univ Autonoma Madrid, Dept Ecol, E-28049 Madrid, Spain.</t>
  </si>
  <si>
    <t>javier.benayas@uam.es</t>
  </si>
  <si>
    <t>Justel, Ana/A-3955-2010; Convey, Peter/AAV-5728-2020; Quesada, Antonio/L-2430-2013; Benayas Del Alamo, Fco. Javier/E-5663-2017; Tejedo, Pablo/A-7163-2010; Rico, Eugenio/L-2429-2013</t>
  </si>
  <si>
    <t>Justel, Ana/0000-0003-3335-0579; Convey, Peter/0000-0001-8497-9903; Quesada, Antonio/0000-0002-8913-5993; Benayas Del Alamo, Fco. Javier/0000-0002-5906-9569; Tejedo, Pablo/0000-0002-1865-0445; Rico, Eugenio/0000-0001-6978-645X</t>
  </si>
  <si>
    <t>Spanish Government [REN2000-0435ANT, REN2002-11617-E, CGL2004-20451-E, CGL2005/06549/02/01-ANT]; Natural Environment Research Council [bas010015] Funding Source: researchfish; NERC [bas010015] Funding Source: UKRI</t>
  </si>
  <si>
    <t>Spanish Government(Spanish Government); Natural Environment Research Council(UK Research &amp; Innovation (UKRI)Natural Environment Research Council (NERC)); NERC(UK Research &amp; Innovation (UKRI)Natural Environment Research Council (NERC))</t>
  </si>
  <si>
    <t>This is a contribution of the LIMNOPOLAR project, and also contributes to the BAS BlOFLAME and SCAR EBA research programmes. It was supported by the Spanish Government (REN2000-0435ANT, REN2002-11617-E, CGL2004-20451-E and CGL2005/06549/02/01-ANT). Logistical support was provided by the UTM (Marine Technology Unit, CSIC) and the Spanish Navy. We thank all the members of the LIMNOPOLAR team for data collection, particularly to Antonio Camacho, Carlos Rochera and David Velazquez, and Javier Arcones (IE University student) for collaboration in the identification work.</t>
  </si>
  <si>
    <t>10.1017/S0954102009001795</t>
  </si>
  <si>
    <t>WOS:000267196400007</t>
  </si>
  <si>
    <t>Van Den Hoff, J; Mcmahon, CR; Field, I</t>
  </si>
  <si>
    <t>Van Den Hoff, John; Mcmahon, Clive R.; Field, Iain</t>
  </si>
  <si>
    <t>Tipping back the balance: recolonization of the Macquarie Island isthmus by king penguins (Aptenodytes patagonicus) following extermination for human gain</t>
  </si>
  <si>
    <t>breeding cycle; intrinsic change; sub-Antarctic</t>
  </si>
  <si>
    <t>POPULATION; SEABIRDS; CROZET</t>
  </si>
  <si>
    <t>During the late 19th and early 20th centuries, when blubber oil fuelled house lamps, the king penguin population at Macquarie Island was reduced from two very large (perhaps hundreds of thousands of birds) colonies to about 3000 birds. One colony, located on the isthmus when the island was discovered in 1810, was extinct by 1894 and it took about 100 years for king penguins to re-establish a viable breeding population there. Here we document this recovery. The first eggs laid at Gadget Gully on the isthmus were recorded in late February 1995 but in subsequent years egg laying took place earlier between November and February (this temporal discontinuity is a consequence of king penguin breeding behaviour). The first chick was hatched in April 1995 but the first fledging was not raised until the following breeding season in October 1996. The colony increased on average 66% per annum in the five years between 1995 and 2000. King penguins appear resilient to catastrophic population reductions, and as the island's Population increases, it is likely that other previously abandoned breeding sites will be reoccupied.</t>
  </si>
  <si>
    <t>[Van Den Hoff, John; Mcmahon, Clive R.; Field, Iain] Australian Antarctic Div, Kingston, Tas 7050, Australia; [Mcmahon, Clive R.; Field, Iain] Charles Darwin Univ, Sch Environm Res, Darwin, NT 0909, Australia</t>
  </si>
  <si>
    <t>Australian Antarctic Division; Charles Darwin University</t>
  </si>
  <si>
    <t>Van Den Hoff, J (corresponding author), Australian Antarctic Div, 203 Channel Highway, Kingston, Tas 7050, Australia.</t>
  </si>
  <si>
    <t>McMahon, Clive R/D-5713-2013; Field, Iain C/D-3934-2009</t>
  </si>
  <si>
    <t>McMahon, Clive R/0000-0001-5241-8917;</t>
  </si>
  <si>
    <t>10.1017/S0954102009001898</t>
  </si>
  <si>
    <t>WOS:000267196400008</t>
  </si>
  <si>
    <t>Wait, BR; Nokes, R; Webster-Brown, JG</t>
  </si>
  <si>
    <t>Wait, B. R.; Nokes, R.; Webster-Brown, J. G.</t>
  </si>
  <si>
    <t>Freeze-thaw dynamics and the implications for stratification and brine geochemistry in meltwater ponds on the McMurdo Ice Shelf, Antarctica</t>
  </si>
  <si>
    <t>hydrogen sulphide; latent heat; model; southern Ross Sea</t>
  </si>
  <si>
    <t>MELT WATER PONDS; MICROBIAL BIOMASS; STREAM ECOSYSTEMS; INLAND WATERS; VICTORIA LAND; COVERED LAKE; PHYTOPLANKTON; CHEMISTRY; ECOLOGY; FRYXELL</t>
  </si>
  <si>
    <t>A high resolution record of water column temperatures was measured in a coastal meltwater pond on the McMurdo Ice Shelf, Antarctica. The maximum temperature gradient measured through the water column was 35 degrees C, with an annual temperature range of 52.1 degrees C within the pond. For most of the year the pond shows reverse temperature stratification with the lowest temperatures measured at the surface of the pond, with the exception of brief periods of normal stratification over winter caused by regional wan-ning events. During freezing, the freezing front propagated downwards from the pond surface, excluding major ions and releasing large amounts of latent heat, both of which had a dramatic effect on the thermal and compositional evolution of the pond. Thawing is dominated by changes in surface air temperatures and the differential absorption of solar radiation. A new conceptual model of the physical freeze-thaw process has been developed that explains the presence of an 'ice plug' during melting, which reduces wind-induced mixing, forms a physical barrier to chemical processes, and encourages thermal and chemical stratification. It may also explain the persistence of anoxic and hydrogen sulphide bearing basal brines in summer stratified ponds that are otherwise fully oxidized.</t>
  </si>
  <si>
    <t>[Wait, B. R.; Nokes, R.] Univ Canterbury, Dept Civil &amp; Nat Resources Engn, Christchurch 1, New Zealand; [Webster-Brown, J. G.] Univ Auckland, Dept Chem, Auckland, New Zealand</t>
  </si>
  <si>
    <t>University of Canterbury; University of Auckland</t>
  </si>
  <si>
    <t>Wait, BR (corresponding author), Univ Canterbury, Dept Civil &amp; Nat Resources Engn, Gateway Antarctica,Private Bag 4800, Christchurch 1, New Zealand.</t>
  </si>
  <si>
    <t>Briar.Wait@pg.canterbury.ac.nz</t>
  </si>
  <si>
    <t>Webster-Brown, Jenny/0000-0001-9665-871X</t>
  </si>
  <si>
    <t>Tertiary Education Commission Bright Futures Top Achiever Doctoral Scholarship; Foundation of Research Science and Technology in New Zealand</t>
  </si>
  <si>
    <t>This study was partly funded by a Tertiary Education Commission Bright Futures Top Achiever Doctoral Scholarship and a grant from the Foundation of Research Science and Technology in New Zealand. We gratefully acknowledge the logistical support of Antarctica New Zealand, and Helicopters NZ Ltd, in Antarctica, and the help of Dr Ian Hawes, Dr Brian Sorrell and Ms Donna Sutherland (NIWA) with fieldwork and data collection at Bratina Island. Mr Nick Velychko (University of Auckland) constructed the temperature sensor array for use in Skua Pond. Finally, we would like to thank Professors Clive Howard-Williams (NIWA) and Bryan Storey (Gateway Antarctica, University of Canterbury) for their ongoing support for this research.</t>
  </si>
  <si>
    <t>10.1017/S0954102009001904</t>
  </si>
  <si>
    <t>WOS:000267196400009</t>
  </si>
  <si>
    <t>Kusakabe, M; Nagao, K; Ohba, T; Seo, JH; Park, SH; Lee, JI; Park, BK</t>
  </si>
  <si>
    <t>Kusakabe, Minoru; Nagao, Keisuke; Ohba, Takeshi; Seo, Jung Hun; Park, Sung-Hyun; Lee, Jong Ik; Park, Byong-Kwon</t>
  </si>
  <si>
    <t>Noble gas and stable isotope geochemistry of thermal fluids from Deception Island, Antarctica</t>
  </si>
  <si>
    <t>Bransfield back-arc basin; delta D-delta O-18-delta C-13-delta S-34 values; fumarolic gas; He-3/He-4 ratio; hot spring water; hydrothermal geochemistry; source mantle</t>
  </si>
  <si>
    <t>HIGH HE-3/HE-4 RATIOS; BACK-ARC BASIN; BRANSFIELD STRAIT; LAU BASIN; MANTLE; HELIUM; CARBON; ORIGIN; SYSTEMATICS; RIDGE</t>
  </si>
  <si>
    <t>New stable isotope and noble gas data obtained from fumarolic and bubbling gases and hot spring waters sampled from Deception Island, Antarctica, were analysed to constrain the geochemical features of the island's active hydrothermal system and magmatism in the Bransfield back-arc basin. The He-3/He-4 ratios of the gases (&lt; 9.8 x 10(-6)), which are slightly lower than typical MORB values, suggest that the Deception Island magma was generated in the mantle wedge of a MORB-type source but the signature was influenced by the addition of radiogenic He-4 derived from subducted components in the former Phoenix Plate. The N-2/He ratios of fumarolic gas are higher than those of typical mantle-derived gases suggesting that N-2 was added during decomposition of sediments in the subducting slab. The delta C-13 values of -5 to -6 parts per thousand for CO2 also indicate degassing from a MORB-type mantle source. The H-2/Ar- and SiO2 geothermometers indicate that the temperatures in the hydrothermal system below Deception Island range from similar to 150 degrees C to similar to 300 degrees C. The delta D and delta O-18 values measured from fumarolic gas and hot spring waters do not indicate any contribution of magmatic water to the samples. The major ionic components and delta D-delta O-18-delta S-34 values indicate that hot spring waters are a mixture of local meteoric water and seawater. Mn and SiO2 in spring waters were enriched relative to seawater reflecting water-rock interaction at depth.</t>
  </si>
  <si>
    <t>[Nagao, Keisuke] Univ Tokyo, Earthquake Chem Lab, Tokyo 1130033, Japan; [Ohba, Takeshi] Tokyo Inst Technol, Volcan Fluid Res Ctr, Tokyo 1528551, Japan; [Seo, Jung Hun] Seoul Natl Univ, Sch Earth &amp; Environm Sci, Seoul 151742, South Korea; [Kusakabe, Minoru; Park, Sung-Hyun; Lee, Jong Ik; Park, Byong-Kwon] KORDI, Korea Polar Res Inst, Inchon 406840, South Korea</t>
  </si>
  <si>
    <t>University of Tokyo; Tokyo Institute of Technology; Seoul National University (SNU); Korea Institute of Ocean Science &amp; Technology (KIOST); Korea Polar Research Institute (KOPRI)</t>
  </si>
  <si>
    <t>Kusakabe, M (corresponding author), Toyama Univ, Dept Environm Biol &amp; Chem, 3190 Gofuku, Toyama 9308555, Japan.</t>
  </si>
  <si>
    <t>kusakabe@sci.u-toyama.ac.jp</t>
  </si>
  <si>
    <t>Kusakabe, Minoru/Q-3258-2019</t>
  </si>
  <si>
    <t>KOPRI projects [PE08020, PP08030]</t>
  </si>
  <si>
    <t>KOPRI projects(Korea Polar Research Institute of Marine Research Placement (KOPRI))</t>
  </si>
  <si>
    <t>This study was supported by the KOPRI projects PE08020 and PP08030. We thank Mr Rafael Ayora Hirsh, commander of the Spanish Antarctic Base at Deception Island, and his team for their kind logistic support. The manuscript was prepared while MK was working for Univ. Toyama, Japan. We thank L. Somoza and D.R. Hilton for their critical review on the earlier version of the manuscript. English was improved by G.L. Scott.</t>
  </si>
  <si>
    <t>10.1017/S0954102009001783</t>
  </si>
  <si>
    <t>WOS:000267196400010</t>
  </si>
  <si>
    <t>Gibson, JAE; Paterson, KS; White, CA; Swadling, KM</t>
  </si>
  <si>
    <t>Gibson, John A. E.; Paterson, Kristina S.; White, Camille A.; Swadling, Kerrie M.</t>
  </si>
  <si>
    <t>Evidence for the continued existence of Abraxas Lake, Vestfold Hills, East Antarctica during the Last Glacial Maximum</t>
  </si>
  <si>
    <t>Bunger Hills; glaciolacustrine; Larsemann Hills; polar ice cap; Vestfold Hills</t>
  </si>
  <si>
    <t>LARSEMANN HILLS; BUNGER HILLS; SALINE LAKES; ICE-SHEET; ACE LAKE; HOLOCENE; HISTORY; EVOLUTION; DEGLACIATION; CALIBRATION</t>
  </si>
  <si>
    <t>Evidence is provided from a sediment core from saline Abraxas Lake, Vestfold Hills, that indicates that the lake existed through the Last Glacial Maximum. It can therefore be concluded that at least part of the Vestfold Hills also remained ice-free through the Last Glacial Maximum, or at most was covered by a thin, non-erosive cold-based ice sheet. The evidence for the continued existence of Abraxas Lake includes a (14)c date that significantly predates the Last Glacial Maximum (though this cannot be considered direct proof of the existence of the lake prior to the Last Glacial Maximum); the presence of saline porewater throughout the core, including in compacted sediments deposited during the glacial period, which implies that the lake obtained its salt prior to any Holocene marine highstand; and the occurrence of marine-derived fauna from the onset of significant biological activity late in the Pleistocene. The occurrence of ice-tree land in the Vestfold Hills and similar oases suggests that the margin of the polar ice cap did not reach far beyond its current position at the Last Glacial Maximum, at least in regions now occupied by these oases.</t>
  </si>
  <si>
    <t>[Gibson, John A. E.; Swadling, Kerrie M.] Univ Tasmania, Tasmanian Aquaculture &amp; Fisheries Inst, Marine Res Labs, Hobart, Tas 7001, Australia; [Gibson, John A. E.; Paterson, Kristina S.] Univ Tasmania, Inst Antarctic &amp; So Ocean Studies, Hobart, Tas 7001, Australia; [Gibson, John A. E.; White, Camille A.; Swadling, Kerrie M.] Univ Tasmania, Sch Zool, Hobart, Tas 7001, Australia</t>
  </si>
  <si>
    <t>University of Tasmania; University of Tasmania; University of Tasmania</t>
  </si>
  <si>
    <t>Gibson, JAE (corresponding author), Univ Tasmania, Tasmanian Aquaculture &amp; Fisheries Inst, Marine Res Labs, Private Bag 49, Hobart, Tas 7001, Australia.</t>
  </si>
  <si>
    <t>John.Gibson@utas.edu.au</t>
  </si>
  <si>
    <t>Australian Research Council [DP0342815]; Australian Antarctic Science program [706, 2387]; Australian Institute for Nuclear Science and Engineering [04/057, 05/063]; Australian Research Council [DP0342815] Funding Source: Australian Research Council</t>
  </si>
  <si>
    <t>Australian Research Council(Australian Research Council); Australian Antarctic Science program; Australian Institute for Nuclear Science and Engineering; Australian Research Council(Australian Research Council)</t>
  </si>
  <si>
    <t>We thank L. Newman and J. Newman for collection of cores in 2003. Ian Snape, Vin Morgan, Damian Gore and Will Howard provided useful discussion at various stages in the development of this paper. Donna Roberts assisted with diatom identification. Funding for this project was supplied by grants from the Australian Research Council (DP0342815), the Australian Antarctic Science program (AAS Grants 706 and 2387) and the Australian Institute for Nuclear Science and Engineering (Grants 04/057 and 05/063). Logistic support was provided by the Australian Antarctic Division.</t>
  </si>
  <si>
    <t>10.1017/S0954102009001801</t>
  </si>
  <si>
    <t>WOS:000267196400011</t>
  </si>
  <si>
    <t>Kaim, A; Kelly, SRA</t>
  </si>
  <si>
    <t>Kaim, Andrzej; Kelly, Simon R. A.</t>
  </si>
  <si>
    <t>Mass occurrence of hokkaidoconchid gastropods in the Upper Jurassic methane seep carbonate from Alexander Island, Antarctica</t>
  </si>
  <si>
    <t>Antarctic Peninsula; cold seep; Hokkaidoconchidae; mollusc; Tithonian</t>
  </si>
  <si>
    <t>FORE-ARC BASIN; HYDROCARBON-SEEP; GENUS; DEPOSITS; VENTS</t>
  </si>
  <si>
    <t>The Tithonian (Upper Jurassic) methane seep carbonate of the Gateway Pass Limestone Bed (Alexander Island, Antarctica) yields enormous numbers of the minute gastropod mollusc, Hokkaidoconcha hignalli sp. nov. together with an unidentified limpet gastropod and occasional protobranch and lucinid bivalves. This assemblage constitutes one of the most abundant (by means of the specimen number) records Of Jurassic chemosynthesis-based communities. The gastropod family Hokkaidoconchidae is extremely common in Cretaceous hydrocarbon seep carbonates from Japan and is known also from Upper Jurassic/Cretaceous hydrocarbon seep carbonates in California. It is an extinct family closely related to modern seep and vent dwelling Provannidae. This is the first confirmed record of this family in the Southern Hemisphere, indicating its surprisingly early and widespread distribution reaching high latitudes.</t>
  </si>
  <si>
    <t>[Kaim, Andrzej] Polish Acad Sci, Inst Paleobiol, PL-00818 Warsaw, Poland; [Kelly, Simon R. A.] CASP, Cambridge CB3 0DH, England</t>
  </si>
  <si>
    <t>Polish Academy of Sciences; Institute of Paleobiology of the Polish Academy of Sciences; University of Cambridge</t>
  </si>
  <si>
    <t>Kaim, A (corresponding author), Polish Acad Sci, Inst Paleobiol, Ul Twarda 51-55, PL-00818 Warsaw, Poland.</t>
  </si>
  <si>
    <t>kaim@twarda.pan.pl</t>
  </si>
  <si>
    <t>Kaim, Andrzej/G-6244-2010</t>
  </si>
  <si>
    <t>Kaim, Andrzej/0000-0001-6186-5356</t>
  </si>
  <si>
    <t>Mesozoic Forearc Basin Dynamics</t>
  </si>
  <si>
    <t>The material was collected during the Natural Environment Research Council (NERC) supported Mesozoic Forearc Basin Dynamics project conducted by the British Antarctic Survey (BAS) under the leadership of David Macdonald (formerly BAS, now Aberdeen University). Martin Hignall and Nick Lewis (formerly BAS) assisted S.R.A.K. in collecting the samples in 1990 and 1992 respectively. J. Alistair Crame, Mike Tabecki and Alex Tate are thanked for access to the BAS Collections. Anders Waren (Naturhistoriska Riksmuseet, Stockholm, Sweden) is acknowledged for comment on the gastropods described herein. Robert G. Jenkins (University of Yokohama, Japan) is acknowledged for assistance in Cambridge and critical reading the early draft of this paper. J. Alistair Crame and Steffen Kiel are acknowledged for their thoughtful reviews.</t>
  </si>
  <si>
    <t>10.1017/S0954102009001813</t>
  </si>
  <si>
    <t>WOS:000267196400012</t>
  </si>
  <si>
    <t>Chornogubsky, L; Goin, FJ; Reguero, M</t>
  </si>
  <si>
    <t>Chornogubsky, Laura; Goin, Francisco J.; Reguero, Marcelo</t>
  </si>
  <si>
    <t>A reassessment of Antarctic polydolopid marsupials (Middle Eocene, La Meseta Formation)</t>
  </si>
  <si>
    <t>Antarctic Peninsula; Antarctodolops; Eurydolops; Polydolopidae</t>
  </si>
  <si>
    <t>SEYMOUR ISLAND; AFFINITIES</t>
  </si>
  <si>
    <t>New polydolopid marsupial specimens have been recovered from the La Meseta Formation, a late early Eocene to probably early Oligocene unit cropping Out in the northern third of Seymour (Marambio) Island, at some 100 kin off the northern Antarctic Peninsula. Our review of the original materials, as well as the new specimens from the same levels, led us to: 1) revalidate the genus Antarctodolops Woodburne &amp; Zinsmeister 1984, 2) regard Eurydolops seymouriensis Case, Woodburne &amp; Chaney 1988 as a junior synonym of Antarctodolops dailyi WoodbUrne &amp; Zinsmeister, and 3) recognize a new species of this same genus: A. mesetaense. As previously stated, the polydolopid radiation might be related to the expansion of the Nothofagus flora, as both have the same spatial distribution in southern South America and West Antarctica.</t>
  </si>
  <si>
    <t>[Chornogubsky, Laura] Consejo Nacl Invest Cient &amp; Tecn, Secc Paleontol Vertebrados, Museo Argentino Ciencias Nat Bernardino Rivadavia, RA-1033 Buenos Aires, DF, Argentina; [Goin, Francisco J.; Reguero, Marcelo] Consejo Nacl Invest Cient &amp; Tecn, Div Paleontol Vertebrados, Museo La Plata, La Plata, Buenos Aires, Argentina</t>
  </si>
  <si>
    <t>Consejo Nacional de Investigaciones Cientificas y Tecnicas (CONICET); Museo Argentino de Ciencias Naturales Bernardino Rivadavia (MACN); Consejo Nacional de Investigaciones Cientificas y Tecnicas (CONICET); National University of La Plata; Museo La Plata</t>
  </si>
  <si>
    <t>Chornogubsky, L (corresponding author), Consejo Nacl Invest Cient &amp; Tecn, Secc Paleontol Vertebrados, Museo Argentino Ciencias Nat Bernardino Rivadavia, Av Augel Gallardo 470,C1405DJR, RA-1033 Buenos Aires, DF, Argentina.</t>
  </si>
  <si>
    <t>lchorno@macn.gov.ar</t>
  </si>
  <si>
    <t>Reguero, Marcelo A./JHS-4893-2023</t>
  </si>
  <si>
    <t>Reguero, Marcelo A./0000-0003-0875-8484; Chornogubsky, Laura/0000-0003-2420-8271</t>
  </si>
  <si>
    <t>Argentinian Agencia Nacional de Investigaciones Cientificas y Tecnicas; Instituto Antartico Argentino</t>
  </si>
  <si>
    <t>We are grateful to M.O. Woodburne and R.M.D. Beck whose critical reviews improved the manuscript. The research has been funded in part by the Argentinian Agencia Nacional de Investigaciones Cientificas y Tecnicas (PICT 1860; project Las Edades-Mamifero del Paleogeno de la Argentina). Sergio Marenssi, from the Instituto Antartico Argentino, and Juan Jose Molly, from the Museo de La Plata leaded most of the fieldwork in Antarctica that led to the recovery of the new polydolopid specimens. Alejandro Kramarz was helpful while studying the marsupial collection at the MACN. Viviana Barreda and Luis Palazzesi were very helpful while studying palaeofloral reconstructions. Marcela Tomeo helped as with the illustrations.</t>
  </si>
  <si>
    <t>10.1017/S0954102009001916</t>
  </si>
  <si>
    <t>WOS:000267196400013</t>
  </si>
  <si>
    <t>Berg, S; Wagner, B; White, DA; Cremer, H; Bennike, O; Melles, M</t>
  </si>
  <si>
    <t>Berg, Sonja; Wagner, Bernd; White, Duanne A.; Cremer, Holger; Bennike, Ole; Melles, Martin</t>
  </si>
  <si>
    <t>Short Note New marine core record of Late Pleistocene glaciation history, Rauer Group, East Antarctica</t>
  </si>
  <si>
    <t>VESTFOLD-HILLS; ICE</t>
  </si>
  <si>
    <t>[Berg, Sonja; Wagner, Bernd; Melles, Martin] Univ Cologne, Inst Geol &amp; Mineral, D-50674 Cologne, Germany; [White, Duanne A.] Macquarie Univ, Dept Phys Geog, N Ryde, NSW 2109, Australia; [Cremer, Holger] Geol Survey Netherlands, TNO Built Environm &amp; Geosci, NL-3584 CB Utrecht, Netherlands; [Bennike, Ole] Geol Survey Denmark &amp; Greenland, DK-1350 Copenhagen, Denmark</t>
  </si>
  <si>
    <t>University of Cologne; Macquarie University; Netherlands Organization Applied Science Research; Geological Survey Of Denmark &amp; Greenland</t>
  </si>
  <si>
    <t>Berg, S (corresponding author), Univ Cologne, Inst Geol &amp; Mineral, Zulpicher Str 49A, D-50674 Cologne, Germany.</t>
  </si>
  <si>
    <t>sberg0@uni-koeln.de</t>
  </si>
  <si>
    <t>White, Duanne A/E-6919-2012; Wagner, Bernd/J-4682-2012; Berg, Sonja/AAW-3817-2021; Melles, Martin/J-4070-2012; Bennike, Ole/G-7070-2018</t>
  </si>
  <si>
    <t>Wagner, Bernd/0000-0002-1369-7893; Melles, Martin/0000-0003-0977-9463; Berg, Sonja/0000-0002-9629-6007; White, Duanne/0000-0003-0740-2072; Bennike, Ole/0000-0002-5486-9946</t>
  </si>
  <si>
    <t>German Research Foundation [ME1169/15-1, WA 2109/2-1]</t>
  </si>
  <si>
    <t>German Research Foundation(German Research Foundation (DFG))</t>
  </si>
  <si>
    <t>The project is funded by the German Research Foundation (grants ME1169/15-1 and WA 2109/2-1).</t>
  </si>
  <si>
    <t>10.1017/S0954102009001886</t>
  </si>
  <si>
    <t>WOS:000267196400014</t>
  </si>
  <si>
    <t>Kerr, R; Wainer, I; Mata, MM</t>
  </si>
  <si>
    <t>Kerr, Rodrigo; Wainer, Ilana; Mata, Mauricio M.</t>
  </si>
  <si>
    <t>Representation of the Weddell Sea deep water masses in the ocean component of the NCAR-CCSM model</t>
  </si>
  <si>
    <t>Antarctic; Greenwich Meridian; modelling; OMP analysis; Southern Ocean</t>
  </si>
  <si>
    <t>BOTTOM WATER; CLIMATE; CIRCULATION; TRANSPORT; STRATIFICATION; THERMOCLINE; SENSITIVITY; GYRE; FLOW</t>
  </si>
  <si>
    <t>We examine Weddell Sea deep water mass distributions with respect to the results from three different model runs using the oceanic component of the National Center for Atmospheric Research Community Climate System Model (NCAR-CCSM). One run is inter-annually forced by corrected NCAR/NCEP fluxes, while the other two are forced with the annual cycle obtained from the same climatology. One of the latter runs includes an interactive sea-ice model. Optimum Multiparameter analysis is applied to separate the deep water masses in the Greenwich Meridian section (into the Weddell Sea only) to measure the degree of realism obtained in the simulations. First, we describe the distribution of the simulated deep water masses using observed water type indices. Since the observed indices do not provide an acceptable representation of the Weddell Sea deep water masses as expected, they are specifically adjusted for each simulation. Differences among the water masses' representations in the three simulations are quantified through their root-mean-square differences. Results point out the need for better representation (and inclusion) of ice-related processes in order to improve the oceanic characteristics and variability of dense Southern Ocean water masses in the outputs of the NCAR-CCSM model, and probably in other ocean and climate models.</t>
  </si>
  <si>
    <t>[Kerr, Rodrigo; Mata, Mauricio M.] Univ Fed Rio Grande FURG, Inst Oceanog, Lab Estudos Oceanos &amp; Clima, BR-96201900 Rio Grande, RS, Brazil; [Wainer, Ilana] Univ Sao Paulo, Inst Oceanog, Dept Oceanog Fis, Lab Meteorol Marinha, BR-05508120 Sao Paulo, Brazil</t>
  </si>
  <si>
    <t>Universidade Federal do Rio Grande; Universidade de Sao Paulo</t>
  </si>
  <si>
    <t>Criosfera, Inct/J-8639-2013; Kerr, Rodrigo/I-2494-2012; WAINER, ILANA/B-4540-2011; Mata, Mauricio/H-4605-2011</t>
  </si>
  <si>
    <t>Kerr, Rodrigo/0000-0002-2632-3137; WAINER, ILANA/0000-0003-3784-623X; Mata, Mauricio/0000-0002-9028-8284</t>
  </si>
  <si>
    <t>Brazilian Antarctic Program (PROANTAR); Council for Research and Scientific Development of Brazil [CNPq-550370/02-1, 520189/2006-0, 300223/1993-5, 300163/2006-6]; CAPES Foundation; [NSF0327268]; [FAPESP-05/03161-9]</t>
  </si>
  <si>
    <t>Brazilian Antarctic Program (PROANTAR); Council for Research and Scientific Development of Brazil; CAPES Foundation(Coordenacao de Aperfeicoamento de Pessoal de Nivel Superior (CAPES)); ;</t>
  </si>
  <si>
    <t>We thank L. Pezzi, M.E.C. Bernardes, and B.C. Franco for their early suggestions and manuscript improvements. W. Large, P. Gent, M. Raphael, and H.H. Hellmer provided comments that resulted in substantial improvements to this study. Special thanks go to NCAR/OCE for providing the model Outputs. This study is a contribution to the GOAL Project supported by grants from the Brazilian Antarctic Program (PROANTAR) and the Council for Research and Scientific Development (CNPq-550370/02-1; 520189/2006-0; 300223/1993-5; 300163/2006-6) of Brazil. We also wish to thank support from grants NSF0327268 and FAPESP-05/03161-9, and two reviewers for their constructive comments, which greatly improved the manuscript. R. Kerr is Supported by the CAPES Foundation.</t>
  </si>
  <si>
    <t>10.1017/S0954102009001825</t>
  </si>
  <si>
    <t>WOS:000267196400015</t>
  </si>
  <si>
    <t>Lichvar, RW; Laursen, GA; Seppelt, RD; Ochs, WR</t>
  </si>
  <si>
    <t>Lichvar, Robert W.; Laursen, Gary A.; Seppelt, Rodney D.; Ochs, Walter R.</t>
  </si>
  <si>
    <t>Selecting and Testing Cryptogam Species for Use in Wetland Delineation in Alaska</t>
  </si>
  <si>
    <t>ARCTIC</t>
  </si>
  <si>
    <t>Alaska; wetlands; delineation; bryophytes; indicators; mosses; Alaskan wetland supplement; mushrooms; lichens; cryptograms</t>
  </si>
  <si>
    <t>WESTERN CANADA; BOREAL FOREST; PHYSICAL GRADIENTS; VEGETATION; DIVERSITY; BRYOPHYTES; FENS; IDENTIFICATION; PERMAFROST; PEATLANDS</t>
  </si>
  <si>
    <t>To support the determination of hydrophytic vegetation in wetland delineations in Alaska, USA, a series of tests were conducted to develop a group of test positive species to be used in a cryptogam indicator. In 2004, non-vascular cryptogam species (bryophytes, lichens, and fungi) from Interior and South-Central Alaska in the vicinities of Fairbanks and Anchorage were collected at a series of ten 50 x 50 cm plots along two 30 m transects in each of six upland and five wetland sites. Nineteen moss and liverwort species were selected from 86 species surveyed to test for wetland fidelity. In 2005, a plot-based analysis of frequency and cover data yielded a revised list of 17 bryophyte species that were specific to wetland Communities dominated by black spruce, Picea mariana (P. Mill.) B.S.P. Fungi and lichens were found to be inadequate wetland indicators in the sampled locations because the lichen species were sparsely distributed and the fungi were too ephemeral. The cryptogam indicator was thus restricted to bryophytes. Also in 2005, bryophytes were analyzed for their presence oil microtopographic positions within the landscape, including tops of hummocks and hollows at the bases of hummocks. Upland bryophyte species were found on hummock tops inside the wetland boundary, but were not abundant in the hollows (p &lt; 0.05). The fidelity of the species selected for use in the cryptogam indicator was tested. It was determined that if more than 50% of all bryophyte cover present in hollows is composed of one or more of the 17 wetland bryophytes tested in 2005, then vascular vegetation can be considered to be hydrophytic (p &lt; 0.001).</t>
  </si>
  <si>
    <t>[Lichvar, Robert W.; Ochs, Walter R.] USA, Cold Reg Res &amp; Engn Lab, Hanover, NH 03755 USA; [Laursen, Gary A.] High Latitude Mycol Res Inst, Fairbanks, AK 99712 USA; [Seppelt, Rodney D.] Australian Antarctic Div, Kingston, Tas 7050, Australia</t>
  </si>
  <si>
    <t>United States Department of Defense; United States Army; U.S. Army Corps of Engineers; U.S. Army Engineer Research &amp; Development Center (ERDC); Cold Regions Research &amp; Engineering Laboratory (CRREL); Australian Antarctic Division</t>
  </si>
  <si>
    <t>Lichvar, RW (corresponding author), USA, Cold Reg Res &amp; Engn Lab, 72 Lyme Rd, Hanover, NH 03755 USA.</t>
  </si>
  <si>
    <t>Robert.w.lichvar@usace.army.mil</t>
  </si>
  <si>
    <t>U.S. Army Corps of Engineers(COE)</t>
  </si>
  <si>
    <t>Funding for the study was made possible by the Wetlands Regulatory Assistance Program (WRAP) of the U.S. Army Corps of Engineers (COE). We thank Mikhail P. Zhurbenko of the Komorov Botanical Institute, St. Petersburg, Russia, for his effort in identifying lichens in the field and laboratory during the 2004 portion of the study; Mary Plumb-Mentjes and Sheila Newman of the COE for site selections and field assistance during the study; and Dr. Chien-Lu Ping and Dr. Vladimir Romanovsky of the University of Alaska Fairbanks, who shared soil and hydrology data for the Smith Lake site in Fairbanks. We thank Sarah Gaines (COE) for her numerous comments on earlier versions of the manuscript, and the editor and two anonymous reviewers for their critical comments. And finally, we extend our thanks for their input and comments to the Alaskan Vegetation Working Group members who are part of the effort to subregionalize the COE wetland manual for the state, and who helped to develop the idea of using cryptogams for wetland delineation in Alaska.</t>
  </si>
  <si>
    <t>ARCTIC INST N AMER</t>
  </si>
  <si>
    <t>CALGARY</t>
  </si>
  <si>
    <t>UNIV OF CALGARY 2500 UNIVERSITY DRIVE NW 11TH FLOOR LIBRARY TOWER, CALGARY, ALBERTA T2N 1N4, CANADA</t>
  </si>
  <si>
    <t>0004-0843</t>
  </si>
  <si>
    <t>Arctic</t>
  </si>
  <si>
    <t>459TG</t>
  </si>
  <si>
    <t>WOS:000267132200007</t>
  </si>
  <si>
    <t>Besson, D; Keast, R; Velasco, R</t>
  </si>
  <si>
    <t>Besson, D.; Keast, R.; Velasco, R.</t>
  </si>
  <si>
    <t>In situ and laboratory studies of radiofrequency propagation through ice and implications for siting a large-scale Antarctic neutrino detector</t>
  </si>
  <si>
    <t>Radioglaciology; Ultra-high energy neutrinos; Radiowave detection; Antarctica</t>
  </si>
  <si>
    <t>RADIO-WAVES; POLARIZATION; SCATTERING; SHEET</t>
  </si>
  <si>
    <t>We report on two studies of radiowave ice response, relevant to the construction of a large-scale, future ultra-high energy neutrino detector in Antarctica. We are specifically interested in the relative merits of South Pole as a detection site. First, using a bistatic radar system on the ice surface, we have studied radiofrequency reflections off internal layers in Antarctic ice at the South Pole. In contrast to nearly all previous measurements, our measurements are conducted exclusively in the time-domain. The total propagation time of similar to ns-duration, vertically broadcast radio signals, as a function of polarization axis in the horizontal plane, provides a direct probe of the geometry-dependence of the ice permittivity to depths of 1-2 km. Previous work has inferred birefringent asymmetries based on the elliptical polarization of signal returns at a fixed frequency as a function of depth. However, such polarization is not an unambiguous signature of birefringence, and could be due to anisotropic reflecting layers and/or Faraday rotation. We do not observe direct evidence for birefringent-induced effects at fractional levels less than 10(-4). Second, we have performed a laboratory study of microwave Faraday rotation through ice. Although expected to be small. (to our knowledge) there are no previous measurements of this parameter, which, if substantial, would tend to reduce the neutrino detection estimates for existing and planned experiments. Our results indicate that the signal rotation through 3 km of ice in the South Polar geomagnetic field corresponds to a de-polarization of less than 10% in transmitted power. (C) 2009 Elsevier B.V. All rights reserved.</t>
  </si>
  <si>
    <t>[Besson, D.; Keast, R.; Velasco, R.] Univ Kansas, Lawrence, KS 66045 USA</t>
  </si>
  <si>
    <t>University of Kansas</t>
  </si>
  <si>
    <t>Besson, D (corresponding author), Univ Kansas, Lawrence, KS 66045 USA.</t>
  </si>
  <si>
    <t>dbesson@ku.edu</t>
  </si>
  <si>
    <t>NSF [OPP-0338219]; Office of Polar Programs (OPP); Directorate For Geosciences [0826747] Funding Source: National Science Foundation</t>
  </si>
  <si>
    <t>NSF(National Science Foundation (NSF)); Office of Polar Programs (OPP); Directorate For Geosciences(National Science Foundation (NSF)NSF - Directorate for Geosciences (GEO))</t>
  </si>
  <si>
    <t>This work is supported by the NSF through Grant OPP-0338219. We are particularly indebted to Brian Bradfield of Lawrence Memorial Hospital for allowing us the use of their MRI facility. The authors particular thank Chris Allen (University of Kansas) and Kenichi Matsuoka (University of Washington) for very helpful discussions, as well as our colleagues on the RICE and ANITA experiments.</t>
  </si>
  <si>
    <t>10.1016/j.astropartphys.2009.03.009</t>
  </si>
  <si>
    <t>464SV</t>
  </si>
  <si>
    <t>WOS:000267527900003</t>
  </si>
  <si>
    <t>James, CW; Protheroe, RJ</t>
  </si>
  <si>
    <t>James, C. W.; Protheroe, R. J.</t>
  </si>
  <si>
    <t>The directional dependence of apertures, limits and sensitivity of the lunar Cherenkov technique to a UHE neutrino flux</t>
  </si>
  <si>
    <t>UHE neutrino detection; Coherent radio emission; Lunar Cherenkov technique; UHE neutrino flux limits</t>
  </si>
  <si>
    <t>ENERGY COSMIC-RAYS; RADIO DETECTION; PROSPECTS; EMISSION; SHOWER; CHARGE</t>
  </si>
  <si>
    <t>We use computer simulations to obtain the directional-dependence of the lunar Cherenkov technique for ultra-high energy (UHE) neutrino detection. We calculate the instantaneous effective area of past lunar Cherenkov experiments at Parkes, Goldstone (Goldstone Lunar Ultra-high energy neutrino Experiment, GLUE), and Kalyazin, as a function of neutrino arrival direction, finding that the potential sensitivity to a point source of UHE neutrinos for these experiments was as much as thirty times that to an isotropic flux, depending on the beam-pointing position and incident neutrino energy. Convolving our results with the known lunar positions during the Parkes and Goldstone experiments allows us to calculate an exposure map, and hence the directional-dependence of the combined limit imposed by these experiments. In the 10(21)-10(23) eV range, we find parts of the sky where the GLUE limit likely still dominates, and areas where none of the limits from either Parkes, GLUE. or experiments such as the Antarctic Impulsive Transient Antenna (ANITA) balloon experiment or FORTE (Fast On-orbit Recording of Transient Events) satellite experiment are likely to be significant. Hence a large anisotropic flux of UHE neutrinos from these regions is not yet excluded. We also determine the directional dependence of the aperture of future planned experiments with the Australia Telescope Compact Array (ATCA), Australian SKA Pathfinder (ASKAP) and the Square Kilometre Array (SKA) to a UHE neutrino flux, and calculate the potential annual exposure to astronomical objects as a function of angular distance from the lunar trajectory through celestial coordinates. We find that the potential exposure of all experiments at 10(20) eV and below, integrated over a calendar year, is flat out to similar to 25 degrees from the lunar trajectory and then drops off rapidly. The region of greater sensitivity includes much of the Supergalactic Plane, including M87 and Cen A. as well as the Galactic Centre. At higher energies this high-sensitivity region becomes broader, and we find that the potential exposure of the SKA at 10(21) eV and above is almost uniform over celestial coordinates. Crown Copyright (C) 2009 Published by Elsevier B.V. All rights reserved.</t>
  </si>
  <si>
    <t>[James, C. W.; Protheroe, R. J.] Univ Adelaide, Dept Phys, Adelaide, SA 5005, Australia</t>
  </si>
  <si>
    <t>James, CW (corresponding author), Univ Adelaide, Dept Phys, Adelaide, SA 5005, Australia.</t>
  </si>
  <si>
    <t>ciancy.james@adelaide.edu.au; rprother@physic-s.adelaide.edu.au</t>
  </si>
  <si>
    <t>James, Clancy W/G-9178-2015</t>
  </si>
  <si>
    <t>James, Clancy W/0000-0002-6437-6176</t>
  </si>
  <si>
    <t>Australian Research Council's Discovery Project [DP0559991]; Australian Research Council [DP0559991] Funding Source: Australian Research Council</t>
  </si>
  <si>
    <t>Australian Research Council's Discovery Project(Australian Research Council); Australian Research Council(Australian Research Council)</t>
  </si>
  <si>
    <t>We thank J. Alvarez-Muniz for his numerous suggestions and helpful advice. This research was supported under the Australian Research Council's Discovery Project funding scheme (Project No. DP0559991).</t>
  </si>
  <si>
    <t>10.1016/j.astropartphys.2009.04.002</t>
  </si>
  <si>
    <t>WOS:000267527900008</t>
  </si>
  <si>
    <t>García, M; Ercilla, G; Alonso, B</t>
  </si>
  <si>
    <t>Garcia, Marga; Ercilla, Gemma; Alonso, Belen</t>
  </si>
  <si>
    <t>Morphology and sedimentary systems in the Central Bransfield Basin, Antarctic Peninsula: sedimentary dynamics from shelf to basin</t>
  </si>
  <si>
    <t>SOUTH SCOTIA RIDGE; SEA-FLOOR EVIDENCE; ICE-SHEET; CONTINENTAL-MARGIN; BELFAST BAY; WEDDELL SEA; DEEP-SEA; EVOLUTION; POCKMARKS; FEATURES</t>
  </si>
  <si>
    <t>A detailed regional characterization of the physiography, morphology and sedimentary systems of the Central Bransfield Basin (CBB) was carried out using swath bathymetry and high- and very high-resolution seismic profiles. The basin margins show continental shelves with numerous glacial troughs, and continental slopes where relatively wide and flat slope platforms represent the middle domain in an atypical physiographic scenario in glaciated margins. Although the CBB is tectonically active, most of the morphologic features are sedimentary in origin, and can be classified into four sedimentary systems: (1) glacial-glaciomarine, composed of erosional surfaces, glacial troughs, furrows and draping sheets; (2) slope-basin, formed by trough mouth fans, slope aprons, the Gebra-Magia instability complex and turbidity systems; (3) seabed fluid outflow system composed of pockmark fields; and (4) contourite, composed of drifts and moats. The sedimentary systems show a clear zonation from shelf to basin and their dynamics reflects the complex interplay among glacial, glaciomarine, marine and oceanographic processes involved in the entire shelf-to-basin sediment distribution. The CBB morphology is primarily controlled by glacial/interglacial cyclicity and physiography and to a lesser extent by tectonics and oceanography. These factors have affected the South Shetland Islands (SSI) and Antarctic Peninsula (AP) margins differently, creating a relatively starved SSI margin and a more constructional AP margin. They have also created two entire sediment-dispersal domains: the shelf-to-slope, which records the glaciation history of the CBB; and the lower slope-to-basin, which records the imprint of local factors. This study provides a 'source-to-sink' sedimentary scheme for glaciated margins, which may be applied to the basin research in other margins, based on the characterization of sedimentary systems, their boundaries and the linkages among them. This approach proves to be adequate for the identification of global and local factors governing the CBB and may therefore be applied to other study areas.</t>
  </si>
  <si>
    <t>[Garcia, Marga; Ercilla, Gemma; Alonso, Belen] CSIC, Inst Ciencias Mar, CMIMA, E-08003 Barcelona, Spain</t>
  </si>
  <si>
    <t>Consejo Superior de Investigaciones Cientificas (CSIC); CSIC - Centro Mediterraneo de Investigaciones Marinas y Ambientales (CMIMA); CSIC - Instituto de Ciencias del Mar (ICM)</t>
  </si>
  <si>
    <t>García, M (corresponding author), CSIC, Inst Ciencias Mar, CMIMA, Passeig Maritim Barceloneta 37-49, E-08003 Barcelona, Spain.</t>
  </si>
  <si>
    <t>mgarcia@icm.csic.es</t>
  </si>
  <si>
    <t>Alonso, Belen/A-5531-2015; Garcia, Marga/L-7410-2014; Ercilla, Gemma/G-8180-2015</t>
  </si>
  <si>
    <t>Garcia, Marga/0000-0003-2632-6132; Alonso, Belen/0000-0002-3138-5260; Ercilla, Gemma/0000-0002-9709-2938</t>
  </si>
  <si>
    <t>MAGIA [ANT-584/97]; GEBRA [ANT93-1008-C03-01]; ERGAP [VEM2003-20093-C03]; Spanish Education and Science Ministry; MARSIBAL [REN2001-3868-C03-03]; SAGAS [CTM2005-08071-C03-02]; Spanish National Research Council (CSIC); [CGL2007-28815-E]</t>
  </si>
  <si>
    <t>MAGIA; GEBRA; ERGAP; Spanish Education and Science Ministry(Spanish Government); MARSIBAL; SAGAS; Spanish National Research Council (CSIC);</t>
  </si>
  <si>
    <t>The data analyzed in this work were obtained by the MAGIA (ANT-584/97) and GEBRA '93 (ANT93-1008-C03-01) projects. Financial support was provided by the CGL2007-28815-E and ERGAP (VEM2003-20093-C03) projects, both funded by the Spanish Education and Science Ministry, an FPI pre-doctoral fellowship from the Spanish Education and Science Ministry in the framework of the MARSIBAL (REN2001-3868-C03-03) and SAGAS (CTM2005-08071-C03-02) projects and a pre-doctoral fellowship from the Spanish National Research Council (CSIC). We thank Seismic Micro-Technologies for providing the Kingdom Suite software used for seismic stratigraphy analysis. We are grateful to the editor and reviewers for their detailed and helpful suggestions that have contributed to the improvement of this work. We wish to dedicate this paper to the memory of Jesus Baraza, whose efforts made this research possible.</t>
  </si>
  <si>
    <t>10.1111/j.1365-2117.2008.00386.x</t>
  </si>
  <si>
    <t>447DN</t>
  </si>
  <si>
    <t>WOS:000266171900002</t>
  </si>
  <si>
    <t>Harwood, JL; Guschina, IA</t>
  </si>
  <si>
    <t>Harwood, John L.; Guschina, Irina A.</t>
  </si>
  <si>
    <t>The versatility of algae and their lipid metabolism</t>
  </si>
  <si>
    <t>BIOCHIMIE</t>
  </si>
  <si>
    <t>Eukaryotic algae; Lipids; Fatty acid synthesis; Polyunsaturated fatty acids; Biotechnology</t>
  </si>
  <si>
    <t>MICROALGA GLOSSOMASTIX-CHRYSOPLASTA; POLYUNSATURATED FATTY-ACIDS; CHLAMYDOMONAS-REINHARDTII; DOCOSAHEXAENOIC ACID; EICOSAPENTAENOIC ACID; SCHIZOCHYTRIUM SP; BIOSYNTHESIS; IDENTIFICATION; DESATURASE; MICROORGANISMS</t>
  </si>
  <si>
    <t>Eukaryotic algae are a very diverse group of organisms that are key components of ecosystems ranging from deserts to the Antarctic. They account for over half of the primary production at the base of food chains. The lipids of different classes are varied and contain unusual compounds not found in other phyla. In this short review, we introduce the major cellular lipids and their fatty acids and then describe how the latter (particularly the polyunsaturated fatty acids, PUFAs) are synthesised. The discovery of different elongases and desaturases important for PUFA production is detailed and their application for biotechnology described. Finally, the potential for algae in commercial applications is discussed, particularly in relation to the production of very long chain PUFAs and biofuel. (c) 2008 Elsevier Masson SAS. All rights reserved.</t>
  </si>
  <si>
    <t>[Harwood, John L.; Guschina, Irina A.] Cardiff Univ, Sch Biosci, Cardiff CF10 3AX, S Glam, Wales</t>
  </si>
  <si>
    <t>Cardiff University</t>
  </si>
  <si>
    <t>Harwood, JL (corresponding author), Cardiff Univ, Sch Biosci, Cardiff CF10 3AX, S Glam, Wales.</t>
  </si>
  <si>
    <t>harwood@cardiff.ac.uk</t>
  </si>
  <si>
    <t>Harwood, John L/A-4308-2010</t>
  </si>
  <si>
    <t>Harwood, John/0000-0003-2377-2612</t>
  </si>
  <si>
    <t>0300-9084</t>
  </si>
  <si>
    <t>1638-6183</t>
  </si>
  <si>
    <t>Biochimie</t>
  </si>
  <si>
    <t>10.1016/j.biochi.2008.11.004</t>
  </si>
  <si>
    <t>458SS</t>
  </si>
  <si>
    <t>WOS:000267044400005</t>
  </si>
  <si>
    <t>Anderson, PS</t>
  </si>
  <si>
    <t>Anderson, Philip S.</t>
  </si>
  <si>
    <t>Measurement of Prandtl Number as a Function of Richardson Number Avoiding Self-Correlation</t>
  </si>
  <si>
    <t>Atmospheric boundary layer; Prandtl number; Richardson number; Self-correlation</t>
  </si>
  <si>
    <t>BOUNDARY-LAYER; 3RD-ORDER TRANSPORT; NONLOCAL TURBULENCE; INTERNAL WAVES</t>
  </si>
  <si>
    <t>The empirical dependence of turbulence Prandtl number (Pr) on gradient Richardson number (Ri) is presented, derived so as to avoid the effects of self-correlation from common variables. Linear power relationships between the underlying variables that constitute both Pr and Ri are derived empirically from flux and profile observations. Pr and Ri are then reconstructed from these power laws, to indicate their interdependence whilst avoiding self-correlation. Data are selected according to the stability range prior to regression, and the process is iterated from neutral to higher stability until error analysis indicates the method is no longer valid. A Butterworth function is fitted to the resulting Pr (-1)(Ri) regression to give an empirical summary of the analysis. The form suggests that asymptotically Pr (-1) decreases as Ri (3/2). Scatter in the data increases above Ri similar to 1, however, indicating additional constraints to Pr are not captured by Ri alone in this high stability regime. The Butterworth function is analytic for all Ri &gt; 0, and may be included in suitable boundary-layer parameterisation schemes where the turbulent diffusivity for heat is derived from the turbulent diffusivity for momentum.</t>
  </si>
  <si>
    <t>Anderson, PS (corresponding author), British Antarctic Survey, Madingley Rd, Cambridge CB3 0ET, England.</t>
  </si>
  <si>
    <t>philip.s.anderson@bas.ac.uk</t>
  </si>
  <si>
    <t>1573-1472</t>
  </si>
  <si>
    <t>10.1007/s10546-009-9376-4</t>
  </si>
  <si>
    <t>442HD</t>
  </si>
  <si>
    <t>WOS:000265831400002</t>
  </si>
  <si>
    <t>Lammel, G; Sehili, AM; Bond, TC; Feichter, J; Grassl, H</t>
  </si>
  <si>
    <t>Lammel, Gerhard; Sehili, Aissa M.; Bond, Tami C.; Feichter, Johann; Grassl, Hartmut</t>
  </si>
  <si>
    <t>Gas/particle partitioning and global distribution of polycyclic aromatic hydrocarbons - A modelling approach</t>
  </si>
  <si>
    <t>Polycyclic aromatic hydrocarbons; Gas-particle partitioning; Long-range transport; Multicompartmental modelling</t>
  </si>
  <si>
    <t>LONG-RANGE TRANSPORT; PERSISTENT ORGANIC POLLUTANTS; POLYCHLORINATED-BIPHENYLS; CLIMATE MODEL; POLAR-REGIONS; AIR; FATE; GAS; DEGRADATION; ATMOSPHERE</t>
  </si>
  <si>
    <t>The global atmospheric distribution and long-range transport (LRT) potential of three polycyclic aromatic hydrocarbons (PAH) - anthracene, fluoranthene and benzo[a]pyrene - are studied. The model used is a global aerosol-chemistry-transport-model, which is based on an atmospheric general circulation model. The model includes an in-built dynamic aerosol model coupled to two-dimensional surface compartments. Several parameterisations of gas/particle partitioning and different assumptions of degradation in the aerosol particulate phase were tested. PAHs are mostly distributed in the source regions but reach the Arctic and the Antarctic. The Canadian Arctic is predicted to be significantly less affected by mid-latitude PAH emissions than the European Arctic. Re-volatilisation is significant for semivolatile PAHs. Accumulation of semivolatile PAHs in polar regions, however, is not indicated. The model study suggests that gas/particle partitioning in air drastically influences the atmospheric cycling, the total environmental fate (e.g. compartmental distributions) and the LRT potential of the substances studied. A parameterisation which calculates the gas/particle partitioning assuming absorption into organic matter and adsorption to black carbon (soot) agrees best with the observations at remote sites. The study provides evidence that the degradation in the particulate phase must be slower than that in the gas-phase. The predicted concentrations of the semivolatile PAHs anthracene and fluoranthene in near-ground air at remote sites in mid and high northern latitudes are in line with measured concentrations, if adsorption of the substances to soot combined with absorption in particulate organic matter is assumed to determine gas/particle partitioning, but cannot be explained by adsorption alone (Junge-Pankow parameterisation of gas/particle partitioning). The results suggest that PAHs absorbed in the organic matrix of particulate matter is shielded from the gas-phase. (C) 2009 Elsevier Ltd. All rights reserved.</t>
  </si>
  <si>
    <t>[Lammel, Gerhard; Sehili, Aissa M.; Feichter, Johann; Grassl, Hartmut] Max Planck Inst Meteorol, Ctr Marine &amp; Atmospher Sci, D-20146 Hamburg, Germany; [Lammel, Gerhard] Masaryk Univ, Res Ctr Environm Chem &amp; Ecotoxicol, Brno 62500, Czech Republic; [Sehili, Aissa M.; Grassl, Hartmut] Univ Hamburg, Inst Meteorol, Ctr Marine &amp; Atmospher Sci, D-20146 Hamburg, Germany; [Bond, Tami C.] Univ Illinois, Dept Civil &amp; Environm Engn, Urbana, IL 61801 USA</t>
  </si>
  <si>
    <t>Max Planck Society; Masaryk University Brno; University of Hamburg; University of Illinois System; University of Illinois Urbana-Champaign</t>
  </si>
  <si>
    <t>Lammel, G (corresponding author), Max Planck Inst Chem, JJ Becher Weg 27, D-55128 Mainz, Germany.</t>
  </si>
  <si>
    <t>lammel@mpch-mainz.mpg.de</t>
  </si>
  <si>
    <t>Lammel, Gerhard/ABE-1446-2021; Bond, Tami/A-1317-2013</t>
  </si>
  <si>
    <t>Lammel, Gerhard/0000-0003-2313-0628; Bond, Tami/0000-0001-5968-8928</t>
  </si>
  <si>
    <t>German Research Foundation (DFG)</t>
  </si>
  <si>
    <t>German Research Foundation (DFG)(German Research Foundation (DFG))</t>
  </si>
  <si>
    <t>This research was supported by the German Research Foundation (DFG). We thank Irene Stemmler for technical help and Ivan Holoubek for sharing unpublished data.</t>
  </si>
  <si>
    <t>10.1016/j.chemosphere.2009.02.017</t>
  </si>
  <si>
    <t>457AP</t>
  </si>
  <si>
    <t>WOS:000266897200015</t>
  </si>
  <si>
    <t>Schiavone, A; Corsolini, S; Borghesi, N; Focardi, S</t>
  </si>
  <si>
    <t>Schiavone, Alessandra; Corsolini, Simonetta; Borghesi, Nicoletta; Focardi, Silvano</t>
  </si>
  <si>
    <t>Contamination profiles of selected PCB congeners, chlorinated pesticides, PCDD/Fs in Antarctic fur seal pups and penguin eggs</t>
  </si>
  <si>
    <t>PCB; PCDD/Fs; DDT; Antarctic; Penguin; Seal pup</t>
  </si>
  <si>
    <t>ORGANIC POLLUTANTS POPS; KING-GEORGE-ISLAND; DIBENZO-P-DIOXINS; POLYCHLORINATED-BIPHENYLS; ORGANOCHLORINE COMPOUNDS; MATERNAL TRANSFER; ADELIE PENGUINS; RESIDUES; POLLUTION; ACCUMULATION</t>
  </si>
  <si>
    <t>The aim of this study was to investigate levels of some major environmental contaminants, such as polychlorinated biphenyls (PCBs). polychlorinated dibenzo-p-dioxins and dibenzofurans (PCDD/Fs) and organochlorine pesticides in Antarctic samples. Concentrations of some persistent organic pollutants (POPS) were investigated in Antarctic fur seal pups and eggs of three species of penguins. Dichloro-diphenyl-trichloroethane (DDT) was the main pollutant, followed by PCBs: other organochlorine compounds such as hexachlorobenzene (HCB) and PCDD/Fs were usually found only in minor quantities. Adelie penguin eggs had significantly higher mean PCB concentrations (p &lt; 0.05) compared to the other two penguin species, but there was no difference in DDT levels (p &gt; 0.05). TEQ values in fur seal blubber in our study were one order of magnitude lower than those considered to elicit physiological effects in aquatic mammals. In general. POP concentrations in our samples suggested that likely the study populations were not currently at risk for adverse health effects, but indicated a clear need for further monitoring to assess the presence and time trend of a broad range of contaminants, mainly emerging POPs thought to be increasing in polar regions. (C) 2009 Elsevier Ltd. All rights reserved.</t>
  </si>
  <si>
    <t>[Schiavone, Alessandra; Corsolini, Simonetta; Borghesi, Nicoletta; Focardi, Silvano] Univ Siena, Dept Environm Sci G Sarfatti, I-53100 Siena, Italy</t>
  </si>
  <si>
    <t>Schiavone, A (corresponding author), Univ Siena, Dept Environm Sci G Sarfatti, Via PA Mattioli 4, I-53100 Siena, Italy.</t>
  </si>
  <si>
    <t>schiavone4@unisi.it</t>
  </si>
  <si>
    <t>Corsolini, Simonetta/B-9460-2012</t>
  </si>
  <si>
    <t>Corsolini, Simonetta/0000-0002-9772-2362</t>
  </si>
  <si>
    <t>Italian National Program of Research in Antarctica (PNRA).; King George Is</t>
  </si>
  <si>
    <t>Italian National Program of Research in Antarctica (PNRA).(Ministry of Education, Universities and Research (MIUR)); King George Is</t>
  </si>
  <si>
    <t>This research was funded by the Italian National Program of Research in Antarctica (PNRA). The National Science Foundation supported S. Corsolini's stay and travel to and from King George Is. We are very grateful to Daniel Torres and Daniel Torres jr (Instituto Antarctico Chileno, Santiago, Chile) for collecting the fur seal samples during the 2003/04 expedition, and to Wayne Trivelpiece, and Susan Trivelpiece for collecting the penguin egg samples. We thank Roger Hewitt, Agunsa (Punta Arenas, Chile) and Raytheon (USA) for their friendly logistic support.</t>
  </si>
  <si>
    <t>10.1016/j.chemosphere.2009.03.007</t>
  </si>
  <si>
    <t>460AJ</t>
  </si>
  <si>
    <t>WOS:000267155600016</t>
  </si>
  <si>
    <t>Wang, YT; Hou, SG; Grigholm, B; Song, LL</t>
  </si>
  <si>
    <t>Wang Yetang; Hou Shugui; Grigholm, Bjorn; Song Linlin</t>
  </si>
  <si>
    <t>An Improved Method for Modeling Spatial Distribution of δD in Surface Snow over Antarctic Ice Sheet</t>
  </si>
  <si>
    <t>CHINESE GEOGRAPHICAL SCIENCE</t>
  </si>
  <si>
    <t>delta D; surface snow; ice sheet; Antarctica</t>
  </si>
  <si>
    <t>LAST INTERGLACIAL PERIOD; DRONNING MAUD LAND; ISOTOPIC COMPOSITION; ATMOSPHERIC CIRCULATION; METEORIC PRECIPITATION; CLIMATE VARIABILITY; WATER ISOTOPES; CORE; TEMPERATURE; RECORD</t>
  </si>
  <si>
    <t>Using the recent compilation of the isotopic composition data of surface snow of Antarctic ice sheet, we proposed an improved interpolation method of delta D, which utilizes geographical factors (i.e., latitude and altitude) as the primary predictors and incorporates inverse distance weighting (IDW) technique. The method was applied to a high-resolution digital elevation model (DEM) to produce a grid map of multi-year mean delta D values with 1km spatial resolution for Antarctica. The mean absolute deviation between observed and estimated data in the map is about 5.4 parts per thousand, and the standard deviation is 9 parts per thousand. The resulting delta D pattern resembles well known characteristics such as the depletion of the heavy isotopes with increasing latitude and distance from coast line, but also reveals the complex topographic effects.</t>
  </si>
  <si>
    <t>[Wang Yetang; Hou Shugui; Song Linlin] Chinese Acad Sci, State Key Lab Cryospher Sci, Cold &amp; Arid Reg Environm &amp; Engn Res Inst, Lanzhou 730000, Peoples R China; [Grigholm, Bjorn] Univ Maine, Climate Change Inst, Orono, ME 04469 USA</t>
  </si>
  <si>
    <t>Chinese Academy of Sciences; Cold &amp; Arid Regions Environmental &amp; Engineering Research Institute, CAS; University of Maine System; University of Maine Orono</t>
  </si>
  <si>
    <t>Wang, YT (corresponding author), Chinese Acad Sci, State Key Lab Cryospher Sci, Cold &amp; Arid Reg Environm &amp; Engn Res Inst, Lanzhou 730000, Peoples R China.</t>
  </si>
  <si>
    <t>wangyetang@163.com</t>
  </si>
  <si>
    <t>1002-0063</t>
  </si>
  <si>
    <t>CHINESE GEOGR SCI</t>
  </si>
  <si>
    <t>Chin. Geogr. Sci.</t>
  </si>
  <si>
    <t>10.1007/s11769-009-0120-2</t>
  </si>
  <si>
    <t>473LH</t>
  </si>
  <si>
    <t>WOS:000268207200004</t>
  </si>
  <si>
    <t>Vera, C; Silvestri, G</t>
  </si>
  <si>
    <t>Vera, Carolina; Silvestri, Gabriel</t>
  </si>
  <si>
    <t>Precipitation interannual variability in South America from the WCRP-CMIP3 multi-model dataset</t>
  </si>
  <si>
    <t>South American climate; Coupled climate models; WCRP-CMIP3 multi-model dataset; Southern Annular Mode; ENSO events</t>
  </si>
  <si>
    <t>EL-NINO; ANTARCTIC OSCILLATION; PART I; CLIMATE; CIRCULATION; HEMISPHERE; SIMULATIONS; SATELLITE; MODELS</t>
  </si>
  <si>
    <t>The ability of coupled climate models from the WCRP-CMIP3 multi-model dataset to reproduce the interannual seasonal variability of precipitation in South America and the influence of the Southern Annular Mode (SAM) and El NiA +/- o-Southern Oscillation (ENSO) on such variability is examined. Models are able to reproduce the northward migration of the precipitation variability maximum during autumn and winter and its later return towards the south during spring and summer as well as the high variability throughout the year in southern Chile. Nevertheless, most of them have problems in representing accurately the variability associated with the South Atlantic convergence zone during summer and the typical maximum of variability in the subtropical continent during autumn and winter. The annular-like structure characteristic of the SAM influence on the Southern Hemisphere circulation is basically simulated by all models, but they have serious deficiencies in representing the observed relationship between SAM and both precipitation and circulation anomalies in South America. In addition, most of the models are not able to reproduce the typical wavetrains observed in the circulation anomalies in the Southern Hemisphere associated to ENSO. Only few models, previously identified as those with reasonable ENSO representation at the equatorial Pacific, have evidences of such wavetrains. Coherently, they exhibit the best representation of the ENSO signal in the South American precipitation. Results show that considerable improvement in the model representation of the climate variability in South America and in the associated large-scale teleconnections is still needed.</t>
  </si>
  <si>
    <t>[Vera, Carolina; Silvestri, Gabriel] Univ Buenos Aires, Fac Ciencias Exactas &amp; Nat, DCAO, Ctr Invest Mar &amp; Atmosfera CIMA CONICET, Buenos Aires, DF, Argentina</t>
  </si>
  <si>
    <t>Consejo Nacional de Investigaciones Cientificas y Tecnicas (CONICET); University of Buenos Aires</t>
  </si>
  <si>
    <t>Vera, C (corresponding author), Univ Buenos Aires, Fac Ciencias Exactas &amp; Nat, DCAO, Ctr Invest Mar &amp; Atmosfera CIMA CONICET, Buenos Aires, DF, Argentina.</t>
  </si>
  <si>
    <t>carolina@cima.fcen.uba.ar; gabriels@cima.fcen.uba.ar</t>
  </si>
  <si>
    <t>Vera, Carolina/0000-0003-4032-5232; Silvestri, Gabriel/0000-0002-5011-559X</t>
  </si>
  <si>
    <t>ANPCyT [PICT04-25269]; CONICET [PIP-5400]; EU Project [001454]; Program for Climate Model Diagnosis and Intercomparison (PCMDI); Working Group on Coupled Modelling (WGCM); Coupled Model Intercomparison Project (CMIP); Office of Science, U. S. Department of Energy</t>
  </si>
  <si>
    <t>ANPCyT(ANPCyT); CONICET(Consejo Nacional de Investigaciones Cientificas y Tecnicas (CONICET)); EU Project(European Union (EU)); Program for Climate Model Diagnosis and Intercomparison (PCMDI); Working Group on Coupled Modelling (WGCM); Coupled Model Intercomparison Project (CMIP); Office of Science, U. S. Department of Energy(United States Department of Energy (DOE))</t>
  </si>
  <si>
    <t>Comments and suggestions provided by two anonymous reviewers were very helpful in improving this paper. This research was supported by ANPCyT/PICT04-25269, CONICET/PIP-5400, and CLARIS (EU Project 001454). We acknowledge the European project CLARIS (http://www.claris-eu.org) for facilitating the access to the IPCC simulation outputs. We acknowledge the international modeling groups for providing their data for analysis, the Program for Climate Model Diagnosis and Intercomparison (PCMDI) for collecting and archiving the model data, the JSC/CLIVAR Working Group on Coupled Modelling (WGCM) and their Coupled Model Intercomparison Project (CMIP) and Climate Simulation Panel for organizing the model data analysis activity, and the IPCC WG1 TSU for technical support. The IPCC Data Archive at Lawrence Livermore National Laboratory is supported by the Office of Science, U. S. Department of Energy.</t>
  </si>
  <si>
    <t>10.1007/s00382-009-0534-7</t>
  </si>
  <si>
    <t>435ZN</t>
  </si>
  <si>
    <t>WOS:000265382500006</t>
  </si>
  <si>
    <t>Langen, PL; Vinther, BM</t>
  </si>
  <si>
    <t>Langen, Peter L.; Vinther, Bo M.</t>
  </si>
  <si>
    <t>Response in atmospheric circulation and sources of Greenland precipitation to glacial boundary conditions</t>
  </si>
  <si>
    <t>ATLANTIC CLIMATE-CHANGE; NORTH-ATLANTIC; SURFACE-TEMPERATURE; DEUTERIUM EXCESS; MAXIMUM CLIMATE; ANTARCTIC PRECIPITATION; ICE-SHEET; ORIGIN; SIMULATIONS; SENSITIVITY</t>
  </si>
  <si>
    <t>The response in northern hemisphere atmospheric circulation and the resulting changes in moisture sources for Greenland precipitation to glacial boundary conditions are studied in NCAR's CCM3 atmospheric general circulation model fitted with a moisture tracking functionality. We employ both the CLIMAP SST reconstruction and a modification thereto with reconstructions of glacial ice sheets and land masks. The individual components of the boundary conditions are added first one at a time and, finally, together. These steps show the atmospheric circulation to respond approximately linearly to the boundary condition changes, and the full glacial change may thus be decomposed into contributions from SST and topography changes, respectively. We find that using the CLIMAP SST reconstruction leads to a shift from Atlantic toward Pacific source regions not found with the modified reconstruction having cooler tropics and less sea ice. The occurrence of such a shift depends chiefly on the SST reconstruction and not on the existence of the large northern hemisphere glacial ice sheets. The influence of these circulation changes on important factors for ice core interpretation such as precipitation seasonality, condensation temperatures and source temperatures are assessed.</t>
  </si>
  <si>
    <t>[Langen, Peter L.; Vinther, Bo M.] Univ Copenhagen, Niels Bohr Inst, Ctr Ice &amp; Climate, DK-2100 Copenhagen O, Denmark</t>
  </si>
  <si>
    <t>University of Copenhagen; Niels Bohr Institute</t>
  </si>
  <si>
    <t>Langen, PL (corresponding author), Univ Copenhagen, Niels Bohr Inst, Ctr Ice &amp; Climate, Juliane Maries Vej 30, DK-2100 Copenhagen O, Denmark.</t>
  </si>
  <si>
    <t>plangen@gfy.ku.dk</t>
  </si>
  <si>
    <t>Langen, Peter L/AAR-1120-2021</t>
  </si>
  <si>
    <t>Langen, Peter L/0000-0003-2185-012X; Vinther, Bo/0000-0002-6078-771X</t>
  </si>
  <si>
    <t>10.1007/s00382-008-0438-y</t>
  </si>
  <si>
    <t>WOS:000265382500008</t>
  </si>
  <si>
    <t>Weissling, B; Ackley, S; Wagner, P; Xie, H</t>
  </si>
  <si>
    <t>Weissling, B.; Ackley, S.; Wagner, P.; Xie, H.</t>
  </si>
  <si>
    <t>EISCAM - Digital image acquisition and processing for sea ice parameters from ships</t>
  </si>
  <si>
    <t>COLD REGIONS SCIENCE AND TECHNOLOGY</t>
  </si>
  <si>
    <t>Sea ice; ASPeCt; SIMBA; Antarctica; Ice camera</t>
  </si>
  <si>
    <t>EXTENT</t>
  </si>
  <si>
    <t>Human observations and records of sea ice conditions from ships of opportunity in polar regions have been formalized under ASPeCt (Antarctic Sea Ice Processes and Climate) protocols as part of the Scientific Committee on Antarctic Research (SCAR) initiative, Global Change in Antarctica. Human observations, however, are subject to both bias and level of expertise. In support of ASPeCt observations, a ship-based, ice condition imagery acquisition, processing and analysis system is developed and presented in this paper. Digital images captured from recorded oblique-view video of sea ice during the inbound and outbound transits of the icebreaker NB Palmer, during the 2007 SIMBA (Sea Ice Mass Balance in Antarctic) cruise, were used to demonstrate the method. The resultant orthorectified and spatially registered images can thus be used to derive ice concentration, ice types, floe sizes. and area of deformed ice, parameters recorded by an ASPeCt observer based on experience. An assessment of total ice concentration, utilizing a digital number threshold method, for a 30 image sequence spanning 10 min, was compared to the corresponding ASPeCt observation and found good agreement, A k-means unsupervised classification technique was employed to evaluate the spectral separability of pixels associated with differing ice types. A significant source of visual perspective bias was discovered in associated with uneven spatial distribution of open-water leads. Convolution spatial filtering was employed to assess area of deformed ice during night-time conditions. when ship's floodlights illuminate the ice field. Transformation of individual image elements, such as floes, to vector-based polygons enabled accurate measurement of dimension, thus providing a frequency distribution of floe sizes, currently not possible with existing ASPeCt protocols. Limitations of this acquisition and analysis technique, future improvements, and coordination with the ASPeCt program were discussed. (c) 2009 Elsevier B.V. All rights reserved.</t>
  </si>
  <si>
    <t>[Weissling, B.; Ackley, S.; Wagner, P.; Xie, H.] Univ Texas San Antonio, Dept Geol Sci, San Antonio, TX 78249 USA; [Weissling, B.] SWCA Environm Consultants, San Antonio, TX 78249 USA</t>
  </si>
  <si>
    <t>University of Texas System; University of Texas at San Antonio (UTSA)</t>
  </si>
  <si>
    <t>Weissling, B (corresponding author), Univ Texas San Antonio, Dept Geol Sci, 1 UTSA Circle, San Antonio, TX 78249 USA.</t>
  </si>
  <si>
    <t>bweissling@swca.com</t>
  </si>
  <si>
    <t>Xie, Hongjie/B-5845-2009; Wagner, Penelope Mae/ABQ-4377-2022</t>
  </si>
  <si>
    <t>Xie, Hongjie/0000-0003-3516-1210; Wagner, Penelope Mae/0000-0001-5268-4510</t>
  </si>
  <si>
    <t>National Science Foundation [AWT0703682]; Sea Ice Mass Balance in Antarctica (SIMBA)</t>
  </si>
  <si>
    <t>National Science Foundation(National Science Foundation (NSF)); Sea Ice Mass Balance in Antarctica (SIMBA)</t>
  </si>
  <si>
    <t>This research was supported by a National Science Foundation Grant AWT0703682, Sea Ice Mass Balance in Antarctica (SIMBA) (S.F. Ackley, PI). We gratefully acknowledge the team of ice observers on the SIMBA cruise, particularly John Pena (National Ice Center), Sarah Anderson (PolarTrec teacher), Sharon Starnmerjohn and Katherine Leonard (Lamont-Doherty Earth Observatory), Beverly Saunders (University of Texas San Antonio), Frederick Brabant, Gautier Carnat, Isabelle Dumont, Florence Mason (Universite Libre de Bruxelles, Belgium), Nicolas-Xavier Geilfus (Universite de Li'ege), and Martin Vancoppenolle (Universite Catholique de Louvain).</t>
  </si>
  <si>
    <t>0165-232X</t>
  </si>
  <si>
    <t>1872-7441</t>
  </si>
  <si>
    <t>COLD REG SCI TECHNOL</t>
  </si>
  <si>
    <t>Cold Reg. Sci. Tech.</t>
  </si>
  <si>
    <t>10.1016/j.coldregions.2009.01.001</t>
  </si>
  <si>
    <t>Engineering, Environmental; Engineering, Civil; Geosciences, Multidisciplinary</t>
  </si>
  <si>
    <t>Engineering; Geology</t>
  </si>
  <si>
    <t>448TF</t>
  </si>
  <si>
    <t>WOS:000266284200007</t>
  </si>
  <si>
    <t>Morley, SA; Hirse, T; Pörtner, HO; Peck, LS</t>
  </si>
  <si>
    <t>Morley, Simon A.; Hirse, Timo; Poertner, Hans-Otto; Peck, Lloyd S.</t>
  </si>
  <si>
    <t>Geographical variation in thermal tolerance within Southern Ocean marine ectotherms</t>
  </si>
  <si>
    <t>Nocella concinna; Laternula elliptica; Southern Ocean; Tissue biochemistry; Pejus limits; Critical limits; Lethal limits; Latitudinal comparisons</t>
  </si>
  <si>
    <t>LIMPETS NACELLA-CONCINNA; ANTARCTIC ECTOTHERMS; LATERNULA-ELLIPTICA; ENERGY-METABOLISM; INTRACELLULAR PH; TEMPERATURE; OXYGEN; LIMITS; ADAPTATION; EXPRESSION</t>
  </si>
  <si>
    <t>Latitudinal comparisons of the Southern Ocean limpet, Nacella concinna, and clam, Laternula elliptica, acclimated to 0.0 degrees C, were used to assess differences in thermal response to two regimes, 0.0, 5.1 to 10.0 degrees C and 2.5, 7.5 to 12.5 degrees C, raised at 5.0 degrees C per week. At each temperature, tissue energy status was measured through a combination Of O-2 consumption, intracellular pH, cCO(2), citrate synthase (CS) activity, organic acids (succinate, acetate, propionate), adenylates (ATP, ADP, AMP, ITP, PLA (phospho-L-arginine)) and heart rate. L elliptica from Signy (60 degrees S) and Rothera (67 degrees S), which experience a similar thermal regime (-2 to + 1 degrees C) had the same lethal (7.5-10.0 degrees C), critical (5.1-7.5 degrees C) and pejus (&lt;5.1 degrees C; = getting worse) limits with only small differences in biochemical response. N. concinna, which experiences a wider thermal regime (-2 to + 15.8 degrees C), had higher lethal limits (10.0-12.5 degrees C). However, at their Northern geographic limit N. concinna, which live in a warmer environment (South Georgia, 54 degrees S), had a lower critical limit (5.1-10.0 degrees C; O-2, PLA and organic acids) than Rothera and Signy N. concinna (10.0-12.5 degrees C). This lower limit indicates that South Georgia N. concinna have different biochemical responses to temperatures close to their thermal limit, which may make them more vulnerable to future warming trends. Crown Copyright (C) 2009 Published by Elsevier Inc. All rights reserved.</t>
  </si>
  <si>
    <t>[Morley, Simon A.; Peck, Lloyd S.] British Antarctic Survey, NERC, Cambridge CB3 0ET, England; [Hirse, Timo; Poertner, Hans-Otto] Alfred Wegener Inst Polar &amp; Marine Res, D-27515 Bremerhaven, Germany</t>
  </si>
  <si>
    <t>Morley, SA (corresponding author), British Antarctic Survey, NERC, Cambridge CB3 0ET, England.</t>
  </si>
  <si>
    <t>Pörtner, Hans-O./K-9429-2016; Pörtner, Hans-O./ISU-9397-2023</t>
  </si>
  <si>
    <t>Pörtner, Hans-O./0000-0001-6535-6575;</t>
  </si>
  <si>
    <t>NERC; MarCoPoll program; Natural Environment Research Council [dml011000, bas010015] Funding Source: researchfish; NERC [dml011000, bas010015] Funding Source: UKRI</t>
  </si>
  <si>
    <t>NERC(UK Research &amp; Innovation (UKRI)Natural Environment Research Council (NERC)); MarCoPoll program; Natural Environment Research Council(UK Research &amp; Innovation (UKRI)Natural Environment Research Council (NERC)); NERC(UK Research &amp; Innovation (UKRI)Natural Environment Research Council (NERC))</t>
  </si>
  <si>
    <t>This study was funded by NERC core funding to the BAS bioreach program and Antarctic Funding Initiative as well as by the MarCoPoll program of the AWL Thanks go to the crew of RRS James Clarke Ross and the dive teams both on JCR and at Rothera, especially Andrew Miller who also maintained animals at Rothera. Diving was supported by the NERC NSDF at SAMS. We also thank David Hoffmarmbeck and Christian Polleichtner for assisting with biochemical analysis at the Alfred Wegener Institute and two anonymous referees whose comments improved this manuscript.</t>
  </si>
  <si>
    <t>10.1016/j.cbpa.2009.02.001</t>
  </si>
  <si>
    <t>447YZ</t>
  </si>
  <si>
    <t>WOS:000266229400010</t>
  </si>
  <si>
    <t>Peck, LS; Morley, S; Clark, MS</t>
  </si>
  <si>
    <t>Peck, Lloyd S.; Morley, Simon; Clark, Melody S.</t>
  </si>
  <si>
    <t>Animal temperature limits and ecological relevance: Effects of size, activity and rates of change</t>
  </si>
  <si>
    <t>Annual Meeting of the Society-for-Experimental-Biology</t>
  </si>
  <si>
    <t>JUN 28-JUL 01, 2009</t>
  </si>
  <si>
    <t>Glasgow, SCOTLAND</t>
  </si>
  <si>
    <t>[Peck, Lloyd S.; Morley, Simon; Clark, Melody S.] British Antarctic Survey, Cambridge, England</t>
  </si>
  <si>
    <t>l.peck@bas.ac.uk</t>
  </si>
  <si>
    <t>153A</t>
  </si>
  <si>
    <t>S57</t>
  </si>
  <si>
    <t>10.1016/j.cbpa.2009.04.517</t>
  </si>
  <si>
    <t>464QM</t>
  </si>
  <si>
    <t>WOS:000267520700035</t>
  </si>
  <si>
    <t>Sutherland, WJ; Adams, WM; Aronson, RB; Aveling, R; Blackburn, TM; Broad, S; Ceballos, G; Coté, IM; Cowling, RM; Da Fonseca, GAB; Dinerstein, E; Ferraro, PJ; Fleishman, E; Gascon, C; Hunter, M; Hutton, J; Kareiva, P; Kuria, A; MacDonald, DW; MacKinnon, K; Madgwick, FJ; Mascia, MB; McNeely, J; Milner-Gulland, EJ; Moon, S; Morley, CG; Nelson, S; Osborn, D; Pai, M; Parsons, ECM; Peck, LS; Possingham, HP; Prior, SV; Pullin, AS; Rands, MRW; Ranganathan, J; Redford, KH; Rodriguez, JP; Seymour, F; Sobel, J; Sodhi, NS; Stott, A; Vance-Borland, K; Watkinson, AR</t>
  </si>
  <si>
    <t>Sutherland, W. J.; Adams, W. M.; Aronson, R. B.; Aveling, R.; Blackburn, T. M.; Broad, S.; Ceballos, G.; Cote, I. M.; Cowling, R. M.; Da Fonseca, G. A. B.; Dinerstein, E.; Ferraro, P. J.; Fleishman, E.; Gascon, C.; Hunter, M., Jr.; Hutton, J.; Kareiva, P.; Kuria, A.; Macdonald, D. W.; Mackinnon, K.; Madgwick, F. J.; Mascia, M. B.; Mcneely, J.; Milner-Gulland, E. J.; Moon, S.; Morley, C. G.; Nelson, S.; Osborn, D.; Pai, M.; Parsons, E. C. M.; Peck, L. S.; Possingham, H. P.; Prior, S. V.; Pullin, A. S.; Rands, M. R. W.; Ranganathan, J.; Redford, K. H.; Rodriguez, J. P.; Seymour, F.; Sobel, J.; Sodhi, N. S.; Stott, A.; Vance-Borland, K.; Watkinson, A. R.</t>
  </si>
  <si>
    <t>One Hundred Questions of Importance to the Conservation of Global Biological Diversity</t>
  </si>
  <si>
    <t>CONSERVATION BIOLOGY</t>
  </si>
  <si>
    <t>biodiversity; conservation; horizon scanning; policy; priority setting; research agenda; research questions; agenda de investigacion; biodiversidad; conservacion; definicion de prioridades; escaneo del horizonte; politicas; preguntas de investigacion</t>
  </si>
  <si>
    <t>CLIMATE-CHANGE; IMPLEMENTATION; OPPORTUNITIES; BIODIVERSITY; FRAMEWORK; SCIENCE; TRENDS; UK</t>
  </si>
  <si>
    <t>We identified 100 scientific questions that, if answered, would have the greatest impact on conservation practice and policy. Representatives from 21 international organizations, regional sections and working groups of the Society for Conservation Biology, and 12 academics, from all continents except Antarctica, compiled 2291 questions of relevance to conservation of biological diversity worldwide. The questions were gathered from 761 individuals through workshops, email requests, and discussions. Voting by email to short-list questions, followed by a 2-day workshop, was used to derive the final list of 100 questions. Most of the final questions were derived through a process of modification and combination as the workshop progressed. The questions are divided into 12 sections: ecosystem functions and services, climate change, technological change, protected areas, ecosystem management and restoration, terrestrial ecosystems, marine ecosystems, freshwater ecosystems, species management, organizational systems and processes, societal context and change, and impacts of conservation interventions. We anticipate that these questions will help identify new directions for researchers and assist funders in directing funds.</t>
  </si>
  <si>
    <t>[Sutherland, W. J.; Prior, S. V.] Univ Cambridge, Dept Zool, Conservat Sci Grp, Cambridge CB2 3EJ, England; [Adams, W. M.] Univ Cambridge, Dept Geog, Cambridge CB2 3EJ, England; [Aronson, R. B.] Florida Inst Technol, Dept Biol Sci, Int Soc Reef Studies, Melbourne, FL 32901 USA; [Aveling, R.] Fauna &amp; Flora Int, Cambridge CB1 2JD, England; [Blackburn, T. M.] Zool Soc London, Inst Zool, London NW1 4RY, England; [Broad, S.] Traff Int, Cambridge CB3 0DL, England; [Ceballos, G.] Univ Nacl Autonoma Mexico, Inst Ecol, SCB Austral &amp; Neotrop Amer Sect, Mexico City 04510, DF, Mexico; [Cote, I. M.] Simon Fraser Univ, Dept Biol Sci, Burnaby, BC V5A 1S6, Canada; [Cowling, R. M.] Nelson Mandela Metropolitan Univ, Dept Bot, ZA-6031 Port Elizabeth, South Africa; [Da Fonseca, G. A. B.] GEF Secretariat, Washington, DC 20433 USA; [Dinerstein, E.] World Wildlife Fund, Washington, DC 20037 USA; [Ferraro, P. J.] Georgia State Univ, Dept Econ, Andrew Young Sch Policy Studies, Atlanta, GA 30302 USA; [Fleishman, E.] Natl Ctr Ecol Anal &amp; Synth, SCB N Amer Sect, Santa Barbara, CA 93101 USA; [Gascon, C.] Off Programs &amp; Sci, Arlington, VA 22202 USA; [Hunter, M., Jr.] Univ Maine, Dept Wildlife Ecol, Orono, ME 04469 USA; [Hutton, J.] UNEP WCMC, Cambridge CB3 0DL, England; [Kareiva, P.] Nature Conservancy, Seattle, WA 98105 USA; [Kuria, A.] Trop Biol Assoc, Nat Kenya, Nairobi 00100, Kenya; [Macdonald, D. W.] Univ Oxford, Wildlife Conservat Res Unit, Tubney OX13 5QL, Oxon, England; [Mackinnon, K.] World Bank, Dept Environm, Washington, DC 20433 USA; [Madgwick, F. J.] Wetlands Int, NL-6700 AL Wageningen, Netherlands; [Mascia, M. B.] World Wildlife Fund, SCB Social Sci Working Grp, Washington, DC 20037 USA; [Mcneely, J.] IUCN, CH-1196 Gland, Switzerland; [Milner-Gulland, E. J.] Imperial Coll London, Div Biol, Ascot SL5 7PY, Berks, England; [Moon, S.] Univ Cambridge, Dept Zool, Cambridge Conservat Initiat, Cambridge CB2 3EJ, England; [Morley, C. G.] Kauri Coast Area Off, Dept Conservat, SCB Australasia Sect, Dargaville 0377, New Zealand; [Nelson, S.] Darwin Initiat Secretariat, Dept Environm Food &amp; Rural Affairs, London SW1P 3JR, England; [Osborn, D.] NERC, Swindon SN2 1EU, Wilts, England; [Pai, M.] Clemson Univ, Dept Forestry &amp; Nat Resources, SCB Asia Sect, Clemson, SC 29634 USA; [Parsons, E. C. M.] George Mason Univ, Dept Environm Sci &amp; Policy, SCB Marine Sect, Fairfax, VA 22030 USA; [Peck, L. S.] British Antarctic Survey, NERC, Cambridge CB3 0ET, England; [Possingham, H. P.] Univ Queensland, Brisbane, Qld 4072, Australia; [Pullin, A. S.] Bangor Univ, Sch Environm &amp; Nat Resources, Ctr Evidence Based Conservat, SCB Europe Sect, Bangor LL57 2UW, Gwynedd, Wales; [Rands, M. R. W.] BirdLife Int, Wellbrook Court, Cambridge CB3 0NA, England; [Ranganathan, J.] World Resources Inst, Washington, DC 20002 USA; [Redford, K. H.] Wildlife Conservat Soc, WCS Inst, Bronx, NY 10460 USA; [Rodriguez, J. P.] Inst Venezolano Invest Cient, Ctr Ecol, Caracas 1020A, Venezuela; [Seymour, F.] Jalan Ctr Int Forestry Res, Bogor Barat 16115, Indonesia; [Sobel, J.] Ocean Conservancy, Washington, DC 20036 USA; [Sodhi, N. S.] Natl Univ Singapore, Dept Biol Sci, Singapore 117543, Singapore; [Sodhi, N. S.] Harvard Univ, Dept Organism &amp; Evolut Biol, Cambridge, MA 02138 USA; [Stott, A.] Dept Environm Food &amp; Rural Affairs, Nat Environm Sci Div, Bristol BS1 6EB, Avon, England; [Vance-Borland, K.] Oregon State Univ, SCB Freshwater Working Grp, Dept Forest Ecosyst &amp; Soc, Corvallis, OR 97331 USA; [Watkinson, A. R.] Univ E Anglia, Sch Environm Sci, Norwich NR4 7TJ, Norfolk, England</t>
  </si>
  <si>
    <t>University of Cambridge; University of Cambridge; Florida Institute of Technology; Zoological Society of London; Universidad Nacional Autonoma de Mexico; Simon Fraser University; Nelson Mandela University; World Wildlife Fund; University System of Georgia; Georgia State University; National Center for Ecological Analysis &amp; Synthesis; University of Maine System; University of Maine Orono; United Nations Environment Programme; Nature Conservancy; University of Oxford; The World Bank; World Wildlife Fund; Imperial College London; University of Cambridge; UK Research &amp; Innovation (UKRI); Natural Environment Research Council (NERC); Clemson University; George Mason University; UK Research &amp; Innovation (UKRI); Natural Environment Research Council (NERC); NERC British Antarctic Survey; University of Queensland; Bangor University; BirdLife International; Wildlife Conservation Society; Venezuelan Institute Science Research; CGIAR; Center for International Forestry Research (CIFOR); National University of Singapore; Harvard University; Oregon State University; University of East Anglia</t>
  </si>
  <si>
    <t>Sutherland, WJ (corresponding author), Univ Cambridge, Dept Zool, Conservat Sci Grp, Downing St, Cambridge CB2 3EJ, England.</t>
  </si>
  <si>
    <t>w.sutherland@zoo.cam.ac.uk</t>
  </si>
  <si>
    <t>POSSINGHAM, HUGH/R-8310-2019; Hunter Jr, Malcolm/KHU-3556-2024; Rodriguez, Jon P/A-1491-2009; Rodriguez, Jon P/G-7224-2012; Cowling, Richard/AFU-6261-2022; Blackburn, Tim/AAC-3144-2019; Sutherland, William/B-1291-2013; Ferraro, Paul/B-4435-2014; Blackburn, Tim M/A-7685-2011; Possingham, Hugh/B-1337-2008; Cote, Isabelle/ABD-5898-2021; Morley, Craig Gordon/R-9163-2019; Watkinson, Andrew R/N-1649-2013; Mascia, Michael/X-5516-2018; Parsons, Edward Christien Michael/C-2409-2011</t>
  </si>
  <si>
    <t>POSSINGHAM, HUGH/0000-0001-7755-996X; Rodriguez, Jon P/0000-0001-5019-2870; Blackburn, Tim/0000-0003-0152-2663; Ferraro, Paul/0000-0002-4777-5108; Possingham, Hugh/0000-0001-7755-996X; Mascia, Michael/0000-0002-9874-9778; Morley, Craig/0000-0001-7149-4915; Sutherland, William/0000-0002-6498-0437; Pullin, Andrew/0000-0001-5299-8042; Milner-Gulland, E.J./0000-0003-0324-2710; Aronson, Richard/0000-0003-0383-3844; Vance-Borland, Ken/0000-0003-2179-8106; Parsons, Edward Christien Michael/0000-0002-0464-1046</t>
  </si>
  <si>
    <t>Arcadia Fund; NERC [bas010015] Funding Source: UKRI; Natural Environment Research Council [bas010015] Funding Source: researchfish</t>
  </si>
  <si>
    <t>Arcadia Fund; NERC(UK Research &amp; Innovation (UKRI)Natural Environment Research Council (NERC)); Natural Environment Research Council(UK Research &amp; Innovation (UKRI)Natural Environment Research Council (NERC))</t>
  </si>
  <si>
    <t>We are grateful to the United Kingdom's Natural Environment Research Council and Department of Environment, Food and Rural Affairs for funding this exercise. We thank the numerous individuals from a wide range of organizations who contributed questions. The on-line appendix attributes the questions to individuals and their organizations. S. Carrizo, I. Cooke, H. Eager, and R. Smith helped with the scientific coordination of the meeting. A. Maltby helped collate Institute of Zoology's questions. J. Robinson made useful comments and E. Main improved the manuscript. M. Spencer and G. Meffe made it possible for the paper to be published as an open-access article and so available to a wide community. W.J.S. is supported by the Arcadia Fund.</t>
  </si>
  <si>
    <t>0888-8892</t>
  </si>
  <si>
    <t>1523-1739</t>
  </si>
  <si>
    <t>CONSERV BIOL</t>
  </si>
  <si>
    <t>Conserv. Biol.</t>
  </si>
  <si>
    <t>10.1111/j.1523-1739.2009.01212.x</t>
  </si>
  <si>
    <t>445SG</t>
  </si>
  <si>
    <t>WOS:000266071200010</t>
  </si>
  <si>
    <t>Fernandez, M; Martin, JE</t>
  </si>
  <si>
    <t>Fernandez, Marta; Martin, James E.</t>
  </si>
  <si>
    <t>Description and phylogenetic relationships of Taniwhasaurus antarcticus (Mosasauridae, Tylosaurinae) from the upper Campanian (Cretaceous) of Antarctica</t>
  </si>
  <si>
    <t>CRETACEOUS RESEARCH</t>
  </si>
  <si>
    <t>Taniwhasaurus; Mosasauridae; Tylosaurinae; Antarctica</t>
  </si>
  <si>
    <t>HAINOSAURUS REPTILIA; 1ST RECORD; SQUAMATA; SWEDEN</t>
  </si>
  <si>
    <t>The Antarctic tylosaurine mosasaur Taniwhasaurus antarcticus (Upper Cretaceous, Campanian) is redescribed and rediagnosed based on the holotype. The reexamination of this specimen reveals that T antarcticus is clearly distinguishable by a set of skull features from other species of the genus, including an almost straight fronto-parietal suture, the extreme reduction of the infrastapedial process of the quadrate, and the L-shaped coronoid. Phylogenetic analysis indicates that T antarcticurs and T.oweni are sister taxa, confirming their assignment to the same generic entity. The most striking feature of T antarcticus is the configuration of the posterior terminus of the skull and its articulation with the quadrate. The posteroventral expansion of the supratemporal embraces medially the ventral half of the posterior border of the paroccipital process, preventing the quadrate head from extended posterior displacement. Although in T. oweni this region of the skull has not been preserved in natural position, the same configuration of the quadrate-supratemporal-squamosal and paroccipital process complex can be inferred based on the quadrate morphology. (C) 2009 Elsevier Ltd. All rights reserved.</t>
  </si>
  <si>
    <t>[Fernandez, Marta] Museo La Plata, Dept Paleontol Vertebrados, RA-1900 La Plata, Argentina; [Martin, James E.] S Dakota Sch Mines &amp; Technol, Museum Geol, Rapid City, SD 57701 USA; [Martin, James E.] S Dakota Sch Mines &amp; Technol, Dept Geol &amp; Geol Engn, Rapid City, SD 57701 USA</t>
  </si>
  <si>
    <t>National University of La Plata; Museo La Plata; South Dakota School Mines &amp; Technology; South Dakota School Mines &amp; Technology</t>
  </si>
  <si>
    <t>Fernandez, M (corresponding author), Museo La Plata, Dept Paleontol Vertebrados, RA-1900 La Plata, Argentina.</t>
  </si>
  <si>
    <t>martafer@fcnym.unlp.edu.ar</t>
  </si>
  <si>
    <t>Fernandez, Marta/0000-0001-6935-7575</t>
  </si>
  <si>
    <t>Agencia Nacional de Promociones Cientificas y Tecnologicas de Argentin [PICT 25276]; Consejo Nacional de Investigaciones Cientificas y Tecnologicas [PIP 5156]; Universidad Nacional de La Plata [SA N388]; United States National Science Foundation, Office of Polar Programs [OPP 9815231, 0087972]; Directorate For Geosciences; Office of Polar Programs (OPP) [0087972] Funding Source: National Science Foundation</t>
  </si>
  <si>
    <t>Agencia Nacional de Promociones Cientificas y Tecnologicas de Argentin(ANPCyT); Consejo Nacional de Investigaciones Cientificas y Tecnologicas; Universidad Nacional de La Plata(National University of La Plata); United States National Science Foundation, Office of Polar Programs(National Science Foundation (NSF)); Directorate For Geosciences; Office of Polar Programs (OPP)(National Science Foundation (NSF)NSF - Directorate for Geosciences (GEO))</t>
  </si>
  <si>
    <t>We wish to thank Dr. Fernando Novas (Museo Argentino de Ciencias Naturales) for permission to study the material. Agencia Nacional de Promociones Cientificas y Tecnologicas de Argentina Grant PICT 25276), Consejo Nacional de Investigaciones Cientificas y Tecnologicas (PIP 5156), Universidad Nacional de La Plata (SA N388), and United States National Science Foundation, Office of Polar Programs, Grants OPP 9815231 and 0087972 for financial support. We would like to thank Dr. Alan Tennyson of the Te Papa museum in Wellington, New Zealand, who arranged for the study of the lectotype of Taniwhasaurus oweni. Drs. Paul Scofield and Norton Hiller, from the Canterbury Museum, kindly allowed inspection of a cast of the referred specimen of T oweni. Mr. John Simes and Dr. Richard Cook, Institute of Geological &amp; Nuclear Sciences, Lower Hutt, New Zealand, made other New Zealand mosasaurs available for study. Our examination of the type material of Hainosauras was facilitated through the courtesies of Dr. Etienne Steurbaut, Dr. Pascal Godefroit, the late Dr. Annie V. Dhondt, Mr. jean Jacques Blairvacq, and Ms. Suzanne Watrin of the I'Institut Royal des Sciences Naturelles de Belgique. Mr. J. Gozalez drew Figs. 1 and 5 A-B.</t>
  </si>
  <si>
    <t>0195-6671</t>
  </si>
  <si>
    <t>CRETACEOUS RES</t>
  </si>
  <si>
    <t>Cretac. Res.</t>
  </si>
  <si>
    <t>10.1016/j.cretres.2008.12.012</t>
  </si>
  <si>
    <t>446UL</t>
  </si>
  <si>
    <t>WOS:000266146600022</t>
  </si>
  <si>
    <t>Lachkar, Z; Orr, JC; Dutay, JC; Delecluse, P</t>
  </si>
  <si>
    <t>Lachkar, Zouhair; Orr, James C.; Dutay, Jean-Claude; Delecluse, Pascale</t>
  </si>
  <si>
    <t>On the role of mesoscale eddies in the ventilation of Antarctic intermediate water</t>
  </si>
  <si>
    <t>AAIW; Mesoscale eddies; CFC-11; Ventilation; Southern ocean</t>
  </si>
  <si>
    <t>GENERAL-CIRCULATION MODELS; COUPLED CLIMATE MODEL; GLOBAL OCEAN CIRCULATION; SOUTHERN-OCEAN; TRACER TRANSPORTS; MIXING PARAMETERIZATIONS; CIRCUMPOLAR CURRENT; ANTHROPOGENIC CO2; PACIFIC-OCEAN; EDDY TRANSFER</t>
  </si>
  <si>
    <t>The spatial distribution of Antarctic intermediate water (AAIW) formation and ventilation remains a matter of debate. Some studies suggest that AAIW forms nearly homogeneously in a circumpolar pattern, whereas others favor more localized formation particularly in the southeast Pacific Ocean. We show here that the patterns and magnitude of AAIW formation and ventilation are substantially affected by mesoscale eddies. To diagnose the role of eddies, we made global CFC-11 simulations in two versions of the ocean general circulation model OPA9, a non-eddying, coarse-resolution version (2 cos phi x 2 degrees, ORCA2) and an eddying or eddy-permitting version (1/2 degrees cos phi x 1/2 degrees, ORCA05). In the non-eddying simulation, AAIW subducts in a near homogeneous, circumpolar pattern; in the eddying simulation, the distribution of AAIW ventilation is patchier. Increasing resolution causes the AAIW layer to thin by 32% on average in the Indian sector, but only by 11% in the Pacific sector. This patchiness appears due to the zonal wind stress, which is weak over much of the Pacific and southwest Atlantic sectors but is strong over the Indian sector. Consequently, the effect of eddies is largest in the Indian Ocean, moderate in the Atlantic, and smallest in the Pacific basin. Although the Gent and McWilliams (GM) eddy parameterization improves the overall vertical structure of density in the Southern Ocean, applying it in our non-eddying model still results in the nearly uniform circumpolar distribution of AAIW ventilation, in contrast to the observations. (C) 2009 Elsevier Ltd. All rights reserved.</t>
  </si>
  <si>
    <t>[Lachkar, Zouhair] ETH, Inst Biogeochem &amp; Pollutant Dynam, CH-8092 Zurich, Switzerland; [Orr, James C.] IAEA, Marine Environm Labs, Monaco, Monaco; [Dutay, Jean-Claude] CEA Saclay, Lab Sci Climat &amp; Environm, IPSL, F-91911 Gif Sur Yvette, France; [Delecluse, Pascale] Ctr Natl Rech Meteorol, Meteo France, F-75340 Paris, France</t>
  </si>
  <si>
    <t>Swiss Federal Institutes of Technology Domain; ETH Zurich; CEA; Centre National de la Recherche Scientifique (CNRS); Universite Paris Saclay; Universite Paris Cite</t>
  </si>
  <si>
    <t>Lachkar, Z (corresponding author), ETH, Inst Biogeochem &amp; Pollutant Dynam, Univ Str 16, CH-8092 Zurich, Switzerland.</t>
  </si>
  <si>
    <t>zouhair.lachkar@env.ethz.ch</t>
  </si>
  <si>
    <t>Orr, James C/C-5221-2009</t>
  </si>
  <si>
    <t>Orr, James/0000-0002-8707-7080</t>
  </si>
  <si>
    <t>French Commissariat a l'Energie Atomique (CEA); EU CARBOOCEAN [511176]; Swiss Federal Institute of Technology Zurich (ETH Zurich); Government of the Principality of Monaco</t>
  </si>
  <si>
    <t>French Commissariat a l'Energie Atomique (CEA)(French Atomic Energy Commission); EU CARBOOCEAN; Swiss Federal Institute of Technology Zurich (ETH Zurich)(ETH Zurich); Government of the Principality of Monaco</t>
  </si>
  <si>
    <t>We thank C. Levy, C. Talendier, C. Ethe, R. Benshila, S. Masson, and other contributors to the ESOPA group at LOCEAN for the general support, improvements, and maintenance of the ocean model OPA-ORCA. We also thank B. Barnier, A.-M. Treguier, J.-M. Molines, G. Madec, and other members of the DRAKKAR project for discussions, particularly their expertise concerning the model configurations used here. Support for this research has come from the French Commissariat a l'Energie Atomique (CEA), the EU CARBOOCEAN Project (Contract no. 511176 [GOCE]) and the Swiss Federal Institute of Technology Zurich (ETH Zurich). Computations were performed at CEA (CCRT) supercomputing center. The IAEA is grateful for the support provided to its Marine Environmental Laboratory by the Government of the Principality of Monaco.</t>
  </si>
  <si>
    <t>10.1016/j.dsr.2009.01.013</t>
  </si>
  <si>
    <t>455LF</t>
  </si>
  <si>
    <t>WOS:000266760500005</t>
  </si>
  <si>
    <t>Maraldi, C; Mongin, M; Coleman, R; Testut, L</t>
  </si>
  <si>
    <t>Maraldi, Claire; Mongin, Mathieu; Coleman, Richard; Testut, Laurent</t>
  </si>
  <si>
    <t>The influence of lateral mixing on a phytoplankton bloom: Distribution in the Kerguelen Plateau region</t>
  </si>
  <si>
    <t>Lateral mixing; Tide; Chlorophyll; Kerguelen Plateau</t>
  </si>
  <si>
    <t>NATURAL IRON FERTILIZATION; SOUTHERN-OCEAN; ISLANDS; SEAWIFS; WATERS; SCALE; TIDES</t>
  </si>
  <si>
    <t>A unique phytoplankton bloom appears every year during the austral spring/summer in the northern Kerguelen Plateau region. The Kerguelen Ocean and Plateau compared Study (KEOPS) showed that an increase in subsurface iron coming up from the seafloor through vertical mixing was responsible for the observed increase in chlorophyll-a above the plateau. We demonstrate that the bloom pattern is not a simple increase of biomass over shallow water: it is strongly influenced by the bathymetry and its spatial extent controlled by strong currents around the plateau. Here we focus on lateral mixing process to explain the particular shape of the bloom. We use the Smagorinsky [1963. General circulation experiments with the primitive equations. 1. The basic experiment. Monthly Weather Review 91 (3), 99-164] formula to estimate and map fields of lateral mixing time scales (T) due to barotropic tidal currents, barotropic atmospheric forced currents, Ekman velocities and geostrophic velocities. Results show that short time scale mixing is strongly influenced by the tides while the other processes have minor influences. Comparisons of tau and satellite chlorophyll-a images show that the spatial pattern of the bloom seems to be delimited by a barrier of high lateral mixing that is essentially due to tides. This emphasises the role played by the tides over the Kerguelen Plateau in supplying iron to the phytoplankton and containing the horizontal shape of the bloom. This is one of the first times such a link has been demonstrated, which has implications for the study of iron advection in the ocean. (C) 2009 Elsevier Ltd. All rights reserved.</t>
  </si>
  <si>
    <t>[Maraldi, Claire; Testut, Laurent] LEGOS, F-31400 Toulouse, France; [Mongin, Mathieu; Coleman, Richard] Antarctic Climate &amp; Ecosyst CRC, Hobart, Tas 7001, Australia; [Coleman, Richard] Univ Tasmania, Ctr Marine Sci, Hobart, Tas 7001, Australia; [Coleman, Richard] CSIRO Marine &amp; Atmospher Res, Hobart, Tas 7001, Australia</t>
  </si>
  <si>
    <t>Universite de Toulouse; Universite Toulouse III - Paul Sabatier; Centre National de la Recherche Scientifique (CNRS); Institut de Recherche pour le Developpement (IRD); Laboratoire d'Etudes en Geophysique et oceanographie spatiales; University of Tasmania; University of Tasmania; Commonwealth Scientific &amp; Industrial Research Organisation (CSIRO)</t>
  </si>
  <si>
    <t>Maraldi, C (corresponding author), LEGOS, 14 Ave Edouard Belin, F-31400 Toulouse, France.</t>
  </si>
  <si>
    <t>Claire.Maraldi@Legos.obs-mip.fr</t>
  </si>
  <si>
    <t>mongin, mathieu/G-4169-2015; Coleman, Richard/H-4425-2012</t>
  </si>
  <si>
    <t>mongin, mathieu/0000-0001-9647-0530; Coleman, Richard/0000-0002-9731-7498; Testut, Laurent/0000-0002-3969-2919</t>
  </si>
  <si>
    <t>Australian Commonwealth Cooperative Research Centers Program through the Antarctic Climate Ecosystems CRC</t>
  </si>
  <si>
    <t>Australian Commonwealth Cooperative Research Centers Program through the Antarctic Climate Ecosystems CRC(Australian GovernmentDepartment of Industry, Innovation and ScienceCooperative Research Centres (CRC) Programme)</t>
  </si>
  <si>
    <t>We thank the ECWMF centre for the pressure fields and the 10 m altitude wind speed fields. We especially thank Young-Hyang Park for providing us with the two ADCP data sets. Mathieu Mongin acknowledges support from the Australian Commonwealth Cooperative Research Centers Program through the Antarctic Climate &amp; Ecosystems CRC.</t>
  </si>
  <si>
    <t>10.1016/j.dsr.2008.12.018</t>
  </si>
  <si>
    <t>WOS:000266760500008</t>
  </si>
  <si>
    <t>Turner, JR; White, EM; Collins, MA; Partridge, JC; Douglas, RH</t>
  </si>
  <si>
    <t>Turner, J. R.; White, E. M.; Collins, M. A.; Partridge, J. C.; Douglas, R. H.</t>
  </si>
  <si>
    <t>Vision in lanternfish (Myctophidae): Adaptations for viewing bioluminescence in the deep-sea</t>
  </si>
  <si>
    <t>Visual pigments; Bioluminescence; Lanternfish; Myctophidae; Spectral sensitivity; Visualisation distance</t>
  </si>
  <si>
    <t>VISUAL PIGMENTS; PHOTOSENSITIVE PIGMENTS; OCEANIC WATERS; OCULAR MEDIA; DRAGON FISH; DARK NOISE; SENSITIVITY; RHODOPSIN; SPECTRA; ECOLOGY</t>
  </si>
  <si>
    <t>The sensitivity hypothesis seeks to explain the correlation between the wavelength of visual pigment absorption maxima (lambda(max)) and habitat type in fish and other marine animals in terms of the maximisation of photoreceptor photon catch. In recent years its legitimacy has been called into question as studies have either not tested data against the output of a predictive model or are confounded by the wide phylogeny of species used. We have addressed these issues by focussing on the distribution of lambda(max) values in one family of marine teleosts, the lanternfish (Myctophidae). Visual pigment extract spectrophotometry has shown that 54 myctophid species have a single pigment in their retinae with a lambda(max) falling within the range 480-492 rim. A further 4 species contain two visual pigments in their retinae. The spectral distribution of these visual pigments seems relatively confined when compared to other mesopelagic fishes. Mathematical modelling based on the assumptions of the sensitivity hypothesis shows that, contrary to the belief that deep-sea fishes' visual pigments are shortwave shifted to maximise their sensitivity to downwelling sunlight, the visual pigments of myctophids instead seem better placed for the visualisation of bioluminescence. The predicted maximum visualisation distance of a blue/green bioluminescent point source by a myctophid was up to 30 m under ideal conditions. Two species (Myctophum nitidulum and Bolinichthys longipes) have previously been shown to have longwave-shifted spectral sensitivities and we show that they could theoretically detect stomiid far-red bioluminescence from as far as ca. 7 m. (C) 2009 Elsevier Ltd. All rights reserved.</t>
  </si>
  <si>
    <t>[Turner, J. R.; White, E. M.; Partridge, J. C.] Univ Bristol, Sch Biol Sci, Bristol BS8 1UG, Avon, England; [Collins, M. A.] British Antarctic Survey, Cambridge CB3 0ET, England; [Douglas, R. H.] City Univ London, Dept Optometry &amp; Visual Sci, London EC1V 0HB, England</t>
  </si>
  <si>
    <t>University of Bristol; UK Research &amp; Innovation (UKRI); Natural Environment Research Council (NERC); NERC British Antarctic Survey; City University London</t>
  </si>
  <si>
    <t>Turner, JR (corresponding author), Univ Bristol, Sch Biol Sci, Woodland Rd, Bristol BS8 1UG, Avon, England.</t>
  </si>
  <si>
    <t>jonny.turner@bristol.ac.uk</t>
  </si>
  <si>
    <t>Collins, Martin A/J-8560-2017; , Martin/ABE-6728-2020; Partridge, Julian/F-2097-2014</t>
  </si>
  <si>
    <t>, Martin/0000-0001-7132-8650; Partridge, Julian/0000-0003-3788-2900</t>
  </si>
  <si>
    <t>NERC; Royal Society; BMBF; Natural Environment Research Council [bas010017] Funding Source: researchfish; NERC [bas010017] Funding Source: UKRI</t>
  </si>
  <si>
    <t>NERC(UK Research &amp; Innovation (UKRI)Natural Environment Research Council (NERC)); Royal Society(Royal Society); BMBF(Federal Ministry of Education &amp; Research (BMBF)); Natural Environment Research Council(UK Research &amp; Innovation (UKRI)Natural Environment Research Council (NERC)); NERC(UK Research &amp; Innovation (UKRI)Natural Environment Research Council (NERC))</t>
  </si>
  <si>
    <t>Much of this work was funded by grants from NERC and the Royal Society. We acknowledge BMBF for funding FS Sonne and the NERC Antarctic Funding Initiative for funding RRS JCR. We are also indebted to the following people for their scientific advice and practical support at sea: Steve Doolan and Lucy Peddar for help with visual pigments analysis, Innes Cuthill for help and advice on statistics, the masters and crews of the FS Sonne and RRS James Clark Ross and especially the principal scientists on the FS Sonne (Ernst Fluh, Willi Weinrebe and Jochen Wagner).</t>
  </si>
  <si>
    <t>10.1016/j.dsr.2009.01.007</t>
  </si>
  <si>
    <t>WOS:000266760500011</t>
  </si>
  <si>
    <t>Orsi, AH; Wiederwohl, CL</t>
  </si>
  <si>
    <t>Orsi, Alejandro H.; Wiederwohl, Christina L.</t>
  </si>
  <si>
    <t>A recount of Ross Sea waters</t>
  </si>
  <si>
    <t>Ross Sea; Circulation; Stratification; Census; Climatology</t>
  </si>
  <si>
    <t>SHELF WATER; WILKES-LAND; CIRCULATION; MASSES; ICE; STRATIFICATION; OCEAN</t>
  </si>
  <si>
    <t>Oceanographic observations within the Ross Sea have grown dramatically in recent years, both in number and quality. This has prompted a parallel recount of the circulation and structure of all water masses in the southwestern continental margins of the Pacific Ocean. A high-resolution set of horizontal property distributions was combined into a new climatology, which in turn is the basis of a fine volumetric theta-S census of all Ross Sea water masses. Inshore of the shelf break (700 m isobath) the Ross Sea volume (25 x 10(4) km(3)) partitioning into layers of neutral density (gamma(n)) is: 25% in the top layer (gamma(n) &lt; 28.00 kg m(-3)) of Antarctic Surface Water (AASW), 22% in the middle layer (28.00 kg m(-3) &lt; gamma(n) &lt; 28.27 kg m(-3)) of oceanic thermocline water (12%) and Modified Circumpolar Deep Water (MCDW; 10%), and 53% in the bottom layer (gamma(n) &gt; 28.27 kg m(-3)) of Shelf Water (SW, theta &lt; -1.85 degrees C; 31%) and its modified form (MSW, theta &gt; -1.85 degrees C; 22%), precursor of the Antarctic Bottom Water (AABW) offshore. AASW flows westward along the outer shelf and southward along the eastern coast past Cape Colbeck. Oceanic thermocline waters (28.00 kg m(-3) &lt; gamma(n) &lt; 28.10 kg m(-3)) cross the shelf break west of 170 degrees W and follow southward paths along banks, shoaling progressively to near the sea surface of the central and western inner shelves. Winter buoyancy loss converts AASW and oceanic thermocline water into denser types of MCDW and SW, which move cyclonically toward the sills of major troughs. The census shows a continuous mode of relatively dense MCDW (28.10 kg m(-3) &lt; gamma(n) &lt; 28.27 kg m(-3)) directly linked to the Circumpolar Deep Water (CDW) offshore, effectively ventilating and freshening the deep ocean at levels below the salinity maximum and above AABW. MCDW outflows from the Ross Sea shelf are traced to the Antarctic Circumpolar Current: near 155 degrees E, into the Australian-Antarctic Basin, along the northern flank of the Southwest Pacific Ridge, and to near 135 degrees W, past the eastern end of the Ross Gyre. Two sources of salty SW are inferred near the coastal polynyas in the Terra Nova Bay and western Ross Ice Shelf areas. The latter contributes to a major outflow of Ice SW that reaches the shelf break along 180 degrees. Vertical mixing of MCDW and SW produce MSW over the shelf, continuing over the sills as new AABW. Export of low salinity AABW (S&lt;34.70) is common to all shelves showing SW (west of 170 degrees W), but salty AABW only outflows the Joides and Drygalski troughs. (C) 2008 Elsevier Ltd. All rights reserved.</t>
  </si>
  <si>
    <t>[Orsi, Alejandro H.; Wiederwohl, Christina L.] Texas A&amp;M Univ, Dept Oceanog, College Stn, TX 77843 USA</t>
  </si>
  <si>
    <t>Orsi, AH (corresponding author), Texas A&amp;M Univ, Dept Oceanog, College Stn, TX 77843 USA.</t>
  </si>
  <si>
    <t>aorsi@tamu.edu</t>
  </si>
  <si>
    <t>National Science Foundation, Office of Polar Programs [OPP-0125084, ANT-0440657]</t>
  </si>
  <si>
    <t>National Science Foundation, Office of Polar Programs(National Science Foundation (NSF))</t>
  </si>
  <si>
    <t>Support for this work was provided by the National Science Foundation, Office of Polar Programs grants to Texas A&amp;M University for data collection (OPP-0125084) and analysis (ANT-0440657).</t>
  </si>
  <si>
    <t>10.1016/j.dsr2.2008.10.033</t>
  </si>
  <si>
    <t>466VG</t>
  </si>
  <si>
    <t>WOS:000267690800002</t>
  </si>
  <si>
    <t>Gordon, AL; Orsi, AH; Muench, R; Huber, BA; Zambianchi, E; Visbeck, M</t>
  </si>
  <si>
    <t>Gordon, Arnold L.; Orsi, Alejandro H.; Muench, Robin; Huber, Bruce A.; Zambianchi, Enrico; Visbeck, Martin</t>
  </si>
  <si>
    <t>Western Ross Sea continental slope gravity currents</t>
  </si>
  <si>
    <t>Ross Sea; Southern Ocean; Water masses; Oceanic boundary layer; Oceanic fronts; Oceanic currents</t>
  </si>
  <si>
    <t>BOTTOM WATER PRODUCTION; ATLANTIC DEEP-WATER; DENSE WATER; ICE SHELF; CIRCULATION; OUTFLOW; THERMOBARICITY; TEMPERATURE; ENTRAINMENT; HYDROGRAPHY</t>
  </si>
  <si>
    <t>Antarctic Bottom Water of the world ocean is derived from dense Shelf Water that is carried downslope by gravity currents at specific sites along the Antarctic margins. Data gathered by the AnSlope and CLIMA programs reveal the presence of energetic gravity currents that are formed over the western continental slope of the Ross Sea when High Salinity Shelf Water exits the shelf through Drygalski Trough. Joides Trough, immediately to the east, offers an additional escape route for less saline Shelf Water, while the Glomar Challenger Trough still farther east is a major pathway for export of the once supercooled low-salinity Ice Shelf Water that forms under the Ross Ice Shelf. The Drygalski Trough gravity currents increase in thickness from similar to 100 to similar to 400 m on proceeding downslope from similar to 600 m (the shelf break) to 1200 m (upper slope) sea floor depth, while turning sharply to the west in response to the Coriolis force during their descent. The mean current pathway trends similar to 35 degrees downslope from isobaths. Benthic-layer current and thickness are correlated with the bottom water salinity, which exerts the primary control over the benthic-layer density. A 1-year time series of bottom-water current and hydrographic properties obtained on the slope near the 1000 m isobath indicates episodic pulses of Shelf Water export through Drygalski Trough. These cold (&lt; -1 degrees C), salty (&gt;34.75) pulses correlate with strong downslope bottom flow. Extreme examples occurred during austral summer/fall 2003, comprising concentrated High Salinity Shelf Water (-1.9 degrees C; 34.79) and approaching 1.5 m s(-1) at descent angles as large as similar to 60 degrees relative to the isobaths. Such events were most common during November-May, consistent with a northward shift in position of the dense Shelf Water during austral summer. The coldest, saltiest bottom water was measured from mid-April to mid-May 2003. The summer/fall export of High Salinity Shelf Water observed in 2004 was less than that seen in 2003. This difference, if real, may reflect the influence of the large iceberg C-19 over Drygalski Trough until its departure in mid-May 2003, when there was a marked decrease in the coldest, saltiest gravity current adjacent to Drygalski Trough. Northward transport of cold, saline, recently ventilated Antarctic Bottom Water observed in March 2004 off Cape Adare was similar to 1.7 Sv, including similar to 0.4 Sv of High Salinity Shelf Water. (C) 2008 Published by Elsevier Ltd.</t>
  </si>
  <si>
    <t>[Gordon, Arnold L.; Huber, Bruce A.] Lamont Doherty Earth Observ, Palisades, NY 10964 USA; [Orsi, Alejandro H.] Texas A&amp;M Univ, Dept Oceanog, College Stn, TX 77843 USA; [Muench, Robin] Earth &amp; Space Res, Seattle, WA 98121 USA; [Zambianchi, Enrico] Univ Napoli Parthenope, Dipartimento Sci Ambiente, Ctr Direz, I-80143 Naples, Italy; [Visbeck, Martin] Leibniz Inst Meereswissensch IFM GEOMAR, D-24105 Kiel, Germany</t>
  </si>
  <si>
    <t>Columbia University; Texas A&amp;M University System; Texas A&amp;M University College Station; Parthenope University Naples; Helmholtz Association; GEOMAR Helmholtz Center for Ocean Research Kiel</t>
  </si>
  <si>
    <t>Gordon, AL (corresponding author), Lamont Doherty Earth Observ, Palisades, NY 10964 USA.</t>
  </si>
  <si>
    <t>agordon@ldeo.columbia.edu</t>
  </si>
  <si>
    <t>Visbeck, Martin/G-2461-2011; zambianchi, enrico/KGK-8209-2024; Visbeck, Martin H/B-6541-2016; Gordon, Arnold L./H-1049-2011</t>
  </si>
  <si>
    <t>Visbeck, Martin/0000-0002-0844-834X; zambianchi, enrico/0000-0001-5474-7466; Visbeck, Martin H/0000-0002-0844-834X; Huber, Bruce/0000-0001-6413-1614; Gordon, Arnold L./0000-0001-6480-6095</t>
  </si>
  <si>
    <t>National Science Foundation (NSF) [OPP 01-25172, OPP-0440823, ANT-0538148, OPP-01256023, ANT-0440656, OPP-0125084, OPP-0440657]; Office of Naval Research to Earth Space Research [N00014-03-1-0067]</t>
  </si>
  <si>
    <t>National Science Foundation (NSF)(National Science Foundation (NSF)); Office of Naval Research to Earth Space Research(Office of Naval Research)</t>
  </si>
  <si>
    <t>The AnSlope program was supported by the National Science Foundation (NSF) grants to Lamont-Doherty Earth Observatory of Columbia University OPP 01-25172 for the AnSlope data collection phase, OPP-0440823 and ANT-0538148 for the data analysis phase; by NSF grants OPP-01256023 and ANT-0440656 to Earth &amp; Space Research; grant N00014-03-1-0067 from the Office of Naval Research to Earth &amp; Space Research; and NSF grants OPP-0125084 and OPP-0440657 to Texas A&amp;M University. Comments from reviewers Keith Nicholls and Andreas Macrander, who deserves special credit for doing the entire review while at sea, were very constructive and have greatly improved the presentation. A. Gordon prepared this manuscript while on a Columbia University sabbatical leave at the Consiglio Nazionale delle Ricerche Istituto di Scienze dell'Atmosfera e Del Clima (ISAC), Tor Vergata, Italy. Rosalia Santoleri, Enrico Zambianchi, Francesco Bignami and Emanuele Bohm made his visit at ISAC both enjoyable and productive. Lamont-Doherty Earth Observatory contribution number 7185; ESR contribution number 95.</t>
  </si>
  <si>
    <t>10.1016/j.dsr2.2008.10.037</t>
  </si>
  <si>
    <t>WOS:000267690800003</t>
  </si>
  <si>
    <t>Padman, L; Howard, SL; Orsi, AH; Muench, RD</t>
  </si>
  <si>
    <t>Padman, Laurie; Howard, Susan L.; Orsi, Alejandro H.; Muench, Robin D.</t>
  </si>
  <si>
    <t>Tides of the northwestern Ross Sea and their impact on dense outflows of Antarctic Bottom Water</t>
  </si>
  <si>
    <t>Antarctic oceanography; Tides; Dense overflow</t>
  </si>
  <si>
    <t>COORDINATE OCEAN MODELS; PRESSURE-GRADIENT FORCE; SOUTHERN WEDDELL SEA; RONNE ICE SHELF; TIDAL CURRENTS; CONTINENTAL-SHELF; BAROTROPIC TIDES; SLOPE FRONT; DIFFERENTIATION; RESOLUTION</t>
  </si>
  <si>
    <t>Moored and depth-profile measurements of hydrography and currents during the 2003-2005 Antarctic Slope (AnSlope) program on the shelf-slope region near Drygalski Trough sill in the northwest Ross Sea have revealed an energetic benthic outflow of cold, dense Antarctic Bottom Water (AABW) produced near the shelf break. This outflow couples dense-water production processes on the continental shelf to ventilation of the global deep ocean. We use time series of bottom pressure and currents on the AnSlope moorings, and a high-resolution, three-dimensional, primitive-equation numerical model, to explore the hypothesis that the tidal currents near the shelf break have a significant impact on outflow volume transport and hydrographic properties. Tidal currents exceed 1 m s(-1) at spring tide over the outer shelf and upper slope. Tidal advection at spring tide carries water parcels similar to 20 km across-slope during a half tidal cycle, sufficient to advect water from northern Drygalski Trough across the sill to the shelf break, or similarly from the shelf break (similar to 500 m water depth) down to the similar to 1600 m isobath. A tidally rectified Lagrangian mean flow of order 0.05-0.1 m s(-1) over the outer shelf and upper slope accompanies the spring tide. Thickness and water mass properties of the benthic layer over the sill and upper slope exhibit pronounced tidal cycles due to advection of hydrographic gradients and to energetic mixing that can extend more than halfway up from the seabed to the ocean surface. Maximum parameterized diapycnal diffusivity in the benthic layer at spring tides approaches 1 m(2) s(-1). The addition of tides has a profound effect on time-averaged outflows of AABW, primarily through an increase in benthic layer thickness during spring tide. Downslope volume fluxes of AABW over the slope, averaged over a tidal cycle, are similar to 2.5 times larger at spring tide than at neap, indicating a need to include the effect of tides in large-scale ocean models attempting to represent shelf water contributions to the global ocean circulation. (C) 2008 Elsevier Ltd. All rights reserved.</t>
  </si>
  <si>
    <t>[Padman, Laurie] Earth &amp; Space Res, Corvallis, OR 97333 USA; [Howard, Susan L.; Muench, Robin D.] Earth &amp; Space Res, Seattle, WA 98121 USA; [Orsi, Alejandro H.] Texas A&amp;M Univ, Dept Oceanog, College Stn, TX 77843 USA</t>
  </si>
  <si>
    <t>Padman, L (corresponding author), Earth &amp; Space Res, 3350 SW Cascade Ave, Corvallis, OR 97333 USA.</t>
  </si>
  <si>
    <t>padman@esr.org</t>
  </si>
  <si>
    <t>Padman, Laurence/AAH-3808-2021</t>
  </si>
  <si>
    <t>Padman, Laurence/0000-0003-2010-642X; Howard, Susan/0000-0002-9183-0178</t>
  </si>
  <si>
    <t>National Science Foundation [OPP-01256023, ANT-0440656, OPP-0125084, ANT-0440657]; Office of Naval Research [N00014-03-1-0067, N00014-08-1-0548]</t>
  </si>
  <si>
    <t>National Science Foundation(National Science Foundation (NSF)); Office of Naval Research(Office of Naval Research)</t>
  </si>
  <si>
    <t>This study was funded by grants OPP-01256023 and ANT-0440656 to ESR, and OPP-0125084 and ANT-0440657 to TAMU, from the National Science Foundation, Office of Polar Programs and grants N00014-03-1-0067 and N00014-08-1-0548 from the Office of Naval Research. We thank G. Egbert and S. Erofeeva for their important contributions to our Antarctic barotropic tide modeling program and David Sandwell for providing the updated bathymetry ETOP09.1. Detailed and constructive comments from Mike Dinniman, Hartmut Hellmer, Eric Kunze and Keith Makinson greatly improved the manuscript. This is ESR contribution number 94.</t>
  </si>
  <si>
    <t>10.1016/j.dsr2.2008.10.026</t>
  </si>
  <si>
    <t>WOS:000267690800004</t>
  </si>
  <si>
    <t>Visbeck, M; Thurnherr, AM</t>
  </si>
  <si>
    <t>Visbeck, Martin; Thurnherr, Andreas M.</t>
  </si>
  <si>
    <t>High-resolution velocity and hydrographic observations of the Drygalski Trough gravity plume</t>
  </si>
  <si>
    <t>Antarctic Bottom Water formation; Gravity current; Mixing</t>
  </si>
  <si>
    <t>ACOUSTIC BACKSCATTER; TURBULENCE; WATER</t>
  </si>
  <si>
    <t>During the second cruise of the AnSlope project, the hydrography and velocity fields within a descending gravity plume in the northwestern Ross Sea Shelf area were sampled at high resolution. The observations give insights into small-scale fluctuations of the three-dimensional velocity field in and around the core of a strong gravity current, associated with peak velocities close to 2 m/s. There are two distinct layers of high acoustic backscatter (at 300 kHz) near the seabed associated with increased velocity variance and Richardson numbers near 0.25, suggesting that the high backscatter is caused by increased levels of turbulence resulting in increased acoustic Bragg scattering. (C) 2008 Elsevier Ltd. All rights reserved.</t>
  </si>
  <si>
    <t>[Visbeck, Martin] IFM GEOMAR, Leibniz Inst Meereswissensch, D-24105 Kiel, Germany; [Thurnherr, Andreas M.] Lamont Doherty Earth Observ, Palisades, NY USA</t>
  </si>
  <si>
    <t>Helmholtz Association; GEOMAR Helmholtz Center for Ocean Research Kiel; Columbia University</t>
  </si>
  <si>
    <t>Visbeck, M (corresponding author), IFM GEOMAR, Leibniz Inst Meereswissensch, Dusternbrooker Weg 20, D-24105 Kiel, Germany.</t>
  </si>
  <si>
    <t>mvisbeck@ifm-geomar.de</t>
  </si>
  <si>
    <t>Visbeck, Martin H/B-6541-2016; Visbeck, Martin/G-2461-2011</t>
  </si>
  <si>
    <t>Visbeck, Martin H/0000-0002-0844-834X; Visbeck, Martin/0000-0002-0844-834X; Thurnherr, Andreas/0000-0002-1977-7122</t>
  </si>
  <si>
    <t>National Science Foundation [OPP 01-25172, OPP-0440823]</t>
  </si>
  <si>
    <t>Funding was provided by National Science Foundation Grants OPP 01-25172 for data collection and OPP-0440823 for the analysis.</t>
  </si>
  <si>
    <t>10.1016/j.dsr2.2008.10.029</t>
  </si>
  <si>
    <t>WOS:000267690800005</t>
  </si>
  <si>
    <t>Capello, M; Budillon, G; Cutroneo, L; Tucci, S</t>
  </si>
  <si>
    <t>Capello, Marco; Budillon, Giorgio; Cutroneo, Laura; Tucci, Sergio</t>
  </si>
  <si>
    <t>The nepheloid bottom layer and water masses at the shelf break of the western Ross Sea</t>
  </si>
  <si>
    <t>Nepheloid layers; Turbidity; Re-suspension phenomena; Water masses; Ross Sea</t>
  </si>
  <si>
    <t>SUSPENDED PARTICULATE MATTER; DENSITY CURRENTS; TRANSPORT; DYNAMICS; PATTERNS; FLUXES; MARGIN; CARBON; EXPORT; MODEL</t>
  </si>
  <si>
    <t>In the austral summers of 2000/2001 and 2002/2003 the Italian CLIMA Project carried out two oceanographic cruises along the northwestern margin of the Ross Sea, where the Antarctic Bottom Water forms. Here there is an interaction between the water masses on the sea floor of the outer shelf and slope with a consequent evolution of benthic nepheloid layers and an increase in total particulate matter. We observed three different situations: (a) the presence of triads (bottom structures characterized by a concomitant jump in turbidity, temperature, and salinity data) and high re-suspension phenomena related to the presence of the Circumpolar Deep Water and its mixing with cold, salty shelf waters associated with gravity currents; (b) the absence of triads with high re-suspension, implying that when the gravity currents are no longer active the benthic nepheloid layer may persist until the suspended particles settle to the sea floor, suggesting that the turbidity data can be used to study recent gravity current events; and (c) the absence of turbidity and sediment re-suspension phenomena supports the theory that a steady situation had been re-established and the current interaction no longer occurred or had finished sometime before. (C) 2008 Elsevier Ltd. All rights reserved.</t>
  </si>
  <si>
    <t>[Capello, Marco; Cutroneo, Laura; Tucci, Sergio] Univ Genoa, Dipartimento Studio Terr &amp; Risorse, I-16132 Genoa, Italy; [Budillon, Giorgio] Univ Naples Parthenope, Dipartimento Sci Ambiente, I-80133 Naples, Italy</t>
  </si>
  <si>
    <t>University of Genoa; Parthenope University Naples</t>
  </si>
  <si>
    <t>Capello, M (corresponding author), Univ Genoa, Dipartimento Studio Terr &amp; Risorse, Corso Europa 26, I-16132 Genoa, Italy.</t>
  </si>
  <si>
    <t>capello@dipteris.unige.it</t>
  </si>
  <si>
    <t>Budillon, Giorgio/O-5348-2014</t>
  </si>
  <si>
    <t>Budillon, Giorgio/0000-0003-1756-2221; CAPELLO, MARCO/0000-0003-4048-7557; Cutroneo, Laura/0000-0002-5480-419X</t>
  </si>
  <si>
    <t>Italian National Program for Research in Antarctica (CLIMA project); ENEA</t>
  </si>
  <si>
    <t>Italian National Program for Research in Antarctica (CLIMA project); ENEA(ENEA, Italy)</t>
  </si>
  <si>
    <t>We thank Paul Nixon for his help in this paper. The constructive comments and suggestions of the Guest Editors, Arnold L. Gordon and Laurie Padman, and the two anonymous refefees greatly improved this manuscript. This study was carried out as part of the Italian National Program for Research in Antarctica (CLIMA project) and was financially supported by ENEA through a joint research program.</t>
  </si>
  <si>
    <t>10.1016/j.dsr2.2008.10.032</t>
  </si>
  <si>
    <t>WOS:000267690800006</t>
  </si>
  <si>
    <t>Baines, PG</t>
  </si>
  <si>
    <t>Baines, Peter G.</t>
  </si>
  <si>
    <t>A model for the structure of the Antarctic Slope Front</t>
  </si>
  <si>
    <t>Antarctic coastal oceanography; Internal tides; Oceanic fronts; Downslope flows</t>
  </si>
  <si>
    <t>WATER MASSES; STRATIFIED ENVIRONMENTS; DOWNSLOPE FLOWS; WEDDELL SEA; CIRCULATION; OCEAN; GENERATION; PLUMES; FLUID</t>
  </si>
  <si>
    <t>The Antarctic Slope Front is an oceanic front that appears to be a semi-permanent feature situated above or near long sections of the shelf break of the Antarctic continental shelf. These sections include the shelf break of the Ross and Weddell Seas. It is distinguished by a V-shaped structure, unique to coastal Antarctica, in which isopycnals slope downward from near the surface on both the shallow (continental shelf) and the deep (continental slope) sides, toward the bottom near the upper part of the slope. In the regions where it is observed, the overflow of dense water from the shelf down the slope is observed or presumed to occur. Such overflows entrain fluid from the overlying stratified environment into the downflow, and this entrainment acts as a distributed sink of the overlying fluid. A model of this frontal structure is constructed here, consisting of the downslope flow modelled as a plume, and the overlying fluid governed by quasi-geostrophic dynamics, with the effect of the plume on the latter being represented by a suitable distribution of sinks. The alongslope currents follow from geostrophy and potential vorticity conservation. Two distinct flow regimes are found. In the first regime, a realistic depiction of the two-sided V-shaped structure is obtained, where most of the fluid flowing off the shelf enters the downflow at the top of the slope constituting the shallow side of the V, and fluid from offshore enters the deep side of the V. Alongslope flow in this region is mostly eastward. In the second regime, where most of the fluid flowing off the shelf passes over the downflow, only the shallow side of the V is present, and alongslope flow is westward near the shelf break and eastward further offshore. (C) 2008 Elsevier Ltd. All rights reserved.</t>
  </si>
  <si>
    <t>[Baines, Peter G.] Univ Melbourne, Dept Civil &amp; Environm Engn, Melbourne, Vic 3010, Australia; [Baines, Peter G.] QUEST, Dept Earth Sci, Bristol BS8 1RJ, Avon, England</t>
  </si>
  <si>
    <t>Baines, PG (corresponding author), Univ Melbourne, Dept Civil &amp; Environm Engn, Melbourne, Vic 3010, Australia.</t>
  </si>
  <si>
    <t>p.baines@unimelb.edu.au</t>
  </si>
  <si>
    <t>10.1016/j.dsr2.2008.10.030</t>
  </si>
  <si>
    <t>WOS:000267690800007</t>
  </si>
  <si>
    <t>Iveson, JB; Shellam, GR; Bradshaw, SD; Smith, DW; Mackenzie, JS; Mofflin, RG</t>
  </si>
  <si>
    <t>Iveson, J. B.; Shellam, G. R.; Bradshaw, S. D.; Smith, D. W.; Mackenzie, J. S.; Mofflin, R. G.</t>
  </si>
  <si>
    <t>Salmonella infections in Antarctic fauna and island populations of wildlife exposed to human activities in coastal areas of Australia</t>
  </si>
  <si>
    <t>EPIDEMIOLOGY AND INFECTION</t>
  </si>
  <si>
    <t>Antarctica; epizootics; salmonellosis; wildlife; zoonoses</t>
  </si>
  <si>
    <t>CALIFORNIA COAST; SEA LIONS; PENGUINS; ENTERITIDIS; SEROTYPES; WATERS; TRANSMISSION; VECTORS; FECES; SHEEP</t>
  </si>
  <si>
    <t>Salmonella infections in Antarctic wildlife were first reported in 1970 and in a search for evidence linking isolations with exposure to human activities, a comparison was made of serovars reported from marine fauna in the Antarctic region from 1982-2004 with those from marine mammals in the Northern hemisphere. This revealed that 10 (83%) Salmonella enterica serovars isolated from Antarctic penguins and seals were classifiable in high-frequency (HF) quotients for serovars prevalent in humans and domesticated animals. In Australia. 16 (90%) HF serovars were isolated from marine birds and mammals compared with 12 (86%) HF serovars reported from marine mammals in the Northern hemisphere. In Western Australia, HF serovars from marine species were also recorded in humans, livestock, mussels, effluents and island populations of wildlife in urban coastal areas. Low-frequency S. enterica serovars were rarely detected in humans and not detected in seagulls or marine species. The isolation of S. Enteritidis phage type 4 (PT4), PT8 and PT23 strains from Adelie penguins and a diversity of HF serovars reported from marine fauna in the Antarctic region and coastal areas of Australia, signal the possibility of transient serovars and endemic Salmonella strains recycling back to humans from southern latitudes in marine foodstuffs and feed ingredients.</t>
  </si>
  <si>
    <t>[Iveson, J. B.; Smith, D. W.; Mofflin, R. G.] PathWest Lab Med WA, Nedlands, WA 6009, Australia; [Shellam, G. R.] Univ Western Australia, Dept Microbiol, Nedlands, WA 6009, Australia; [Bradshaw, S. D.] Univ Western Australia, Sch Anim Biol, Perth, WA 6009, Australia; [Bradshaw, S. D.] Univ Western Australia, Ctr Native Anim Res, Perth, WA 6009, Australia; [Mackenzie, J. S.] Curtin Univ Technol, Australian Biosecur CRC, Perth, WA, Australia</t>
  </si>
  <si>
    <t>University of Western Australia; University of Western Australia; University of Western Australia; Curtin University</t>
  </si>
  <si>
    <t>Iveson, JB (corresponding author), PathWest Lab Med WA, QEII Med Ctr Site, Nedlands, WA 6009, Australia.</t>
  </si>
  <si>
    <t>ivendt@iprimus.com.au</t>
  </si>
  <si>
    <t>/S-4986-2019</t>
  </si>
  <si>
    <t>/0000-0002-5918-2190; Bradshaw, Sidney/0000-0001-9068-4060</t>
  </si>
  <si>
    <t>Terres Australes et Antarctiques Francaises (Government of France); Health Department of Western Australia, University of Western Australia; Department of Zoology, University of Western Australia</t>
  </si>
  <si>
    <t>Investigations at Cape Denison. Macquarie Island and Heard Island were conducted under the auspices of the Australian National Antarctic Research Expeditions (ANARE) and on Crozet and Kerguelen Islands with a grant and support from Terres Australes et Antarctiques Francaises (Government of France). Sampling and laboratory processing of specimens collected in Antarctica and coastal areas of Australia were funded jointly by the Health Department of Western Australia and the Department of Zoology, University of Western Australia. The authors acknowledge with gratitude Ross Vining and William Blunt, team members of Operation Blizzard and Steve Tramont for collection of samples at Cape Denison and Heard Island, and Grahame Budd who collected samples on Crozet and Kerguelen Islands; Hugh Jones for his contribution. Chris Dickman for the collection of samples from Boullanger Island and Richard Curtis for laboratory and field work at the former Public Health Enteric Diseases Unit, Western Australia. The authors thank Dr Diane Lightfoot of the Microbiological Diagnostic Unit, University of Melbourne, Victoria for phage typing S. Enteritidis strains. Joan Powling for information from the NEPSS Annual Reports, Chris Murray from the National Salmonella Reference Laboratory, Adelaide, for confirming S. enterica serovars, and Robyn Wylie and Diane Nielson for assistance with the manuscript and reference reports.</t>
  </si>
  <si>
    <t>0950-2688</t>
  </si>
  <si>
    <t>1469-4409</t>
  </si>
  <si>
    <t>EPIDEMIOL INFECT</t>
  </si>
  <si>
    <t>Epidemiol. Infect.</t>
  </si>
  <si>
    <t>10.1017/S0950268808001222</t>
  </si>
  <si>
    <t>Public, Environmental &amp; Occupational Health; Infectious Diseases</t>
  </si>
  <si>
    <t>454BJ</t>
  </si>
  <si>
    <t>WOS:000266656300013</t>
  </si>
  <si>
    <t>Haig, AJ; Im, J; Adewole, A; Nelson, VS; Krabak, B</t>
  </si>
  <si>
    <t>Haig, A. J.; Im, J.; Adewole, A.; Nelson, V. S.; Krabak, B.</t>
  </si>
  <si>
    <t>The practice of physical medicine and rehabilitation in subSaharan Africa and Antarctica: a white paper or a black mark?</t>
  </si>
  <si>
    <t>EUROPEAN JOURNAL OF PHYSICAL AND REHABILITATION MEDICINE</t>
  </si>
  <si>
    <t>Physical medicine; Rehabilitation; Africa; Antarctic regions; Health policy; Government programs</t>
  </si>
  <si>
    <t>EUROPE; BOOK</t>
  </si>
  <si>
    <t>Aim. The medical specialty of physical medicine and rehabilitation (PM&amp;R) has had a proven impact on persons with disability and on healthcare systems. Documents such as The White Book on Physical and Rehabilitation Medicine in Europe have been important in defining the scope of practice within various regions. However on some continents the practice has not been well defined. The aim of this paper was to explore the practice of PM&amp;R in subSaharan Africa and Antarctica. Methods. Medline searches, membership data searches, fax survey of medical schools, Internet searches, and interviews with experts. Results. The continents are dissimilar in terms of climate and government; However, both Antarctica and subSaharan Africa have no PM&amp;R training programs, no professional organizations, no specialty board requirements, and no practicing physicians in the field. Since there are no known disabled children on Antarctica and adults are airlifted to world-class health care, the consequences of this deficit are minimal there. However the 788 000 000 permanent residents of subSaharan Africa including approximately 78 million persons with disability are left unserved. Conclusion. Antarctica is doing fine. Africa is in a crisis. Local medical schools, hospitals doctors, and persons with disability; along with foreign volunteers, aid groups, and policymakers can impact the crisis. However government-specifically national ministries of health-is ultimately responsible for the health and wellbeing of citizens.</t>
  </si>
  <si>
    <t>[Haig, A. J.; Nelson, V. S.] Univ Michigan, Dept Phys Med &amp; Rehabil, Ann Arbor, MI 48108 USA; [Im, J.] Wayne State Univ, Coll Liberal Arts &amp; Sci, Detroit, MI USA; [Krabak, B.] Univ Washington, Dept Rehabil Med, Seattle, WA 98195 USA; [Adewole, A.] SOS Int, Accra, Ghana</t>
  </si>
  <si>
    <t>University of Michigan System; University of Michigan; Wayne State University; University of Washington; University of Washington Seattle</t>
  </si>
  <si>
    <t>Haig, AJ (corresponding author), Univ Michigan, Dept Phys Med &amp; Rehabil, 325 E Eisenhower, Ann Arbor, MI 48108 USA.</t>
  </si>
  <si>
    <t>andyhaig@umich.edu</t>
  </si>
  <si>
    <t>EDIZIONI MINERVA MEDICA</t>
  </si>
  <si>
    <t>TURIN</t>
  </si>
  <si>
    <t>CORSO BRAMANTE 83-85 INT JOURNALS DEPT., 10126 TURIN, ITALY</t>
  </si>
  <si>
    <t>1973-9087</t>
  </si>
  <si>
    <t>1973-9095</t>
  </si>
  <si>
    <t>EUR J PHYS REHAB MED</t>
  </si>
  <si>
    <t>Eur. J. Phys. Rehabil. Med.</t>
  </si>
  <si>
    <t>Rehabilitation</t>
  </si>
  <si>
    <t>461OQ</t>
  </si>
  <si>
    <t>WOS:000267277800004</t>
  </si>
  <si>
    <t>Papa, R; Rippa, V; Duilio, A</t>
  </si>
  <si>
    <t>Papa, Rosanna; Rippa, Valentina; Duilio, Angela</t>
  </si>
  <si>
    <t>Identification of the transcription factor responsible for l-malate-dependent regulation in the marine Antarctic bacterium Pseudoalteromonas haloplanktis TAC125</t>
  </si>
  <si>
    <t>two-component regulatory system; DNA-protein interaction; transcriptional regulation; sigma(54); psychrophile</t>
  </si>
  <si>
    <t>MOLECULAR CHARACTERIZATION; SYSTEM; COLD; EXPRESSION; PROMOTERS; PROTEINS; TAC-125; CLONING</t>
  </si>
  <si>
    <t>Two-component systems are widespread in nature and constitute the most common mechanism of transmembrane signal transduction in bacteria. Recently, a functionally active two-component system consisting of malS and malR genes possibly involved in the expression of a C4-dicarboxylate transporter system (dctAB operon) was identified in the marine Antarctic bacterium Pseudoalteromonas haloplanktis TAC125. In this paper, we performed a functional analysis of the two-component system and demonstrated its involvement in the regulation of the expression of C4-dicarboxylate transporter genes. The expression of the C4-dicarboxylate transporter genes was induced by l-malate with the promoter element located upstream of the dctA gene being active only in the presence of the inducer. A sigma(54) promoter responsible for the l-malate dependent transcription regulation was identified and functionally characterized. The molecular mechanism involves an inverted repeat sequence located upstream the sigma(54) promoter that was shown to bind regulatory proteins only in the presence of l-malate. The protein factor responsible for the induction of the dctAB operon expression was eventually identified as the transcriptional regulatory protein MalR. MalR is the first transcriptional factor identified in P. haloplanktis TAC125 and one of the few transcriptional modulators reported so far in cold adapted bacteria.</t>
  </si>
  <si>
    <t>[Rippa, Valentina; Duilio, Angela] Univ Naples Federico 2, Dept Organ Chem &amp; Biochem, I-80126 Naples, Italy; [Papa, Rosanna] Univ Roma La Sapienza, Dept Publ Hlth Sci, Rome, Italy; [Duilio, Angela] Univ Naples Federico 2, Sch Biotechnol Sci, I-80126 Naples, Italy</t>
  </si>
  <si>
    <t>University of Naples Federico II; Sapienza University Rome; University of Naples Federico II</t>
  </si>
  <si>
    <t>Duilio, A (corresponding author), Univ Naples Federico 2, Dept Organ Chem &amp; Biochem, Complesso Univ Monte St Angelo,Via Cinthia 4, I-80126 Naples, Italy.</t>
  </si>
  <si>
    <t>anduilio@unina.it</t>
  </si>
  <si>
    <t>DUILIO, Angela/0000-0002-6833-1303</t>
  </si>
  <si>
    <t>MURST [PRIN 2003, FIRB 2001]; PNR [Antartide 2004]; Regione Campania [L.R. 05/03]</t>
  </si>
  <si>
    <t>MURST(Ministry of Education, Universities and Research (MIUR)); PNR; Regione Campania(Regione Campania)</t>
  </si>
  <si>
    <t>This work was supported by grants of MURST (PRIN 2003, and FIRB 2001 to Gennaro Marino), of PNR in Antartide 2004 to Gennaro Marino, and of Regione Campania L.R. 05/03.</t>
  </si>
  <si>
    <t>10.1111/j.1574-6968.2009.01589.x</t>
  </si>
  <si>
    <t>446GZ</t>
  </si>
  <si>
    <t>WOS:000266111400006</t>
  </si>
  <si>
    <t>Vega, R; Licandeo, R</t>
  </si>
  <si>
    <t>Vega, Rodrigo; Licandeo, Roberto</t>
  </si>
  <si>
    <t>The effect of American and Spanish longline systems on target and non-target species in the eastern South Pacific swordfish fishery</t>
  </si>
  <si>
    <t>Pelagic longline selectivity; Swordfish; Blue shark; By-catch; Eastern South Pacific</t>
  </si>
  <si>
    <t>SHARK PRIONACE-GLAUCA; XIPHIAS-GLADIUS; CATCH RATES; PELAGIC FISH; BY-CATCH; DEPTH; SEA; BYCATCH; BAIT; GEAR</t>
  </si>
  <si>
    <t>Catch compositions obtained using two different types of commercial surface longlines for swordfish (Xiphias gladius) in the eastern South Pacific were compared. The American (Florida style) system uses polyamide monofilament nylon for the mainline and gangions, whereas the Spanish system consists of polyethylene multifilament with wire in the distal part of the gangion. A total of 37 fishing sets were carried out using both longline types. The amount and diversity of species caught, mainly swordfishes, billfishes, and tunas (Thunnus spp.). was highest with the monofilament longline: however, shark catches were higher with the multifilament longline. The type of longline significantly affected total catch, swordfish catches, and shark catches; total catch and swordfish catch rates were higher with the monofilament longline and shark catch rates higher with the multifilament longline. Moreover, a positive correlation was found between total and swordfish catch rates and the soak time with the monofilament longline, and between shark catch rates and the soak time with the multifilament longline. Significant differences were found in the average length of blue sharks according to the type of fishing gear used: larger specimens were caught on the multifilament longlines. A selectivity effect was also observed, with the multifilament system retaining more specimens exceeding 200 cm in fork length. Generalized additive models were developed to explain swordfish, shark, and teleost catches as a function of seven operational (longline system, soak time, depth, number of light-sticks), spatial (zone), and environmental (sea surface temperature, wind velocity) variables. The final fits of the models explained 68% of the swordfish catches, 38% of the shark catches, and 81% of the teleost catches. The results showed that two operational variables - longline system, soak time - were best able to explain the catches in all the models. The effect of the environmental variables significantly explained swordfish and teleost catches, whereas only wind velocity significantly added to the sharks model. These results show that the use of monofilament leaders in the surface longlines might be an effective way to reduce shark by-catches in the eastern South Pacific swordfish fishery. (C) 2009 Elsevier B.V. All rights reserved.</t>
  </si>
  <si>
    <t>[Vega, Rodrigo] Univ Austral Chile, Inst Ecol &amp; Evoluc, Valdivia, Chile; [Licandeo, Roberto] Univ Concepcion, Dept Oceanog, Concepcion, Chile</t>
  </si>
  <si>
    <t>Universidad Austral de Chile; Universidad de Concepcion</t>
  </si>
  <si>
    <t>Vega, R (corresponding author), Univ Austral Chile, Inst Ecol &amp; Evoluc, Casilla 567, Valdivia, Chile.</t>
  </si>
  <si>
    <t>rodrigovega@uach.cl</t>
  </si>
  <si>
    <t>Vega, Rodrigo M/I-8484-2012; Fennell, Hannah/AAI-1408-2019</t>
  </si>
  <si>
    <t>Licandeo, Roberto/0000-0003-4593-183X</t>
  </si>
  <si>
    <t>Universidad Austral de Chile [AUS 01-11]</t>
  </si>
  <si>
    <t>Universidad Austral de Chile</t>
  </si>
  <si>
    <t>We would like to thank Mr. Isidro Gonzalez captain of the F/V Tami S (Pesquera Omega, Coquimbo, Chile) for their support and invaluable field assistance. We wish to thank Mr. Miguel Cortes for the data collection and all the fishermen who provided assistance to this project. Special thanks are due to Dr. Carlos Moreno (UACH), Dr. Miguel Pardo (UACH), Dr. Graham Roberson (Australian Antarctic Division), Dr. Cesar Cuevas (UACH) for their valuable comments on previous drafts of the manuscript and Renee Reilly (CQFE-ODU) for improving the English text. We also would like to thank the anonymous reviewers for providing critical suggestions resulting in significant improvements of the manuscript. This work was part of Doctorate in Sciences Thesis of the Universidad Austral de Chile (Fellowship MECESUP (AUS 01-11)).</t>
  </si>
  <si>
    <t>1872-6763</t>
  </si>
  <si>
    <t>1-3</t>
  </si>
  <si>
    <t>10.1016/j.fishres.2009.03.010</t>
  </si>
  <si>
    <t>465RQ</t>
  </si>
  <si>
    <t>WOS:000267604900004</t>
  </si>
  <si>
    <t>Boere, AC; Abbas, B; Rijpstra, WIC; Versteegh, GJM; Volkman, JK; Damsté, JSS; Coolen, MJL</t>
  </si>
  <si>
    <t>Boere, A. C.; Abbas, B.; Rijpstra, W. I. C.; Versteegh, G. J. M.; Volkman, J. K.; Damste, J. S. Sinninghe; Coolen, M. J. L.</t>
  </si>
  <si>
    <t>Late-Holocene succession of dinoflagellates in an Antarctic fjord using a multi-proxy approach: paleoenvironmental genomics, lipid biomarkers and palynomorphs</t>
  </si>
  <si>
    <t>GEOBIOLOGY</t>
  </si>
  <si>
    <t>ACE LAKE ANTARCTICA; ELLIS FJORD; VESTFOLD HILLS; ROSS SEA; FAST-ICE; STEROL COMPOSITION; PHYTOPLANKTON SUCCESSION; MARINE DINOFLAGELLATE; POLARELLA-GLACIALIS; SURFACE SEDIMENTS</t>
  </si>
  <si>
    <t>Recent work has shown that paleoenvironmental genomics, i.e. the application of genomic tools to analyze preserved DNA in sedimentary records, is a promising approach to reconstruct the diversity of past planktonic communities. This provides information about past ecological and environmental changes. A major advantage of this approach is that individual species, including those that did not leave other characteristic markers, can be identified. In this study, we determined which dinoflagellate marker (i.e. 18S rDNA, dinosterol or dinocysts) provided the most detailed information about the late-Holocene succession of dinoflagellates in an Antarctic Fjord (Ellis Fjord, Vestfold Hills). The preserved rDNA revealed two intervals in the 2750-year-old sediment record. The dinoflagellate diversity was the highest until similar to 1850 cal yr BP and included phylotypes related to known dinosterol producers. A lower concentration of dinosterol in sediments &lt;1850 cal yr BP coincided with a community shift towards a predominance of the autotrophic sea-ice dinoflagellate Polarella glacialis, which is not a source of dinosterol. Remarkably, cultures of P. glacialis are known to produce other diagnostic sterols, but these were not recovered here. In addition, conspicuous resting cysts of P. glacialis were not preserved in the analyzed sediments. Overall, dinocysts were rare and the paleoenvironmental genomics approach revealed the highest diversity of dinoflagellates in Ellis Fjord, and was the only approach that recorded a shift in dinoflagellate composition at similar to 1850 cal yr BP indicative of a colder climate with more extensive ice cover-this timing coincides with a period of changing climate reported for this region.</t>
  </si>
  <si>
    <t>[Boere, A. C.; Abbas, B.; Rijpstra, W. I. C.; Damste, J. S. Sinninghe; Coolen, M. J. L.] NIOZ, Royal Netherlands Inst Sea Res, Dept Marine Organ Biogeochem, Den Burg, Netherlands; [Versteegh, G. J. M.] Univ Bremen, Dept Organ Geochem, Bremen, Germany; [Volkman, J. K.] CSIRO Marine &amp; Atmospher Res, Hobart, Tas, Australia; [Coolen, M. J. L.] Woods Hole Oceanog Inst, Dept Marine Chem &amp; Geochem, Woods Hole, MA 02543 USA</t>
  </si>
  <si>
    <t>Utrecht University; Royal Netherlands Institute for Sea Research (NIOZ); University of Bremen; Commonwealth Scientific &amp; Industrial Research Organisation (CSIRO); Woods Hole Oceanographic Institution</t>
  </si>
  <si>
    <t>Boere, AC (corresponding author), NIOZ, Royal Netherlands Inst Sea Res, Dept Marine Organ Biogeochem, Den Burg, Netherlands.</t>
  </si>
  <si>
    <t>arjan.boere@nioz.nl</t>
  </si>
  <si>
    <t>Volkman, John K/A-6592-2008; Coolen, Marco J. L./B-8263-2015; Sinninghe Damste, Jaap/F-6128-2011; Versteegh, Gerard J.M./H-2119-2011</t>
  </si>
  <si>
    <t>Coolen, Marco J. L./0000-0002-0417-920X; Sinninghe Damste, Jaap/0000-0002-8683-1854; Versteegh, Gerard J.M./0000-0002-9320-3776</t>
  </si>
  <si>
    <t>Australian Antarctic Science Advisory Committee [1166]; Netherlands Organization for Scientific Research [851.20.006, 813.03.001, 863.04.020]; German Science Foundation [VE486/3-1]</t>
  </si>
  <si>
    <t>Australian Antarctic Science Advisory Committee; Netherlands Organization for Scientific Research(Netherlands Organization for Scientific Research (NWO)); German Science Foundation(German Research Foundation (DFG))</t>
  </si>
  <si>
    <t>We thank Dr Cornelia Wuchter, Peter Thompson and the crew of Australian Antarctic Division for help with obtaining the samples and core, and Anna Noordeloos for providing cultures of A. minutum and Scrippsiella sp. used to develop the dinoflagellate- specific primers. Two anonymous reviewers are thanked for helpful comments on an earlier version of the manuscript. This work was supported by grants from the Australian Antarctic Science Advisory Committee (1166 to J. K. V.), the Netherlands Organization for Scientific Research (NWO; 851.20.006 to J. S. S. D.; NWO grant 813.03.001 and NWO-VENI grant 863.04.020 to M. J. L. C.) and the German Science Foundation (DFG grant VE486/3-1) to GJMV.</t>
  </si>
  <si>
    <t>1472-4677</t>
  </si>
  <si>
    <t>1472-4669</t>
  </si>
  <si>
    <t>Geobiology</t>
  </si>
  <si>
    <t>10.1111/j.1472-4669.2009.00202.x</t>
  </si>
  <si>
    <t>Biology; Environmental Sciences; Geosciences, Multidisciplinary</t>
  </si>
  <si>
    <t>Life Sciences &amp; Biomedicine - Other Topics; Environmental Sciences &amp; Ecology; Geology</t>
  </si>
  <si>
    <t>459SH</t>
  </si>
  <si>
    <t>WOS:000267128900001</t>
  </si>
  <si>
    <t>Andersen, MB; Vance, D; Archer, C; Ellwood, M; Allen, C; Hillenbrand, CD; Anderson, RF</t>
  </si>
  <si>
    <t>Andersen, M. B.; Vance, D.; Archer, C.; Ellwood, M.; Allen, C.; Hillenbrand, C. D.; Anderson, R. F.</t>
  </si>
  <si>
    <t>The Zn isotopic composition of diatom frustules, a proxy for Zn availability in ocean surface seawater</t>
  </si>
  <si>
    <t>19th Annual VM Goldschmidt Conference</t>
  </si>
  <si>
    <t>JUN 21, 2009</t>
  </si>
  <si>
    <t>Davos, SWITZERLAND</t>
  </si>
  <si>
    <t>[Andersen, M. B.; Vance, D.; Archer, C.] Univ Bristol, Dept Earth Sci, Bristol Isotope Grp, Bristol BS8 1TH, Avon, England; [Ellwood, M.] Australian Natl Univ, Dept Earth &amp; Marine Sci, Canberra, ACT 0200, Australia; [Allen, C.; Hillenbrand, C. D.] British Antarctic Survey, Cambridge CB3 0ET, England; [Anderson, R. F.] Columbia Univ, Lamont Doherty Earth Observ, New York, NY 10027 USA</t>
  </si>
  <si>
    <t>University of Bristol; Australian National University; UK Research &amp; Innovation (UKRI); Natural Environment Research Council (NERC); NERC British Antarctic Survey; Columbia University</t>
  </si>
  <si>
    <t>morten.andersen@bris.ac.uk</t>
  </si>
  <si>
    <t>A40</t>
  </si>
  <si>
    <t>460YS</t>
  </si>
  <si>
    <t>WOS:000267229900092</t>
  </si>
  <si>
    <t>Barker, S; Diz, P; Van De Flierdt, T; Vautravers, MJ; Hall, IR; Broecker, WS; Knorr, G</t>
  </si>
  <si>
    <t>Barker, S.; Diz, P.; Van De Flierdt, T.; Vautravers, M. J.; Hall, I. R.; Broecker, W. S.; Knorr, G.</t>
  </si>
  <si>
    <t>Enhanced Atlantic Merdional Overturning Circulation during pronounced interstadials</t>
  </si>
  <si>
    <t>[Barker, S.; Hall, I. R.] Cardiff Univ, Sch Earth &amp; Ocean Sci, Cardiff, S Glam, Wales; [Diz, P.] Univ Angers, Lab Bioindicateurs Actuels &amp; Fossiles, F-49045 Angers, France; [Van De Flierdt, T.] Univ London Imperial Coll Sci Technol &amp; Med, London SW7 2AZ, England; [Vautravers, M. J.] British Antarctic Survey, Cambridge CB3 0ET, England; [Broecker, W. S.] Columbia Univ, Lamont Doherty Earth Observ, Palisades, NY USA; [Knorr, G.] Alfred Wegener Inst Polar &amp; Marine Res, D-2850 Bremerhaven, Germany</t>
  </si>
  <si>
    <t>Cardiff University; Universite d'Angers; Imperial College London; UK Research &amp; Innovation (UKRI); Natural Environment Research Council (NERC); NERC British Antarctic Survey; Columbia University; Helmholtz Association; Alfred Wegener Institute, Helmholtz Centre for Polar &amp; Marine Research</t>
  </si>
  <si>
    <t>barkers3@cf.ac.uk; paula.dizferreiro@univ-angers.fr; tina.vandeflierdt@imperial.ac.uk; mava@bas.ac.uk; broecker@ldeo.columbia.edu; Gregor.Knorr@awi.de</t>
  </si>
  <si>
    <t>Hall, Ian/C-2755-2009</t>
  </si>
  <si>
    <t>Hall, Ian/0000-0001-6960-1419</t>
  </si>
  <si>
    <t>A90</t>
  </si>
  <si>
    <t>WOS:000267229900192</t>
  </si>
  <si>
    <t>Coltorti, M; Bonadiman, C; Faccini, B; Melchiorre, M; O'Reilly, S; Griffin, W; Pearson, N</t>
  </si>
  <si>
    <t>Coltorti, M.; Bonadiman, C.; Faccini, B.; Melchiorre, M.; O'Reilly, S.; Griffin, W.; Pearson, N.</t>
  </si>
  <si>
    <t>Deep lithosphere processes recorded for the West Antarctic Rift System</t>
  </si>
  <si>
    <t>[Coltorti, M.; Bonadiman, C.; Faccini, B.; Melchiorre, M.] Univ Ferrara, Dept Earth Sci, I-44100 Ferrara, Italy; [O'Reilly, S.; Griffin, W.; Pearson, N.] Macquarie Univ, GEMOC, Sydney, NSW 2109, Australia</t>
  </si>
  <si>
    <t>University of Ferrara; Macquarie University</t>
  </si>
  <si>
    <t>clt@unife.it</t>
  </si>
  <si>
    <t>O'Reilly, Suzanne Y/A-1315-2008; Griffin, William L/F-7713-2011</t>
  </si>
  <si>
    <t>O'Reilly, Suzanne Y/0000-0002-3883-5498; Griffin, William L/0000-0002-0980-2566</t>
  </si>
  <si>
    <t>A239</t>
  </si>
  <si>
    <t>WOS:000267229900490</t>
  </si>
  <si>
    <t>Dunbar, NW; McIntosh, WC</t>
  </si>
  <si>
    <t>Dunbar, N. W.; McIntosh, W. C.</t>
  </si>
  <si>
    <t>Tephra as an absolute dating and correlation tool for Antarctic ice cores</t>
  </si>
  <si>
    <t>SIPLE DOME; LAYERS</t>
  </si>
  <si>
    <t>New Mexico Inst Min &amp; Technol, New Mexico Bur Geol, Socorro, NM 87801 USA; New Mexico Inst Min &amp; Technol, Earth &amp; Environm Sci Dept, Socorro, NM 87801 USA</t>
  </si>
  <si>
    <t>New Mexico Institute of Mining Technology; New Mexico Institute of Mining Technology</t>
  </si>
  <si>
    <t>Dunbar, Nelia W./HZL-8693-2023</t>
  </si>
  <si>
    <t>Dunbar, Nelia W./0000-0002-5181-937X</t>
  </si>
  <si>
    <t>A312</t>
  </si>
  <si>
    <t>WOS:000267229900637</t>
  </si>
  <si>
    <t>Gutjahr, M; Vance, D; Hoffmann, D; Hillenbrand, CD; Kuhn, G</t>
  </si>
  <si>
    <t>Gutjahr, M.; Vance, D.; Hoffmann, D.; Hillenbrand, C. D.; Kuhn, G.</t>
  </si>
  <si>
    <t>Validating the use of scleraxonian Southern Ocean deep-sea corals for radiocarbon ventilation age dating</t>
  </si>
  <si>
    <t>[Gutjahr, M.; Vance, D.] Univ Bristol, Bristol Isotope Grp, Dept Earth Sci, Bristol BS8 1RJ, Avon, England; [Hoffmann, D.] Univ Bristol, Bristol Isotope Grp, Dept Geog Sci, Bristol BS8 1RJ, Avon, England; [Hillenbrand, C. D.] British Antarctic Survey, Cambridge CB3 0ET, England; [Kuhn, G.] Alfred Wegener Inst Polar &amp; Marine Res, D-27568 Bremerhaven, Germany</t>
  </si>
  <si>
    <t>University of Bristol; University of Bristol; UK Research &amp; Innovation (UKRI); Natural Environment Research Council (NERC); NERC British Antarctic Survey; Helmholtz Association; Alfred Wegener Institute, Helmholtz Centre for Polar &amp; Marine Research</t>
  </si>
  <si>
    <t>marcus.gutjahr@bristol.ac.uk</t>
  </si>
  <si>
    <t>A481</t>
  </si>
  <si>
    <t>WOS:000267229901194</t>
  </si>
  <si>
    <t>Ilyinskaya, E; Oppenheimer, C</t>
  </si>
  <si>
    <t>Ilyinskaya, Evgenia; Oppenheimer, Clive</t>
  </si>
  <si>
    <t>Deposition of volatiles from Erebus volcano in Antarctic snow and ice</t>
  </si>
  <si>
    <t>[Ilyinskaya, Evgenia; Oppenheimer, Clive] Univ Cambridge, Dept Geog, Cambridge CB2 2EU, England</t>
  </si>
  <si>
    <t>ei213@cam.ac.uk</t>
  </si>
  <si>
    <t>Oppenheimer, Clive/G-9881-2013; Ilyinskaya, Evgenia/F-5364-2011</t>
  </si>
  <si>
    <t>Oppenheimer, Clive/0000-0003-4506-7260; Ilyinskaya, Evgenia/0000-0002-3663-9506</t>
  </si>
  <si>
    <t>A567</t>
  </si>
  <si>
    <t>WOS:000267229901366</t>
  </si>
  <si>
    <t>Kogarko, LN</t>
  </si>
  <si>
    <t>Kogarko, Lia N.</t>
  </si>
  <si>
    <t>Lithospheric mantle beneath East Antarctic (Oasis Jetty)</t>
  </si>
  <si>
    <t>[Kogarko, Lia N.] VI Vernadskii Inst Geochem &amp; Analyt Chem, Moscow 119991, Russia</t>
  </si>
  <si>
    <t>Russian Academy of Sciences; Vernadsky Institute of Geochemistry &amp; Analytical Chemistry</t>
  </si>
  <si>
    <t>kogarko@geokhi.ru</t>
  </si>
  <si>
    <t>Kogarko, Lia N/P-6337-2016</t>
  </si>
  <si>
    <t>A673</t>
  </si>
  <si>
    <t>WOS:000267229901577</t>
  </si>
  <si>
    <t>Lu, ZL; Pancost, RD; Aquilina, A; Rickaby, REM</t>
  </si>
  <si>
    <t>Lu, Zunli; Pancost, Richard D.; Aquilina, Alfred; Rickaby, Rosalind E. M.</t>
  </si>
  <si>
    <t>Organic matter diagenesis, methane oxidation and their relation to ikaite precipitation in Antarctic sediments</t>
  </si>
  <si>
    <t>[Lu, Zunli; Rickaby, Rosalind E. M.] Univ Oxford, Dept Earth Sci, Oxford OX1 3PR, England; [Pancost, Richard D.; Aquilina, Alfred] Univ Bristol, Organ Geochem Unit, Bristol Biogeochem Res Ctr, Sch Chem, Bristol BS8 1TS, Avon, England</t>
  </si>
  <si>
    <t>University of Oxford; University of Bristol</t>
  </si>
  <si>
    <t>Zunli.Lu@earth.ox.ac.uk; R.D.Pancost@bristol.ac.uk</t>
  </si>
  <si>
    <t>Lu, Zunli/C-6765-2013</t>
  </si>
  <si>
    <t>A797</t>
  </si>
  <si>
    <t>WOS:000267229902054</t>
  </si>
  <si>
    <t>Marschall, HR; Storey, C; Dhuime, B; Leat, P; Hawkesworth, C</t>
  </si>
  <si>
    <t>Marschall, Horst R.; Storey, Craig; Dhuime, Bruno; Leat, Phil; Hawkesworth, Chris</t>
  </si>
  <si>
    <t>Archaean-Proterozoic evolution in East Antarctica</t>
  </si>
  <si>
    <t>DRONNING MAUD LAND</t>
  </si>
  <si>
    <t>[Marschall, Horst R.; Storey, Craig; Dhuime, Bruno; Hawkesworth, Chris] Univ Bristol, Bristol, Avon, England; [Leat, Phil] British Antarctic Survey, Cambridge CB3 0ET, England</t>
  </si>
  <si>
    <t>horst.marschall@bristol.ac.uk</t>
  </si>
  <si>
    <t>Dhuime, Bruno/A-6262-2016; Storey, Craig/AAC-7832-2020</t>
  </si>
  <si>
    <t>/0000-0002-4146-4739</t>
  </si>
  <si>
    <t>A837</t>
  </si>
  <si>
    <t>WOS:000267229902134</t>
  </si>
  <si>
    <t>Masson-Delmotte, V; Stenni, B; Rothlisberger, R; Waelbroeck, C; Jouzel, J</t>
  </si>
  <si>
    <t>Masson-Delmotte, V.; Stenni, B.; Rothlisberger, R.; Waelbroeck, C.; Jouzel, J.</t>
  </si>
  <si>
    <t>Comparison of terminations I and II in EPICA Dome C ice core</t>
  </si>
  <si>
    <t>PAST 800,000 YEARS; MILLENNIAL-SCALE</t>
  </si>
  <si>
    <t>[Masson-Delmotte, V.; Waelbroeck, C.; Jouzel, J.] LSCE UMR CEA CNRS UVSQ IPSL, Gif Sur Yvette, France; [Stenni, B.] Univ Trieste, Dept Geol Environm &amp; Marine Sci, Trieste, Italy; [Rothlisberger, R.] British Antarctic Survey, NERC, Cambridge CB3 0ET, England</t>
  </si>
  <si>
    <t>CEA; Centre National de la Recherche Scientifique (CNRS); Universite Paris Saclay; University of Trieste; UK Research &amp; Innovation (UKRI); Natural Environment Research Council (NERC); NERC British Antarctic Survey</t>
  </si>
  <si>
    <t>valerie.masson@cea.fr</t>
  </si>
  <si>
    <t>Masson-Delmotte, Valerie L/G-1995-2011</t>
  </si>
  <si>
    <t>Masson-Delmotte, Valerie L/0000-0001-8296-381X</t>
  </si>
  <si>
    <t>A845</t>
  </si>
  <si>
    <t>WOS:000267229902150</t>
  </si>
  <si>
    <t>McConnell, JR; Anschütz, H; Bisiaux, M; Edwards, R; Pasteris, D; Thomas, ER</t>
  </si>
  <si>
    <t>McConnell, J. R.; Anschutz, H.; Bisiaux, M.; Edwards, R.; Pasteris, D.; Thomas, E. R.</t>
  </si>
  <si>
    <t>High-resolution aerosol records spanning recent centuries to millennia from polar ice core arrays</t>
  </si>
  <si>
    <t>[McConnell, J. R.; Bisiaux, M.; Edwards, R.; Pasteris, D.] Univ Nevada, Desert Res Inst, Div Hydrol Sci, Reno, NV 89506 USA; [Anschutz, H.] Norwegian Polar Res Inst, Tromso, Norway; [Thomas, E. R.] British Antarctic Survey, NERC, Cambridge CB3 0ET, England</t>
  </si>
  <si>
    <t>Nevada System of Higher Education (NSHE); University of Nevada Reno; Desert Research Institute NSHE; Norwegian Polar Institute; UK Research &amp; Innovation (UKRI); Natural Environment Research Council (NERC); NERC British Antarctic Survey</t>
  </si>
  <si>
    <t>joe.mcconnell@dri.edu</t>
  </si>
  <si>
    <t>Thomas, Elizabeth Ruth/ADF-3660-2022</t>
  </si>
  <si>
    <t>Thomas, Elizabeth Ruth/0000-0002-3010-6493</t>
  </si>
  <si>
    <t>A855</t>
  </si>
  <si>
    <t>WOS:000267229902169</t>
  </si>
  <si>
    <t>Miller, MF; Burton, K; Greenwood, RC; Gannoun, A</t>
  </si>
  <si>
    <t>Miller, M. F.; Burton, K.; Greenwood, R. C.; Gannoun, A.</t>
  </si>
  <si>
    <t>Are oxygen triple isotope ratios of the lunar regolith distinctive from those of lunar basalts?</t>
  </si>
  <si>
    <t>FRACTIONATION</t>
  </si>
  <si>
    <t>[Miller, M. F.; Greenwood, R. C.] Open Univ, Planetary &amp; Spaces Sci Res Inst, Milton Keynes MK7 6AA, Bucks, England; [Miller, M. F.] British Antarctic Survey, Cambridge CB2 0ET, England; [Burton, K.] Univ Oxford, Dept Earth Sci, Oxford OX1 3PR, England; [Gannoun, A.] Univ Blaise Pascal, LMV OPGC, UMR 6524, F-63038 Clermont Ferrand, France</t>
  </si>
  <si>
    <t>Open University - UK; UK Research &amp; Innovation (UKRI); Natural Environment Research Council (NERC); NERC British Antarctic Survey; University of Oxford; Centre National de la Recherche Scientifique (CNRS); Universite Clermont Auvergne (UCA); CNRS - National Institute for Earth Sciences &amp; Astronomy (INSU); Institut de Recherche pour le Developpement (IRD); Universite Jean Monnet</t>
  </si>
  <si>
    <t>m.f.miller@open.ac.uk</t>
  </si>
  <si>
    <t>Miller, Martin F./AFL-7337-2022</t>
  </si>
  <si>
    <t>Miller, Martin F./0000-0002-7735-0098</t>
  </si>
  <si>
    <t>A881</t>
  </si>
  <si>
    <t>WOS:000267229902222</t>
  </si>
  <si>
    <t>Montross, SN; Doyle, SM; Samyn, D; Tison, JL; Christner, BC; Skidmore, ML</t>
  </si>
  <si>
    <t>Montross, S. N.; Doyle, S. M.; Samyn, D.; Tison, J-L.; Christner, B. C.; Skidmore, M. L.</t>
  </si>
  <si>
    <t>Sediment-rich Antarctic basal ice as a habitat for microorganisms</t>
  </si>
  <si>
    <t>[Montross, S. N.; Skidmore, M. L.] Montana State Univ, Dept Earth Sci, Bozeman, MT 59717 USA; [Doyle, S. M.; Christner, B. C.] Louisiana State Univ, Dept Biol Sci, Baton Rouge, LA 70803 USA; [Samyn, D.; Tison, J-L.] Univ Libre Bruxelles, Dept Sci Terre &amp; Environm, Lab Glaciol, B-1050 Brussels, Belgium</t>
  </si>
  <si>
    <t>Montana State University System; Montana State University Bozeman; Louisiana State University System; Louisiana State University; Universite Libre de Bruxelles</t>
  </si>
  <si>
    <t>smontross@montana.edu</t>
  </si>
  <si>
    <t>A897</t>
  </si>
  <si>
    <t>WOS:000267229902254</t>
  </si>
  <si>
    <t>Nielsen, SG; Gannoun, A; Burton, KW; Halliday, AN; Hein, JR</t>
  </si>
  <si>
    <t>Nielsen, Sune G.; Gannoun, Abdelmouhcine; Burton, Kevin W.; Halliday, Alex N.; Hein, James R.</t>
  </si>
  <si>
    <t>Miocene Os and Tl isotopes in the Indian Ocean: Implications for Antarctic water export and the residence time of Os</t>
  </si>
  <si>
    <t>[Nielsen, Sune G.; Gannoun, Abdelmouhcine; Burton, Kevin W.; Halliday, Alex N.] Univ Oxford, Dept Earth Sci, Oxford OX1 2JD, England; [Hein, James R.] USGS, Menlo Pk, CA 94025 USA</t>
  </si>
  <si>
    <t>University of Oxford; United States Department of the Interior; United States Geological Survey</t>
  </si>
  <si>
    <t>Hein, James/R-7123-2019</t>
  </si>
  <si>
    <t>A942</t>
  </si>
  <si>
    <t>WOS:000267229902343</t>
  </si>
  <si>
    <t>Ray, D; Rajan, S; Ravindra, R</t>
  </si>
  <si>
    <t>Ray, Dwijesh; Rajan, S.; Ravindra, R.</t>
  </si>
  <si>
    <t>Andaman inner arc volcanoes: An evaluation of arc geochemistry and role of sediments in arc lavas</t>
  </si>
  <si>
    <t>[Ray, Dwijesh; Rajan, S.; Ravindra, R.] Natl Ctr Antarctic &amp; Ocean Res, Vasco Da Gama 403804, India</t>
  </si>
  <si>
    <t>A1077</t>
  </si>
  <si>
    <t>WOS:000267229902612</t>
  </si>
  <si>
    <t>Scher, HD; Pusz, AE; Bohaty, SM; Thunell, RC; Delaney, ML</t>
  </si>
  <si>
    <t>Scher, H. D.; Pusz, A. E.; Bohaty, S. M.; Thunell, R. C.; Delaney, M. L.</t>
  </si>
  <si>
    <t>Transient changes in Southern Ocean Nd isotope composition in response to Antarctic glaciation</t>
  </si>
  <si>
    <t>[Scher, H. D.; Pusz, A. E.; Thunell, R. C.] Univ S Carolina, Dept Geol Sci, Columbia, SC 29208 USA; [Bohaty, S. M.] Natl Oceanog Ctr, Southampton, Hants, England; [Delaney, M. L.] Univ Calif Santa Cruz, Inst Marine Sci, Santa Cruz, CA 95064 USA; [Delaney, M. L.] Univ Calif Santa Cruz, Ocean Sci Dept, Santa Cruz, CA 95064 USA</t>
  </si>
  <si>
    <t>University of South Carolina System; University of South Carolina Columbia; NERC National Oceanography Centre; University of California System; University of California Santa Cruz; University of California System; University of California Santa Cruz</t>
  </si>
  <si>
    <t>hscher@geol.sc.edu</t>
  </si>
  <si>
    <t>A1172</t>
  </si>
  <si>
    <t>WOS:000267229903031</t>
  </si>
  <si>
    <t>Sigman, DM; Brunelle, BG; Jaccard, SL; Haug, GH</t>
  </si>
  <si>
    <t>Sigman, D. M.; Brunelle, B. G.; Jaccard, S. L.; Haug, G. H.</t>
  </si>
  <si>
    <t>Polar twins: The Antarctic and North Pacific during ice ages</t>
  </si>
  <si>
    <t>[Sigman, D. M.; Brunelle, B. G.] Princeton Univ, Dept Geosci, Princeton, NJ 08544 USA; [Jaccard, S. L.; Haug, G. H.] ETH, Inst Geol, CH-8092 Zurich, Switzerland</t>
  </si>
  <si>
    <t>Princeton University; Swiss Federal Institutes of Technology Domain; ETH Zurich</t>
  </si>
  <si>
    <t>sigman@princeton.edu</t>
  </si>
  <si>
    <t>Sigman, Daniel M./0000-0002-7923-1973;</t>
  </si>
  <si>
    <t>A1221</t>
  </si>
  <si>
    <t>WOS:000267229903130</t>
  </si>
  <si>
    <t>Stone, J; Fifield, LK; Finkel, R; Rood, D; Balco, G; Shuster, DL</t>
  </si>
  <si>
    <t>Stone, J.; Fifield, L. K.; Finkel, R.; Rood, D.; Balco, G.; Shuster, D. L.</t>
  </si>
  <si>
    <t>Cosmogenic nuclide production rates from ancient Antarctic surfaces</t>
  </si>
  <si>
    <t>[Stone, J.] Univ Washington, Dept Earth &amp; Space Sci, Seattle, WA USA; [Fifield, L. K.] Australian Natl Univ, Dept Nucl Phys, Canberra, ACT 0200, Australia; [Finkel, R.; Rood, D.] Lawrence Livermore Natl Lab, Ctr Accelerator Mass Spectrometry, Livermore, CA 94550 USA; [Balco, G.; Shuster, D. L.] Berkeley Geochronol Ctr, Berkeley, CA 94709 USA</t>
  </si>
  <si>
    <t>University of Washington; University of Washington Seattle; Australian National University; United States Department of Energy (DOE); Lawrence Livermore National Laboratory; Berkeley Geochronolgy Center</t>
  </si>
  <si>
    <t>stone@geology.washington.edu</t>
  </si>
  <si>
    <t>A1280</t>
  </si>
  <si>
    <t>WOS:000267229903247</t>
  </si>
  <si>
    <t>Tinivella, U; Accaino, F; Giustiniani, M; Loreto, MF</t>
  </si>
  <si>
    <t>Tinivella, U.; Accaino, F.; Giustiniani, M.; Loreto, M. F.</t>
  </si>
  <si>
    <t>Gas hydrate and mud volcanoes offshore Antarctic Peninsula: A geophysical study</t>
  </si>
  <si>
    <t>[Tinivella, U.; Accaino, F.; Giustiniani, M.; Loreto, M. F.] Ist Nazl Oceanog &amp; Geofis Sperimentale, I-34010 Trieste, Italy</t>
  </si>
  <si>
    <t>utinivella@ogs.trieste.it</t>
  </si>
  <si>
    <t>Loreto, Maria Filomena/AAY-4782-2020; Tinivella, Umberta/AAF-3133-2020</t>
  </si>
  <si>
    <t>Loreto, Maria Filomena/0000-0003-1960-8684; Tinivella, Umberta/0000-0002-1588-6452</t>
  </si>
  <si>
    <t>A1331</t>
  </si>
  <si>
    <t>WOS:000267229903349</t>
  </si>
  <si>
    <t>Paulsen, TS; Wilson, TJ</t>
  </si>
  <si>
    <t>Paulsen, Timothy S.; Wilson, Terry J.</t>
  </si>
  <si>
    <t>Structure and age of volcanic fissures on Mount Morning: A new constraint on Neogene to contemporary stress in the West Antarctic Rift, southern Victoria Land, Antarctica</t>
  </si>
  <si>
    <t>TRANSANTARCTIC MOUNTAINS; ROSS SEA; TECTONIC STRESS; MCMURDO SOUND; EXTENSION FRACTURES; POSSIBLE INDICATORS; SPANISH-PEAKS; FIELD; PATTERNS; EARTHQUAKES</t>
  </si>
  <si>
    <t>Antarctica is characterized by a unique combination of active processes, including active crustal deformation, volcanism, and glacial loading and unloading, but little is known about the Neogene to contemporary geodynamic state of the Antarctic plate. This paper presents new data on the structure and timing of volcanism on the Mount Morning shield volcano, with the purpose of defining Pleistocene stress directions concomitant with volcanism and rifting in the southern portion of the Victoria Land rift basin. Elongate vents and vent alignments indicate parasitic volcanism has predominantly occurred along a primary set of NE fissures. Parasitic basaltic cinder cones yield 40Ar-39Ar cooling ages, presented herein, that range from essentially zero to ca. 3.5 Ma, though mostly of Pleistocene age. The systematic NE trend of the fissures on Mount Morning records magmatically induced fracturing of the volcano flanks controlled by a regional N31 degrees E maximum horizontal stress (S-H) that dominated the Mount Morning area during the Pleistocene and, probably, also the Pliocene. Minor volcanism occurred along shorter NW alignments that have no discernible age difference from the NE fissures. The Pleistocene age of the parasitic volcanism suggests that the stress direction documented at Mount Morning represents the contemporary differential stress field in the area. This NE S-H direction differs from the N15 degrees W S-H direction measured in a borehole at Cape Roberts, 100 km to the north, and the S-H orientations appear to track the changing trend of the segmented rift boundary. The exact cause for the variability in the S-H directions is uncertain, but the change in S-H could record different stress provinces within the rift system, or it could reflect stress reorientation along the major lithospheric boundary of the rift. The new contemporary stress datum at Mount Morning is consistent with a neotectonic normal-fault to strike-slip fault regime within the Terror Rift, which was active in Pliocene-Pleistocene times and could remain active today. This stress regime still dominates the contemporary geodynamic state of this sector of the West Antarctic Rift system.</t>
  </si>
  <si>
    <t>[Paulsen, Timothy S.] Univ Wisconsin, Dept Geol, Oshkosh, WI 54901 USA; [Wilson, Terry J.] Ohio State Univ, Byrd Polar Res Ctr, Columbus, OH 43210 USA; [Wilson, Terry J.] Ohio State Univ, Sch Earth Sci, Columbus, OH 43210 USA</t>
  </si>
  <si>
    <t>University of Wisconsin System; University System of Ohio; Ohio State University; University System of Ohio; Ohio State University</t>
  </si>
  <si>
    <t>Paulsen, TS (corresponding author), Univ Wisconsin, Dept Geol, 800 Algoma Blvd, Oshkosh, WI 54901 USA.</t>
  </si>
  <si>
    <t>paulsen@uwosh.edu; wilson.43@osu.edu</t>
  </si>
  <si>
    <t>National Science Foundation (NSF) [OPP-990970, OPP-9910879]</t>
  </si>
  <si>
    <t>National Science Foundation (NSF)(National Science Foundation (NSF))</t>
  </si>
  <si>
    <t>This work was funded by National Science Foundation (NSF) grant OPP-990970 to T. Wilson and NSF grant OPP-9910879 to T. Paulsen. We thank Yaron Felus and Jon Koenig for support in the field and laboratory aspects of this research, Rick Allmendinger for providing his stereonet program, Yaron Felus who wrote the best-fit ellipse program for Arcview (R), William McIntosh and Richard Esser for the argon analyses, and Peter Braddock for his assistance in the field. We also thank John Foden, Richard Price, Manfred Strecker, Julie Rowland, and an anonymous reviewer for helpful critiques that improved this manuscript. Paulsen acknowledges the University of Wisconsin Faculty Sabbatical Program for release time to work on this project.</t>
  </si>
  <si>
    <t>10.1130/B26333.1</t>
  </si>
  <si>
    <t>462YB</t>
  </si>
  <si>
    <t>WOS:000267393800006</t>
  </si>
  <si>
    <t>Hernández-Molina, FJ; Paterlini, M; Violante, R; Marshall, P; de Isasi, M; Somoza, L; Rebesco, M</t>
  </si>
  <si>
    <t>Javier Hernandez-Molina, F.; Paterlini, Marcelo; Violante, Roberto; Marshall, Patricio; de Isasi, Martin; Somoza, Luis; Rebesco, Michele</t>
  </si>
  <si>
    <t>Contourite depositional system on the Argentine Slope: An exceptional record of the influence of Antarctic water masses</t>
  </si>
  <si>
    <t>MARGIN</t>
  </si>
  <si>
    <t>A significant contourite depositional system (CDS) on the continental slope of the southern Argentine margin is described here for the first time. This system contains both erosive and depositional features that have resulted from several factors, including topographic intensification of the Antarctic-sourced water masses, the systematic northward decrease in speed of these water masses, a northward increase of downslope sedimentary processes, and local tectonic influences. This system is an exceptional example of a CDS that started to develop at the time of the Eocene-Oligocene boundary, potentially coeval with the opening of the Drake Passage. However, a new margin morphology, characterized by a complex terraced slope lacking any continental rise, developed after a major paleoceanographic change in the middle to late Miocene. We infer that this change resulted from the extension of North Atlantic Deep Water circulation into the Southern Hemisphere and the deepening of Antarctic Bottom Water circulation in the Argentine Basin.</t>
  </si>
  <si>
    <t>[Javier Hernandez-Molina, F.] Univ Vigo, Fac Ciencias Mar, Vigo 36200, Spain; [Paterlini, Marcelo; Violante, Roberto] Serv Hidrog Naval, RA-2124 Buenos Aires, DF, Argentina; [Marshall, Patricio; de Isasi, Martin] Comis Nacl Limite Exterior Plataforma Continetal, RA-2124 Buenos Aires, DF, Argentina; [Somoza, Luis] Inst Geol &amp; Minero Espana, Madrid 28003, Spain; [Rebesco, Michele] Ist Nazl Oceanog &amp; Geofis Sperimentale, I-34010 Sgonico, Italy</t>
  </si>
  <si>
    <t>Universidade de Vigo; Servicio de Hidrografia Naval; Istituto Nazionale di Oceanografia e di Geofisica Sperimentale</t>
  </si>
  <si>
    <t>Hernández-Molina, FJ (corresponding author), Univ Vigo, Fac Ciencias Mar, Vigo 36200, Spain.</t>
  </si>
  <si>
    <t>Rebesco, Michele/B-7462-2014; Somoza, Luis/C-1400-2010</t>
  </si>
  <si>
    <t>Rebesco, Michele/0000-0002-9492-4081; Somoza, Luis/0000-0001-5451-2288</t>
  </si>
  <si>
    <t>Spanish Mobility [PR2007-0138, CTM2008-06399-C04-01/MAR, CTM2008-06386-C02/ANT]</t>
  </si>
  <si>
    <t>Spanish Mobility</t>
  </si>
  <si>
    <t>This work was funded by Spanish Mobility Award PR2007-0138, CTM2008-06399-C04-01/MAR, and CTM2008-06386-C02/ANT Projects. Physiographic names are awaiting approval by the GEBCO-SCUFN [General Bathymetric Chart of the Oceans-SubCommittee on Undersea Feature Names; OHI-COI (Organisation Hydrographique Internationale-Commission Oceanographique Intergouvernementale)]. We thank A. Piola (Servicio de Hidrograf a Naval, Argentina), B. U. Haq (Washington, D. C., USA), E. Llave (Instituto Geologico y Minero, Spain), M. Garc a (Consejo Superior de Investigaciones Cientficas, Spain), and D. A. V. Stow (Heriot- Watt University, UK) for revising the manuscript; L. Maff a (Comision Nacional del L mite Exterior de la Plataforma Continental, Argentina) for help in drawing Figure 2; and reviewers L. Carter (Victoria University, New Zealand) and C. Fulthorpe (University of Texas, Austin, Texas, USA) for positive revisions that helped us to improve the final version of the paper.</t>
  </si>
  <si>
    <t>10.1130/G25578A.1</t>
  </si>
  <si>
    <t>454BB</t>
  </si>
  <si>
    <t>WOS:000266655500010</t>
  </si>
  <si>
    <t>Horwath, M; Dietrich, R</t>
  </si>
  <si>
    <t>Horwath, Martin; Dietrich, Reinhard</t>
  </si>
  <si>
    <t>Signal and error in mass change inferences from GRACE: the case of Antarctica</t>
  </si>
  <si>
    <t>Satellite geodesy; Sea level change; Time variable gravity; Global change from geodesy; Glaciology; Antarctica</t>
  </si>
  <si>
    <t>GLACIAL-ISOSTATIC-ADJUSTMENT; GRAVITY-FIELD MODEL; TEMPORAL VARIABILITY; TIME VARIATIONS; WATER STORAGE; LAND WATER; SURFACE; EARTH; BALANCE; ACCUMULATION</t>
  </si>
  <si>
    <t>This paper examines mass changes from Gravity Recovery and Climate Experiment (GRACE) monthly spherical harmonic gravity field solutions, focusing on the application to the Antarctic ice sheet. Regional integration approaches are investigated and compared with an alternative technique of fitting predefined mass change patterns. The main thrust of this new analysis is to better define error sources and error bounds on mass changes of the Antarctic ice sheet. Toward this purpose, we examine the release-4 GRACE products by the GeoForschungsZentrum Potsdam. Although errors related to the correction for glacial isostatic adjustment are significant, both leakage and GRACE error effects are also important. In particular, the details of how mass change interior to the Antarctic continent is weighted and scaled is crucially linked to the end-result mass trend solution. Accounting for error correlations in the GRACE monthly solutions, it is shown that the corresponding errors in Antarctic mass changes are about two times larger than predicted by uncorrelated error propagation. Our ice mass trend estimate for the grounded ice sheet in the period from 08/2002 to 01/2008 is (-109 +/- 48) Gt yr(-1), equivalent to a mean eustatic sea level rise of (+0.30 +/- 0.13) mm yr(-1). We also provide estimates for 16 individual drainage basins. Mass losses concentrate in the coastal regions of West Antarctica and on the Antarctic Peninsula with together (-105 +/- 35) Gt yr(-1). The Amundsen Sea Sector alone contributes (-60 +/- 8) Gt yr(-1). Although these findings agree with independent observations, GRACE trends deduced from a short time-series come with the cautioning footnote that the strength of interannual variations remains undetermined. We finally discuss directions of methodological improvements.</t>
  </si>
  <si>
    <t>[Horwath, Martin; Dietrich, Reinhard] Tech Univ Dresden, Inst Planetare Geodasie, D-01062 Dresden, Germany</t>
  </si>
  <si>
    <t>Technische Universitat Dresden</t>
  </si>
  <si>
    <t>Horwath, M (corresponding author), CNES CNRS IRD UPS, UMR 5566, LEGOS, 18 Ave E Belin, F-31401 Toulouse 9, France.</t>
  </si>
  <si>
    <t>martin.horwath@legos.obs-mip.fr</t>
  </si>
  <si>
    <t>Horwath, Martin/ABH-4320-2020; Horwath, Martin/F-9239-2011</t>
  </si>
  <si>
    <t>Horwath, Martin/0000-0001-5797-244X</t>
  </si>
  <si>
    <t>German Research Foundation (DFG) [Di 473/13, Di 473/17]</t>
  </si>
  <si>
    <t>We gratefully acknowledge comments by two anonymous reviewers and editorial help by Erik Ivins, which lead to great improvements of the original manuscript. This work was supported by the German Research Foundation (DFG) under grants Di 473/13, Di 473/17 (within the Geotechnologien Programme) and Di 473/31 (within the Priority Programme SPP1257 'Mass Transports and Mass Distribution in the Earth System').</t>
  </si>
  <si>
    <t>10.1111/j.1365-246X.2009.04139.x</t>
  </si>
  <si>
    <t>445BS</t>
  </si>
  <si>
    <t>WOS:000266025200003</t>
  </si>
  <si>
    <t>McLoughlin, S; Pott, C</t>
  </si>
  <si>
    <t>McLoughlin, Stephen; Pott, Christian</t>
  </si>
  <si>
    <t>The Jurassic flora of Western Australia</t>
  </si>
  <si>
    <t>GFF</t>
  </si>
  <si>
    <t>Jurassic; fossil flora; ferns; Bennettitales; conifers; Western Australia</t>
  </si>
  <si>
    <t>LATE TRIASSIC FLORA; BASIN; BENNETTITALES; INDIA; LUNZ; AGE</t>
  </si>
  <si>
    <t>Jurassic plant remains in Western Australia are sparse but small assemblages of impression fossils have been deposited in the collections of the Australian Museum, Sydney, over the past century. They reveal the presence of ? Matoniaceae and Cladophlebis sp. from the Cockleshell Gully Formation (Toarcian-Aalenian), Zamites sp. from the Dingo Claystone (Middle to Upper Jurassic), and Elatocladus confertus (Oldham &amp; Morris) Halle, Pagiophyllum amanguanus sp. nov., ?microsporangiate cones, Otozamites bengalensis Oldham &amp; Morris, Otozamites linearis Halle, Otozamites sp. and Ptilophyllum cutchense Morris from the Yarragadee Formation (Late Jurassic). The assemblages show links to eastern Australian, Indian and Antarctic floras of Early Jurassic to Early Cretaceous age. The macrofloras generally support previous palynological dating of the host units, but also indicate broad (generic-level) similarities between Jurassic and Early Cretaceous floras across Gondwana. The macrofloras have no strong taxonomic or morphological signatures indicative of either aridity or humidity but the bennettitaleans have leaves intermediate in size between low and high latitude mid-Mesozoic assemblages, which favours previous palaeogeographic placements of Western Australia in the mesothermal middle-latitude province in the Jurassic.</t>
  </si>
  <si>
    <t>[McLoughlin, Stephen; Pott, Christian] Swedish Museum Nat Hist, Dept Palaeozool, Box 50007, S-10405 Stockholm, Sweden</t>
  </si>
  <si>
    <t>Swedish Museum of Natural History</t>
  </si>
  <si>
    <t>McLoughlin, S (corresponding author), Swedish Museum Nat Hist, Dept Palaeozool, Box 50007, S-10405 Stockholm, Sweden.</t>
  </si>
  <si>
    <t>steve.mcloughlin@nrm.se; christian.pott@nrm.se</t>
  </si>
  <si>
    <t>McLoughlin, Stephen/0000-0001-6723-239X</t>
  </si>
  <si>
    <t>VR grant; Swedish Natural History Museum Stipendium</t>
  </si>
  <si>
    <t>We thank Yongdong Wang and Nathalie Nagalingum for the constructive comments on the manuscript. Robert Jones is thanked for providing access to the palaeobotanical collections of the Australian Museum, Sydney. This is a contribution to IGCP 506: Marine/Non-marine Jurassic correlation and was performed within the framework of the Lund University Centre for Studies of Carbon Cycle and Climate Interactions (LUCCI). The study was funded by a VR grant and Friends of the Swedish Natural History Museum Stipendium.</t>
  </si>
  <si>
    <t>1103-5897</t>
  </si>
  <si>
    <t>2000-0863</t>
  </si>
  <si>
    <t>10.1080/11035890902857846</t>
  </si>
  <si>
    <t>492WN</t>
  </si>
  <si>
    <t>WOS:000269693400008</t>
  </si>
  <si>
    <t>Nilsson, GE; Crawley, N; Lunde, IG; Munday, PL</t>
  </si>
  <si>
    <t>Nilsson, Goran E.; Crawley, Natalie; Lunde, Ida G.; Munday, Philip L.</t>
  </si>
  <si>
    <t>Elevated temperature reduces the respiratory scope of coral reef fishes</t>
  </si>
  <si>
    <t>cardinalfish; climate change; coral reef fish; damselfish; metabolism; oxygen consumption; respirometry; thermal tolerance</t>
  </si>
  <si>
    <t>RAPID CLIMATE-CHANGE; GREAT-BARRIER-REEF; THERMAL-ACCLIMATION; ACANTHOCHROMIS-POLYACANTHUS; HYPOXIA TOLERANCE; OXYGEN LIMITATION; ANTARCTIC FISH; MARINE FISHES; PERFORMANCE; ADAPTATION</t>
  </si>
  <si>
    <t>The capacity for marine fishes to perform aerobically (aerobic scope) is predicted to control their thermal tolerance and, thus, the impact that rapid climate change will have on their populations. We tested the effect of increased water temperatures on the resting and maximum rates of oxygen consumption in five common coral reef fishes at Lizard Island on the northern Great Barrier Reef, Australia. All species exhibited a decline in aerobic capacity at elevated water temperatures (31, 32 or 33 degrees C) compared with controls (29 degrees C); however, the response was much stronger in two cardinalfishes, Ostorhinchus cyanosoma and O. doederleini, compared with three damselfishes, Dascyllus anuarus, Chromis atripectoralis and Acanthochromis polyacanthus. Aerobic scope of the two cardinalfishes was reduced by nearly half at 31 degrees C compared with 29 degrees C, and virtually all capacity for additional oxygen uptake was exhausted by 33 degrees C. In contrast, the three damselfishes retained over half their aerobic scope at 33 degrees C. Such differences in thermal tolerance between species, and possibly families, suggest that the community structure of reef fish assemblages might change significantly as ocean temperatures increase. Populations of thermally tolerant species are likely to persist at higher temperatures, but populations of thermally sensitive species could decline on low-latitude reefs if individual performance falls below levels needed to sustain viable populations.</t>
  </si>
  <si>
    <t>[Nilsson, Goran E.; Lunde, Ida G.] Univ Oslo, Dept Mol Biosci, Physiol Programme, NO-0316 Oslo, Norway; [Crawley, Natalie; Munday, Philip L.] James Cook Univ, Sch Marine &amp; Trop Biol, Townsville, Qld, Australia; [Crawley, Natalie; Munday, Philip L.] James Cook Univ, ARC Ctr Excellence Coral Reef Studies, Townsville, Qld, Australia</t>
  </si>
  <si>
    <t>University of Oslo; James Cook University; James Cook University</t>
  </si>
  <si>
    <t>Nilsson, GE (corresponding author), Univ Oslo, Dept Mol Biosci, Physiol Programme, POB 1041, NO-0316 Oslo, Norway.</t>
  </si>
  <si>
    <t>g.e.nilsson@imbv.uio.no</t>
  </si>
  <si>
    <t>Lunde, Ida Gjervold/ABN-5567-2022; Nilsson, Goran E/K-7668-2012; Nilsson, Göran Erik/Q-6129-2019; Munday, Philip L/F-5443-2011</t>
  </si>
  <si>
    <t>Munday, Philip L/0000-0001-9725-2498</t>
  </si>
  <si>
    <t>University of Oslo; Research Council of Norway; Australian Research Council; James Cook University</t>
  </si>
  <si>
    <t>University of Oslo; Research Council of Norway(Research Council of Norway); Australian Research Council(Australian Research Council); James Cook University</t>
  </si>
  <si>
    <t>This study was financed by the University of Oslo, the Research Council of Norway, the Australian Research Council and James Cook University. We thank the LIRS staff for enthusiastic help and great hospitality.</t>
  </si>
  <si>
    <t>10.1111/j.1365-2486.2008.01767.x</t>
  </si>
  <si>
    <t>441LU</t>
  </si>
  <si>
    <t>WOS:000265771400004</t>
  </si>
  <si>
    <t>Rehm, P</t>
  </si>
  <si>
    <t>Rehm, Peter</t>
  </si>
  <si>
    <t>Description of a new subspecies Diastylis enigmatica rossensis (Crustacea: Peracarida: Cumacea) from the Ross Sea, Antarctica</t>
  </si>
  <si>
    <t>HELGOLAND MARINE RESEARCH</t>
  </si>
  <si>
    <t>Antarctica; Crustacea; Cumacea; Diastylidae; Ross Sea; Victoria Land</t>
  </si>
  <si>
    <t>CRYPTIC SPECIATION; WEDDELL SEA; ISOPODA; COMMUNITIES; TRANSECT</t>
  </si>
  <si>
    <t>Diastylis enigmatica rossensis n. ssp. is described and illustrated on the basis of new specimens from the Antarctic shelf in the Ross Sea. The material was collected off the Victoria Land coast during the 19th Antarctic expedition of the Italian research vessel Italica in 2004. Diastylis enigmatica Ledoyer, 1993 was first obtained during the EPOS 3 campaign at Halley Bay in the Weddell Sea. A redescription based on further material from the Weddell Sea was published by Petrescu and Wittmann (Zool Med Leiden 77:557-630, 2003), which shows several differences to the newly collected material from the Ross Sea. The most obvious differences from Diastylis enigmatica rossensis n. ssp. to Diastylis enigmatica enigmatica Ledoyer, 2003 are the absence of four spines on the merus of the second pereiopod, a lower number of setae on the uropodal endopod, a gap between spines on the peduncle article 1 of antenna 1, and a higher number of articles in both flagella of antenna 1.</t>
  </si>
  <si>
    <t>Univ Hamburg, Biozentrum Grindel, D-20146 Hamburg, Germany</t>
  </si>
  <si>
    <t>Rehm, P (corresponding author), Univ Hamburg, Biozentrum Grindel, Martin Luther King Pl 3, D-20146 Hamburg, Germany.</t>
  </si>
  <si>
    <t>peter.rehm@awi.de</t>
  </si>
  <si>
    <t>1438-387X</t>
  </si>
  <si>
    <t>1438-3888</t>
  </si>
  <si>
    <t>HELGOLAND MAR RES</t>
  </si>
  <si>
    <t>Helgoland Mar. Res.</t>
  </si>
  <si>
    <t>10.1007/s10152-008-0141-8</t>
  </si>
  <si>
    <t>445YP</t>
  </si>
  <si>
    <t>WOS:000266087700004</t>
  </si>
  <si>
    <t>Lee, MH; Ahn, HS; Ganel, O; Han, JH; Jeon, JA; Kim, CH; Kim, KC; Lutz, L; Malinin, A; Na, G; Nam, S; Park, IH; Park, NH; Seo, ES; Vartanyan, A; Walpole, P; Wu, J; Yang, J; Yoo, JH; Yoon, YS; Zinn, SY</t>
  </si>
  <si>
    <t>Lee, Moo Hyun; Ahn, Ho Seok; Ganel, Opher; Han, Ji Hye; Jeon, Jin A.; Kim, Chan Ho; Kim, Ki Chun; Lutz, Larry; Malinin, Alexander; Na, GoWoon; Nam, Shinwoo; Park, Il H.; Park, Na Hee; Seo, Eun-Suk; Vartanyan, Aram; Walpole, Peter; Wu, Jayoung; Yang, Jongmann; Yoo, Joon Hyuk; Yoon, Young Soo; Zinn, S. Y.</t>
  </si>
  <si>
    <t>Performance of the CREAM-III Calorimeter</t>
  </si>
  <si>
    <t>IEEE TRANSACTIONS ON NUCLEAR SCIENCE</t>
  </si>
  <si>
    <t>Symposium on Radiation Measurements and Applications</t>
  </si>
  <si>
    <t>JUN 02-05, 2008</t>
  </si>
  <si>
    <t>Berkeley, CA</t>
  </si>
  <si>
    <t>Astrophysics instrumentation; calibration; calorimeters; circuit noise; energy resolution; particle detectors; scintillation detectors; trigger circuits</t>
  </si>
  <si>
    <t>Cosmic Ray Energetics And Mass, (CREAM) is a balloon-borne experiment to directly measure the elemental spectra of protons to iron nuclei with energies up to similar to 10(15) eV. Energies of these cosmic-ray particles are measured by an ionization calorimeter comprised of 20 layers of 1 radiation length thick tungsten plates and 20 layers of 0.5 mm diameter scintillating fibers. Each tungsten plate is 500 x 500 x 3.5 mm(3) and the fibers are grouped into fifty 1 cm wide ribbons. After construction, the CREAM-III calorimeter was tested at CERN, the European high energy physics lab, in the H2 beam line of the SPS. Following the CERN test, the calorimeter was integrated into the CREAM-III instrument, and flown successfully in the 3rd flight of the project, during the 2007/8 Antarctic campaign. We present the performance of the CREAM-III calorimeter in lab and beam tests.</t>
  </si>
  <si>
    <t>[Lee, Moo Hyun; Ahn, Ho Seok; Ganel, Opher; Han, Ji Hye; Kim, Chan Ho; Kim, Ki Chun; Lutz, Larry; Malinin, Alexander; Seo, Eun-Suk; Vartanyan, Aram; Walpole, Peter; Wu, Jayoung; Yoo, Joon Hyuk; Yoon, Young Soo; Zinn, S. Y.] Univ Maryland, Inst Phys Sci &amp; Technol, College Pk, MD 20742 USA; [Jeon, Jin A.; Na, GoWoon; Nam, Shinwoo; Park, Il H.; Park, Na Hee; Yang, Jongmann] Ewha Womans Univ, Dept Phys, Seoul 120750, South Korea; [Seo, Eun-Suk; Yoon, Young Soo] Univ Maryland, Dept Phys, College Pk, MD 20742 USA</t>
  </si>
  <si>
    <t>University System of Maryland; University of Maryland College Park; Ewha Womans University; University System of Maryland; University of Maryland College Park</t>
  </si>
  <si>
    <t>Lee, MH (corresponding author), Univ Maryland, Inst Phys Sci &amp; Technol, College Pk, MD 20742 USA.</t>
  </si>
  <si>
    <t>mhlee@umd.edu; hsahn@umd.edu; opher@umd.edu; jhhan@umd.edu; jajeon@hess.ewha.ac.kr; chanho@umd.edu; kckim@umd.edu; lutz@umd.edu; malinin@mail.cern.ch; gwna@hess.ewha.ac.kr; swnam@ewha.ac.kr; ipark@ewha.ac.kr; eclipsia@gmail.com; seo@umd.edu; aramvar@umd.edu; walpole@umd.edu; jayoung@umd.edu; jyang@ewha.ac.kr; joonhyuk@gmail.com; ysy@umd.edu</t>
  </si>
  <si>
    <t>, ES/AAN-2324-2020; Lee, Moo Hyun/AAK-4266-2020; Yoon, Young Soo/O-8580-2014; Malinin, Alexander G./J-4195-2014</t>
  </si>
  <si>
    <t>Lee, Moo Hyun/0000-0002-4082-1677; Yoon, Young Soo/0000-0001-7023-699X; Malinin, Alexander G./0000-0002-3731-9977; Seo, Eun-Suk/0000-0001-8682-805X; Yoo, Joonhyuk/0000-0002-8311-5342</t>
  </si>
  <si>
    <t>0018-9499</t>
  </si>
  <si>
    <t>1558-1578</t>
  </si>
  <si>
    <t>IEEE T NUCL SCI</t>
  </si>
  <si>
    <t>IEEE Trans. Nucl. Sci.</t>
  </si>
  <si>
    <t>10.1109/TNS.2008.2011484</t>
  </si>
  <si>
    <t>Engineering, Electrical &amp; Electronic; Nuclear Science &amp; Technology</t>
  </si>
  <si>
    <t>Engineering; Nuclear Science &amp; Technology</t>
  </si>
  <si>
    <t>463LY</t>
  </si>
  <si>
    <t>WOS:000267434900118</t>
  </si>
  <si>
    <t>Neagu, RC; Tinivella, U; Volpi, V; Rebesco, M; Camerlenghi, A</t>
  </si>
  <si>
    <t>Neagu, R. C.; Tinivella, U.; Volpi, V.; Rebesco, M.; Camerlenghi, A.</t>
  </si>
  <si>
    <t>Estimation of biogenic silica contents in marine sediments using seismic and well log data: Sediment Drift 7, Antarctica</t>
  </si>
  <si>
    <t>Antarctic Peninsula; Sediment drifts; Biogenic silica; Opal-A; Opal-CT</t>
  </si>
  <si>
    <t>POROSITY; NETWORK</t>
  </si>
  <si>
    <t>Petrophysical properties (wet bulk density, porosity, P-wave velocity) are used to predict biogenic silica contents along a seismic reflection profile that ties two well sites, 1095 and 1096, drilled by Ocean Drilling Program (ODP) Leg 178 on sediment drifts on the Pacific continental margin of the Antarctic Peninsula. The biogenic silica contents along the seismic reflection profile were estimated on the basis of three hypotheses about petrophysical properties distributions in the two boreholes and statistical relationships between biogenic silica and other petrophysical properties, which were established on various sediment layers within the boreholes. Our study demonstrates the possibility to reliably predict the distribution of biogenic silica in the sub-seabed sediments if seismic data processed with amplitude preservation are used and statistical relations are considered. We conclude that the statistical extrapolation of biogenic silica content along seismic reflection profiles tied to borehole data is an efficient tool to quantify the amounts of silica undergoing crystalline transformation, which may have strong implications for submarine slope destabilisation.</t>
  </si>
  <si>
    <t>[Neagu, R. C.; Tinivella, U.; Volpi, V.; Rebesco, M.] Ist Nazl Oceanog &amp; Geofis Sperimentale, I-34010 Trieste, Italy; [Camerlenghi, A.] Univ Barcelona, ICREA, E-08028 Barcelona, Spain; [Camerlenghi, A.] Univ Barcelona, GRC Geociencies Marines, Dept Estratig Paleontol &amp; Geociencies, E-08028 Barcelona, Spain; [Neagu, R. C.] Cardiff Univ, Sch Earth Ocean &amp; Planetary Sci, Lab 3D, Cardiff CF10 3YE, S Glam, Wales</t>
  </si>
  <si>
    <t>Istituto Nazionale di Oceanografia e di Geofisica Sperimentale; ICREA; University of Barcelona; University of Barcelona; Cardiff University</t>
  </si>
  <si>
    <t>Neagu, RC (corresponding author), Ist Nazl Oceanog &amp; Geofis Sperimentale, 42-C, I-34010 Trieste, Italy.</t>
  </si>
  <si>
    <t>ralukaneagu@gmail.com</t>
  </si>
  <si>
    <t>Tinivella, Umberta/AAF-3133-2020; Camerlenghi, Angelo/AAG-3852-2019; Camerlenghi, Angelo/C-8816-2011; Camerlenghi, Angelo/O-1593-2013; Rebesco, Michele/B-7462-2014</t>
  </si>
  <si>
    <t>Tinivella, Umberta/0000-0002-1588-6452; Camerlenghi, Angelo/0000-0002-8128-9533; Camerlenghi, Angelo/0000-0002-8128-9533; Rebesco, Michele/0000-0002-9492-4081; Volpi, Valentina/0000-0002-4407-615X</t>
  </si>
  <si>
    <t>EC-FPV Research and Training Network EURODOM; ICREA Funding Source: Custom</t>
  </si>
  <si>
    <t>EC-FPV Research and Training Network EURODOM; ICREA(ICREA)</t>
  </si>
  <si>
    <t>This study has been funded by the EC-FPV Research and Training Network EURODOM (European Deep Ocean Margins: a new training-through-research frontier). Thanks to Hampson-Russell, Calgary, Alberta, Canada for making the software available. Miquel Canals and Claus-Dieter Hillenbrand are gratefully acknowledged for their constructive comments.</t>
  </si>
  <si>
    <t>1437-3262</t>
  </si>
  <si>
    <t>10.1007/s00531-008-0315-2</t>
  </si>
  <si>
    <t>451UO</t>
  </si>
  <si>
    <t>WOS:000266496600009</t>
  </si>
  <si>
    <t>Huvenne, VAI; Masson, DG; Wheeler, AJ</t>
  </si>
  <si>
    <t>Huvenne, V. A. I.; Masson, D. G.; Wheeler, A. J.</t>
  </si>
  <si>
    <t>Sediment dynamics of a sandy contourite: the sedimentary context of the Darwin cold-water coral mounds, Northern Rockall Trough</t>
  </si>
  <si>
    <t>Cold-water corals; Sandy contourites; Sediment transport; Continental margin; Northern Rockall Trough</t>
  </si>
  <si>
    <t>DEEP-WATER; SLOPE CURRENT; ATLANTIC; MARGIN; SEA; CIRCULATION; THRESHOLD; SHETLAND; VELOCITY; COMPLEX</t>
  </si>
  <si>
    <t>Grainsize, mineralogy and current-meter data from the Northern Rockall Trough are presented in order to characterise the sandy contourite that forms the sedimentary environment of the Darwin cold-water coral mounds, and to investigate the impact of this environment on the mound build-up. Large clusters of small cold-water coral mounds, 75 m across and 5 m high, have been found southwest of the Wyville Thomson Ridge, at 900-1,100 m water depth. Their present-day sedimentary environment consists of a subtly sorted sandy contourite, elongated NE-SW, roughly parallel to the contours. Critical erosional and depositional current speeds were calculated, and trends in both the quartz/feldspar and foraminifera fractions of the sands show a bi-directional fining from bedload/erosion-dominated sands in the NE to suspension/deposition-dominated sediments in the SW and towards the S (downslope). This is caused by a gradual reduction in governing current speed, linked to a reduction in slope gradient, and by the increasing distance from the current core in the downslope direction. No specific characteristics were found distinguishing the mound sediments from the surrounding sands: they fit in the overall spatial pattern. Some mound cores show hints of a fining-upward trend. Overall the mound build-up process is interpreted as a result of sediment baffling.</t>
  </si>
  <si>
    <t>[Huvenne, V. A. I.; Masson, D. G.] Natl Oceanog Ctr, Southampton SO14 3ZH, Hants, England; [Wheeler, A. J.] Univ Coll Cork, Cork, Ireland</t>
  </si>
  <si>
    <t>NERC National Oceanography Centre; University College Cork</t>
  </si>
  <si>
    <t>Huvenne, VAI (corresponding author), Natl Oceanog Ctr, European Way, Southampton SO14 3ZH, Hants, England.</t>
  </si>
  <si>
    <t>vaih@noc.soton.ac.uk</t>
  </si>
  <si>
    <t>Masson, Douglas/AAR-9436-2020</t>
  </si>
  <si>
    <t>Wheeler, Andrew/0000-0001-7107-2229; Huvenne, Veerle A.I./0000-0001-7135-6360</t>
  </si>
  <si>
    <t>EC FP5 RTN EURODOM [HPRN-CT-2002-00212]; FWO-Flanders (Belgium); EC FP6 IP HERMES [GOCE-CT-2005-511234]; European Commission's Sixth Framework Programme; EC FP6 Marie Curie Intra-European Fellowship [MEIF-CT-2004-009412]; honorary post-doctoral mandate of the FWO- Flanders (Belgium); NERC [bosc01001, soc010009] Funding Source: UKRI; Natural Environment Research Council [soc010009, bosc01001] Funding Source: researchfish</t>
  </si>
  <si>
    <t>EC FP5 RTN EURODOM(European Union (EU)); FWO-Flanders (Belgium)(FWO); EC FP6 IP HERMES(European Union (EU)); European Commission's Sixth Framework Programme(European Union (EU)European Commission Joint Research Centre); EC FP6 Marie Curie Intra-European Fellowship(European Union (EU)); honorary post-doctoral mandate of the FWO- Flanders (Belgium); NERC(UK Research &amp; Innovation (UKRI)Natural Environment Research Council (NERC)); Natural Environment Research Council(UK Research &amp; Innovation (UKRI)Natural Environment Research Council (NERC))</t>
  </si>
  <si>
    <t>The authors would like to thank the captain, crew and scientific party of the RRS Discovery cruise 248, during which the main dataset was gathered. The British Antarctic Survey (BAS), in the person of C. Pudsey and P. Morris, is thanked for the provision of and help with the TOPAS data. The cores were sampled and stored in the BOSCORF National Marine Facility. We would like to thank Tj. van Weering and B. Pratt for their helpful reviews. We also gratefully acknowledge the support from the EC FP5 RTN EURODOM (EC contract no HPRN-CT-2002-00212), from the FWO-Flanders (Belgium), and from the EC FP6 IP HERMES (EC contract no GOCE-CT-2005-511234, funded by the European Commission's Sixth Framework Programme under the priority 'Sustainable Development, Global Change and Ecosystems') during the course of this research. At the moment of submission, V. Huvenne was holder of a EC FP6 Marie Curie Intra-European Fellowship (project SEDCoral, EC contract no MEIF-CT-2004-009412) and had a honorary post-doctoral mandate of the FWO- Flanders (Belgium).</t>
  </si>
  <si>
    <t>10.1007/s00531-008-0312-5</t>
  </si>
  <si>
    <t>WOS:000266496600011</t>
  </si>
  <si>
    <t>Pindi, PK; Kishore, KH; Reddy, GSN; Shivaji, S</t>
  </si>
  <si>
    <t>Pindi, Pavan Kumar; Kishore, K. Hara; Reddy, G. S. N.; Shivaji, S.</t>
  </si>
  <si>
    <t>Description of Leifsonia kafniensis sp nov and Leifsonia antarctica sp nov.</t>
  </si>
  <si>
    <t>PERFORMANCE LIQUID-CHROMATOGRAPHY; BACTERIAL MENAQUINONE MIXTURES; BIOLOGICAL SOIL CRUSTS; ET-AL. 1984; GEN. NOV.; FAMILY MICROBACTERIACEAE; SEQUENCE ALIGNMENT; DRY VALLEY; CELL-WALL; CORYNEBACTERIUM</t>
  </si>
  <si>
    <t>Strains KFC-22(T) and SPC-20(T) are yellow-pigmented, Gram-positive, aerobic, non-motile, rod-shaped bacteria that were isolated from a soil sample near the Kafni glacier in the Himalayan mountain ranges in India, and from a spade core sediment sample from the Antarctic Ocean at Larsemann Hill, respectively. In both cases, the cell-wall peptidoglycan contained 2,4-diaminobutyric acid as the diamino acid, anteiso-C-15:0, anteiso-C-17:0 and iso-C-16:0 were the predominant fatty acids and MK-11 was the major isoprenoid quinone in the cell membrane. On the basis of the above-mentioned characteristics, both strains can be assigned to the genus Leifsonia. The strains share 16S rRNA gene sequence similarity of 97.7% and DNA relatedness of only 10%, indicating that they represent different species. A BLAST analysis indicated that Leifsonia pindariensis POW10(T) was the closest phylogenetic neighbour of strains SPC-20(T) and KFC-22(T), showing 16S rRNA gene sequence similarities of 97.3 and 97.7%, respectively. However, at the whole-genome level, strains KFC-22(T) and SPC-20(T) shared 42 and 11% DNA-DNA relatedness, respectively, with L. pindariensis PON10(T). In addition, both strains exhibited several phenotypic differences with respect to L. pindariensis PON10(T). Thus, on the basis of the differences that the two strains exhibited with respect to L. pindariensis, both were identified as representing novel species of the genus Leifsonia, for which the names Leifsonia kafniensis, sp. nov. (type strain KFC-22(T)=NCCB 100216(T)=LMG 24362(T)) and Leifsonia antarctica sp. nov. (type strain SPC-20(T)=NCCB 100227(T)=LMG 24541(T)) are proposed.</t>
  </si>
  <si>
    <t>[Pindi, Pavan Kumar; Kishore, K. Hara; Reddy, G. S. N.; Shivaji, S.] Ctr Cellular &amp; Mol Biol, Hyderabad 500007, Andhra Pradesh, India</t>
  </si>
  <si>
    <t>Department of Biotechnology; Department of Earth Sciences; National Centre for Antarctic Research, Government of India</t>
  </si>
  <si>
    <t>Department of Biotechnology; Department of Earth Sciences; National Centre for Antarctic Research, Government of India(Ministry of Earth Science (MoES), Government of India)</t>
  </si>
  <si>
    <t>We would like to thank the Department of Biotechnology, the Department of Earth Sciences and The National Centre for Antarctic Research, Government of India, for financial support to S. S.</t>
  </si>
  <si>
    <t>10.1099/ijs.0.006643-0</t>
  </si>
  <si>
    <t>466EZ</t>
  </si>
  <si>
    <t>WOS:000267645000017</t>
  </si>
  <si>
    <t>Zhang, GI; Hwang, CY; Kang, SH; Cho, BC</t>
  </si>
  <si>
    <t>Zhang, Gwang Il; Hwang, Chung Yeon; Kang, Sung-Ho; Cho, Byung Cheol</t>
  </si>
  <si>
    <t>Maribacter antarcticus sp nov., a psychrophilic bacterium isolated from a culture of the Antarctic green alga Pyramimonas gelidicola</t>
  </si>
  <si>
    <t>DEOXYRIBONUCLEIC-ACID; SEA-WATER; FLAVOBACTERIACEAE; IDENTIFICATION</t>
  </si>
  <si>
    <t>A psychrophilic, Gram-negative, dark orange-pigmented bacterium, designated CL-AP4(T), was isolated from a culture of the green alga Pyramimonas gelidicola obtained from the Southern Ocean. Strain CL-AP4(T) grew optimally at 10 degrees C, in the presence of 3-4 % sea salts and at pH 8. 16S rRNA gene sequence analysis revealed that strain CL-AP4(T) belonged to the family Flavobacteriaceae, with Maribacter arcticus KOPRI 20941(T) as its closest relative (97.2 % similarity). A number of chemotaxonomic characteristics supported affiliation of strain CL-AP4(T) with the genus Maribacter, i.e. iso-C-15:0 (117.2 %), iso-C-15:1 (16.8 %) and iso-C-17:0 3-OH (14.9 %) were the dominant fatty acids, MK-6 was the major menaquinone and the DNA G + C content was 37.1 mol%. DNA-DNA relatedness between CL-AP4(T) and M. arcticus KOPRI 20941(T) was only 10 %, suggesting that they are genomically distinct species. In addition, strain CL-AP4(T) differed phenotypically from M. arcticus in its optimum growth temperature, its ability to hydrolyse starch, Tween 40 and Tween 80, and production of certain enzymes. On the basis of the results of the polyphasic analysis, strain CL-AP4(T) was classified in the genus Maribacter as belonging to a novel species, for which the name Maribacter antarcticus sp. nov. is proposed; the type strain is CL-AP4(T) (=KCCM 90069(T)=JCM 15445(T)).</t>
  </si>
  <si>
    <t>[Zhang, Gwang Il; Hwang, Chung Yeon; Cho, Byung Cheol] Seoul Natl Univ, Sch Earth &amp; Environm Sci, Seoul 151742, South Korea; [Zhang, Gwang Il; Hwang, Chung Yeon; Cho, Byung Cheol] Seoul Natl Univ, Res Inst Oceanog, Seoul 151742, South Korea; [Kang, Sung-Ho] Korea Polar Res Inst KOPRI, Div Polar Biol &amp; Ocean Sci, Inchon 406840, South Korea</t>
  </si>
  <si>
    <t>Seoul National University (SNU); Seoul National University (SNU); Korea Polar Research Institute (KOPRI)</t>
  </si>
  <si>
    <t>Cho, BC (corresponding author), Seoul Natl Univ, Sch Earth &amp; Environm Sci, San 56-1, Seoul 151742, South Korea.</t>
  </si>
  <si>
    <t>Jang, Gwang il/C-9656-2014</t>
  </si>
  <si>
    <t>10.1099/ijs.0.006056-0</t>
  </si>
  <si>
    <t>WOS:000267645000037</t>
  </si>
  <si>
    <t>Downarowicz, T; Maass, A</t>
  </si>
  <si>
    <t>Downarowicz, Tomasz; Maass, Alejandro</t>
  </si>
  <si>
    <t>Smooth interval maps have symbolic extensions</t>
  </si>
  <si>
    <t>INVENTIONES MATHEMATICAE</t>
  </si>
  <si>
    <t>ENTROPY; GROWTH</t>
  </si>
  <si>
    <t>We prove that if X denotes the interval or the circle then every transformation T:X -&gt; X of class C (r) , where r &gt; 1 is not necessarily an integer, admits a symbolic extension, i.e., every such transformation is a topological factor of a subshift over a finite alphabet. This is done using the theory of entropy structure. For such transformations we control the entropy structure by providing an upper bound, in terms of Lyapunov exponents, of local entropy in the sense of Newhouse of an ergodic measure nu near an invariant measure mu (the antarctic theorem). This bound allows us to estimate the so-called symbolic extension entropy function on invariant measures (the main theorem), and as a consequence, to estimate the topological symbolic extension entropy; i.e., a number such that there exists a symbolic extension with topological entropy arbitrarily close to that number. This last estimate coincides, in dimension 1, with a conjecture stated by Downarowicz and Newhouse [13, Conjecture 1.2]. The passage from the antarctic theorem to the main theorem is applicable to any topological dynamical system, not only to smooth interval or circle maps.</t>
  </si>
  <si>
    <t>[Downarowicz, Tomasz] Tech Univ Wroclaw, Inst Math &amp; Comp Sci, Wybrzeze Wyspianskiego 27, PL-50370 Wroclaw, Poland; [Maass, Alejandro] Univ Chile, Dept Engn Math, Santiago, Chile; [Maass, Alejandro] Univ Chile, Ctr Math Modeling, Santiago, Chile</t>
  </si>
  <si>
    <t>Wroclaw University of Science &amp; Technology; Universidad de Chile; Universidad de Chile</t>
  </si>
  <si>
    <t>Downarowicz, T (corresponding author), Tech Univ Wroclaw, Inst Math &amp; Comp Sci, Wybrzeze Wyspianskiego 27, PL-50370 Wroclaw, Poland.</t>
  </si>
  <si>
    <t>downar@im.pwr.wroc.pl; amaass@dim.uchile.cl</t>
  </si>
  <si>
    <t>Maass, Alejandro E/D-5848-2012; Downarowicz, Tomasz/AAG-7855-2020</t>
  </si>
  <si>
    <t>Maass, Alejandro E/0000-0002-7038-4527;</t>
  </si>
  <si>
    <t>0020-9910</t>
  </si>
  <si>
    <t>1432-1297</t>
  </si>
  <si>
    <t>INVENT MATH</t>
  </si>
  <si>
    <t>Invent. Math.</t>
  </si>
  <si>
    <t>10.1007/s00222-008-0172-4</t>
  </si>
  <si>
    <t>Mathematics</t>
  </si>
  <si>
    <t>436UK</t>
  </si>
  <si>
    <t>WOS:000265441400005</t>
  </si>
  <si>
    <t>Rodrigues, DF; Jesus, ED; Ayala-del-Río, HL; Pellizari, VH; Gilichinsky, D; Sepulveda-Torres, L; Tiedje, JM</t>
  </si>
  <si>
    <t>Rodrigues, Debora F.; Jesus, Ederson da C.; Ayala-del-Rio, Hector L.; Pellizari, Vivian H.; Gilichinsky, David; Sepulveda-Torres, Lycely; Tiedje, James M.</t>
  </si>
  <si>
    <t>Biogeography of two cold-adapted genera: Psychrobacter and Exiguobacterium</t>
  </si>
  <si>
    <t>biogeography; diversity; psychrotroph; Exiguobacterium; Psychrobacter; Baas-Becking hypothesis</t>
  </si>
  <si>
    <t>ANCIENT SIBERIAN PERMAFROST; SP-NOV.; SEA-ICE; PSYCHROPHILIC BACTERIUM; TEMPERATURE; ENVIRONMENT; ANTARCTICA; DIVERSITY; LIBRARIES; SEDIMENTS</t>
  </si>
  <si>
    <t>The genera Exiguobacterium and Psychrobacter have been frequently detected in and isolated from polar permafrost and ice. These two genera have members that can grow at temperatures as low as -5 and -10 degrees C, respectively. We used quantitative PCR (Q-PCR) to quantify members of these genera in 54 soil or sediment samples from polar, temperate and tropical environments to determine to what extent they are selected by cold environments. These results were further analyzed by multiple linear regression to identify the most relevant environmental factors corresponding to their distribution. Exiguobacterium was detected in all three climatic zones at similar densities, but was patchier in the temperate and tropical samples. Psychrobacter was present in almost all polar samples, was at highest densities in Antarctica sediment samples, but was in very low densities and infrequently detected in temperate and tropical soils. Clone libraries, specific for the 16S rRNA gene for each genus, were constructed from a sample from each climatic region. The clone libraries were analyzed for alpha and beta diversities, as well as for variation in population structure by using analysis of molecular variance. Results confirm that both genera were found in all three climatic zones; however, Psychrobacter populations seemed to be much more diverse than Exiguobacterium in all three climatic zones. Furthermore, Psychrobacter populations from Antarctica are different from those in Michigan and Puerto Rico, which are similar to each other. The ISME Journal (2009) 3, 658-665; doi: 10.1038/ismej.2009.25; published online 26 March 2009</t>
  </si>
  <si>
    <t>[Rodrigues, Debora F.] Michigan State Univ, Dept Microbiol &amp; Mol Genet, Ctr Microbial Ecol, E Lansing, MI 48824 USA; [Jesus, Ederson da C.] Univ Fed Lavras, Dept Soil &amp; Sci, Lavras, MG, Brazil; [Ayala-del-Rio, Hector L.] Univ Puerto Rico, Dept Microbiol, Humacao, PR USA; [Pellizari, Vivian H.] Univ Sao Paulo, Dept Microbiol, Sao Paulo, Brazil; [Gilichinsky, David] Russian Acad Sci, Inst Physicochem &amp; Biol Problems Soil Sci, Moscow, Moscow Region, Russia; [Sepulveda-Torres, Lycely] Stanford Univ, Dept Civil &amp; Environm Engn, Stanford, CA 94305 USA</t>
  </si>
  <si>
    <t>Michigan State University; Universidade Federal de Lavras; University of Puerto Rico; University of Puerto Rico Humacao; Universidade de Sao Paulo; Russian Academy of Sciences; Pushchino Scientific Center for Biological Research (PSCBI) of the Russian Academy of Sciences; Institute of Physicohemical &amp; Biological Problems of Soil Science; Stanford University</t>
  </si>
  <si>
    <t>Rodrigues, DF (corresponding author), Michigan State Univ, Dept Microbiol &amp; Mol Genet, Ctr Microbial Ecol, 540 Plant &amp; Soil Sci Bldg, E Lansing, MI 48824 USA.</t>
  </si>
  <si>
    <t>rodri257@msu.edu</t>
  </si>
  <si>
    <t>Jesus, Ederson/AAC-5305-2019; Jesus, Ederson/D-1690-2010; Rodrigues, Debora F/I-9895-2014; Pellizari, Vivian/J-9153-2012</t>
  </si>
  <si>
    <t>Rodrigues, Debora F/0000-0002-3124-1443; Pellizari, Vivian/0000-0003-2757-6352</t>
  </si>
  <si>
    <t>NASA [NCC2-1274]; NSF; Coordenacao de Aperfeicoamento de Pessoal de Nivel Superior (CAPES)</t>
  </si>
  <si>
    <t>NASA(National Aeronautics &amp; Space Administration (NASA)); NSF(National Science Foundation (NSF)); Coordenacao de Aperfeicoamento de Pessoal de Nivel Superior (CAPES)(Coordenacao de Aperfeicoamento de Pessoal de Nivel Superior (CAPES))</t>
  </si>
  <si>
    <t>This work was supported by a cooperative agreement with NASA Astrobiology Institute number NCC2-1274 and the NSF Long-Term Ecological Research Program at the Kellogg Biological Station. We thank Chia-Ju Lin and Yahira M. Baez for their valuable technical support, Andrew Corbin for providing site access to the Kellogg Biological Station and sampling assistance, Peter Bergholz for the samples from Bratina Island during the 2005-2006 NSF Antarctic Biology Course (OPP Project B-301-M), Dr Fatima Moreira, and the Global Environmental Facility/United Nations Environment Program (GEF/UNEP project CSM-BGBD/GF2715-02 with the global coordination of CIAT/TSBF) for the Brazilian soil samples. We thank the Coordenacao de Aperfeicoamento de Pessoal de Nivel Superior (CAPES) for the financial support to Ederson da Conceicao Jesus.</t>
  </si>
  <si>
    <t>10.1038/ismej.2009.25</t>
  </si>
  <si>
    <t>452HI</t>
  </si>
  <si>
    <t>WOS:000266530600003</t>
  </si>
  <si>
    <t>Ward, EJ; Holmes, EE; Balcomb, KC</t>
  </si>
  <si>
    <t>Ward, Eric J.; Holmes, Elizabeth E.; Balcomb, Ken C.</t>
  </si>
  <si>
    <t>Quantifying the effects of prey abundance on killer whale reproduction</t>
  </si>
  <si>
    <t>bayesian model selection; killer whale; management of endangered species; predator-prey interactions; resource limitation; salmon</t>
  </si>
  <si>
    <t>ANTARCTIC FUR SEALS; ORCINUS-ORCA; SENESCENCE; POPULATION; DEMOGRAPHY; PACIFIC; AGE; OSCILLATION; PERFORMANCE</t>
  </si>
  <si>
    <t>Management decisions for threatened and endangered species require risks to be identified and prioritized, based on the degree to which they influence population dynamics. The potential for recovery of small populations at risk may be determined by multiple factors, including intrinsic population characteristics (inbreeding, sex ratios) and extrinsic variables (prey availability, disease, human disturbance). Using Bayesian statistical methods, the impact of each of these risk factors on demographic rates can be quantified and assigned probabilities to express uncertainty. We assessed the impact of a wide range of factors on the fecundity of two threatened populations of killer whales Orcinus orca, specifically whether killer whale production is limited by availability of Chinook salmon Oncorhynchus tshawytscha. Additional variables included anthropogenic factors, climate variables, temporal effects, and population variables (population size, number of males, female age). Our results indicate that killer whale fecundity is highly correlated with the abundance of Chinook salmon. For example, the probability of a female calving differed by 50% between years of low salmon abundance and high salmon abundance. Weak evidence exists for linking fecundity to other variables, such as sea surface temperature. There was strong data support for reproductive senescence in female killer whales. This pattern of rapid maturity and gradual decline of fecundity with age commonly seen in terrestrial mammals has been documented in few marine mammal species. Maximum production for this species occurs between ages 20-22, and reproductive performance declines gradually to menopause over a period of 25 years. Synthesis and applications. Our results provide strong evidence for reproductive senescence in killer whales, and more importantly, that killer whale fecundity is strongly tied to the abundance of Chinook salmon, a species that is susceptible to environmental variation and has high commercial value to fisheries. This strong predator-prey relationship highlights the importance of understanding which salmon populations overlap with killer whales seasonally and spatially, so that those salmon populations important as prey for killer whales can be identified and targeted for conservation efforts.</t>
  </si>
  <si>
    <t>[Ward, Eric J.; Holmes, Elizabeth E.] NOAA, Natl Marine Fisheries Serv, NW Fisheries Sci Ctr, Seattle, WA 98112 USA; [Balcomb, Ken C.] Ctr Whale Res, Friday Harbor, WA 98250 USA</t>
  </si>
  <si>
    <t>National Oceanic Atmospheric Admin (NOAA) - USA</t>
  </si>
  <si>
    <t>Ward, EJ (corresponding author), NOAA, Natl Marine Fisheries Serv, NW Fisheries Sci Ctr, 2725 Montlake Blvd E, Seattle, WA 98112 USA.</t>
  </si>
  <si>
    <t>Eric.Ward@noaa.gov</t>
  </si>
  <si>
    <t>Holmes, Elizabeth/0000-0001-9128-8393</t>
  </si>
  <si>
    <t>National Research Council</t>
  </si>
  <si>
    <t>Post-doctoral funding supporting E. Ward was provided by the National Research Council. We would also like to thank M. Ford, C. Emmons, B. Hanson, and D. Noren for helpful discussions and comments, and M. Scheuerell for providing data for climate indices.</t>
  </si>
  <si>
    <t>1365-2664</t>
  </si>
  <si>
    <t>10.1111/j.1365-2664.2009.01647.x</t>
  </si>
  <si>
    <t>439GE</t>
  </si>
  <si>
    <t>WOS:000265614800017</t>
  </si>
  <si>
    <t>Janssen, V</t>
  </si>
  <si>
    <t>Janssen, Volker</t>
  </si>
  <si>
    <t>Detection of abrupt baseline length changes using cumulative sums</t>
  </si>
  <si>
    <t>JOURNAL OF APPLIED GEODESY</t>
  </si>
  <si>
    <t>Cumulative sum (CUSUM); GPS; base-line length changes; deformation monitorin; Amery Ice Shelf</t>
  </si>
  <si>
    <t>Dynamic processes are usually monitored by collecting a time series of observations, which is then analysed in order to detect any motion or nonstandard behaviour. Geodetic examples include the monitoring of dams, bridges, high-rise buildings, landslides, volcanoes and tectonic motion. The cumulative sum (CUSUM) test is recognised as a popular means to detect changes in the mean and/or the standard deviation of a time series and has been applied to various monitoring tasks. This paper briefly describes the CUSUM technique and how it can be utilised for the detection of small baseline length changes by differencing two perpendicular baselines sharing a common site. A simulation is carried out in order to investigate the expected behaviour of the resulting CUSUM charts for a variety of typical deformation monitoring scenarios. This simulation shows that using first differences (between successive epochs) as input, rather than the original baseline lengths, produces clear peaks or jumps in the differenced CUSUM time series when a sudden change in baseline length occurs. These findings are validated by analysing several GPS baseline pairs of a network deployed to monitor the propagation of an active ice shelf rift on the Amery Ice Shelf, East Antarctica.</t>
  </si>
  <si>
    <t>[Janssen, Volker] Univ Tasmania, Sch Geog &amp; Environm Studies, Hobart, Tas, Australia</t>
  </si>
  <si>
    <t>Janssen, V (corresponding author), Univ Tasmania, Sch Geog &amp; Environm Studies, Hobart, Tas, Australia.</t>
  </si>
  <si>
    <t>volker.janssen@utas.edu.au</t>
  </si>
  <si>
    <t>Australian Government Antarctic Division through Australian Antarctic Science [2338]; IRGS [J0015638]</t>
  </si>
  <si>
    <t>Australian Government Antarctic Division through Australian Antarctic Science; IRGS</t>
  </si>
  <si>
    <t>GPS data collection was supported by the Australian Government Antarctic Division through an Australian Antarctic Science grant (#2338) to Prof. Richard Coleman who is gratefully acknowledged for providing these data and invaluable advice during the course of this study. Work at the University of Tasmania was supported by an IRGS grant (J0015638) to the author.</t>
  </si>
  <si>
    <t>1862-9016</t>
  </si>
  <si>
    <t>1862-9024</t>
  </si>
  <si>
    <t>J APPL GEOD</t>
  </si>
  <si>
    <t>J. Appl. Geod.</t>
  </si>
  <si>
    <t>10.1515/JAG.2009.010</t>
  </si>
  <si>
    <t>Remote Sensing</t>
  </si>
  <si>
    <t>V07VI</t>
  </si>
  <si>
    <t>Green Submitted, Green Accepted, Green Published</t>
  </si>
  <si>
    <t>WOS:000214034900003</t>
  </si>
  <si>
    <t>Thunderstorm-associated responses in the vertical motion of the mid-latitude F-region ionosphere</t>
  </si>
  <si>
    <t>Mid-latitude ionosphere; Thunderstorm-ionosphere coupling; Superposed epoch analysis</t>
  </si>
  <si>
    <t>ELECTRIC-FIELDS; ATMOSPHERE; SOLAR; IONIZATION; SPRITES; CYCLE</t>
  </si>
  <si>
    <t>Mid-latitude Digisonde Doppler velocities, auroral electrojet (AE) indices and cloud-to-ground (CG) lightning strokes during August 2003-2004 were used to study the perturbations in the F-region vertical drift associated with terrestrial thunderstorms. A superposed epoch analysis (SEA) showed that the F-region vertical drifts V(z) had a net descent of similar to 0.6 m s(-1) peaking similar to 3 h after lightning. Stronger downward perturbations of up to similar to 0.9 m s(-1) were observed in the afternoon on the day prior to lightning days. The perturbations were less significant on the day after and insignificant during the remaining intervals up to 144 h on either side of the lightning. The stronger responses on the day before are consistent with causality because the lightning times were merely proxies for the physical mechanisms involved. The actual causes are unclear, but we discuss the possible roles of lightning-induced ionisation enhancements, intense electric fields penetrating upward from electrified Clouds, and atmospheric gravity waves (AGWs) radiated from thunderstorms or from the accompanying tropospheric fronts. There is no doubt that the behaviour of the mid-latitude F-region is controlled by the thermospheric winds and the solar wind-magnetosphere electrical generators, but our results suggest that electrified clouds also account for a significant, albeit relatively small component of the ionospheric variability. (C) 2009 Elsevier Ltd. All rights reserved.</t>
  </si>
  <si>
    <t>[Kumar, V. V.; Parkinson, M. L.; Dyson, P. L.] La Trobe Univ, Dept Phys, Melbourne, Vic 3086, Australia; [Burns, G. B.] Australian Govt, Australian Antarctic Div, Kingston, Tas 7050, Australia</t>
  </si>
  <si>
    <t>La Trobe University; Australian Antarctic Division</t>
  </si>
  <si>
    <t>Kumar, VV (corresponding author), La Trobe Univ, Dept Phys, Melbourne, Vic 3086, Australia.</t>
  </si>
  <si>
    <t>v.kumar@latrobe.edu.au; m.parkinson@latrobe.edu.au; p.dyson@latrobe.edu.au; Gary.Burns@aad.gov.au</t>
  </si>
  <si>
    <t>La Trobe University; Australian Government Endeavour Postgraduate Award [ESPA_DCD_365_2007]</t>
  </si>
  <si>
    <t>La Trobe University; Australian Government Endeavour Postgraduate Award(Australian GovernmentDepartment of Industry, Innovation and Science)</t>
  </si>
  <si>
    <t>This work was supported by an internal research grant awarded by the La Trobe University. We thank the WWLLN for providing lightning data over the region. The financial support for Vickal V. Kumar was provided by an Australian Government Endeavour Postgraduate Award (ESPA_DCD_365_2007).</t>
  </si>
  <si>
    <t>10.1016/j.jastp.2009.03.021</t>
  </si>
  <si>
    <t>465HE</t>
  </si>
  <si>
    <t>WOS:000267572600001</t>
  </si>
  <si>
    <t>Hu, ZJ; Yang, H; Huang, D; Araki, T; Sato, N; Taguchi, M; Seran, E; Hu, H; Liu, R; Zhang, B; Han, D; Chen, Z; Zhang, Q; Liang, J; Liu, S</t>
  </si>
  <si>
    <t>Hu, Z. -J.; Yang, H.; Huang, D.; Araki, T.; Sato, N.; Taguchi, M.; Seran, E.; Hu, H.; Liu, R.; Zhang, B.; Han, D.; Chen, Z.; Zhang, Q.; Liang, J.; Liu, S.</t>
  </si>
  <si>
    <t>Synoptic distribution of dayside aurora: Multiple-wavelength all-sky observation at Yellow River Station in Ny-Alesund, Svalbard</t>
  </si>
  <si>
    <t>Dayside aurora; Auroral ionosphere; Ionosphere/magnetosphere interactions; Particle precipitation</t>
  </si>
  <si>
    <t>LATITUDE BOUNDARY-LAYER; BRIGHT SPOTS; PRECIPITATION; MAGNETOSPHERE; ACCELERATION; RECONNECTION; CONVECTION; MORPHOLOGY; REGION; 5577A</t>
  </si>
  <si>
    <t>Observations acquired from three-wavelength (427.8, 557.7 and 630.0 nm) all-sky imagers (ASIs) at Yellow River Station (YRS) in Ny-Alesund, Svalbard, are used to examine the synoptic distribution of dayside aurora. The results demonstrate that the maximum emission regions (MERs) at each wavelength are all located in the postnoon sector, but have rather different magnetic local time (MLT) distributions from each other. The so-called 15 MLT hot spot is the overlapping region of the MERs at three wavelengths, and the prenoon warm spot is characterized uniquely by an increase of emissions at the 557.7 nm wavelength. The detailed dayside auroral spectra and morphology as a function of MLT are discussed. (C) 2009 Elsevier Ltd. All rights reserved.</t>
  </si>
  <si>
    <t>[Hu, Z. -J.; Yang, H.; Huang, D.; Araki, T.; Hu, H.; Liu, R.; Zhang, B.; Han, D.; Chen, Z.; Zhang, Q.; Liu, S.] Polar Res Inst China, SOA Key Lab Polar Sci, Shanghai 200136, Peoples R China; [Hu, Z. -J.] Wuhan Univ, Sch Elect Informat, Wuhan 430079, Peoples R China; [Araki, T.] Kyoto Univ, Grad Sch Sci, Data Anal Ctr Geomagnetism &amp; Space Magnetism, Kyoto 6068502, Japan; [Sato, N.; Taguchi, M.] Natl Inst Polar Res, Tokyo 1738515, Japan; [Seran, E.] CETP, F-94100 St Maur, France; [Liang, J.] Xidian Univ, Life Sci Res Ctr, Xian 710071, Peoples R China</t>
  </si>
  <si>
    <t>Polar Research Institute of China; Wuhan University; Kyoto University; Research Organization of Information &amp; Systems (ROIS); National Institute of Polar Research (NIPR) - Japan; Xidian University</t>
  </si>
  <si>
    <t>Yang, H (corresponding author), Polar Res Inst China, SOA Key Lab Polar Sci, Shanghai 200136, Peoples R China.</t>
  </si>
  <si>
    <t>huzejun@pric.gov.cn; huigen_yang@pric.gov.cn; huang@pric.gov.cn; arakit@obsc.mbox.media.kyoto-u.ac.jp; nsato@nipr.ac.jp; taguchi@nipr.ac.jp; Elena.Seran@latmos.ipsl.fr; hhq@pric.gov.cn; ryliu@pric.gov.cn; bczhang@pric.gov.cn; handesheng@pric.gov.cn; chenzhuotian@pric.gov.cn; zhangqinghe@pric.gov.cn; jimleung@mail.xidian.edu.cn; liushunlin@pric.gov.cn</t>
  </si>
  <si>
    <t>Han, Desheng/P-2663-2017; Hu, Ze-Jun/X-8090-2019; Liang, Jimin/B-5394-2014; Zhang, Qing-He/G-4572-2014; Han, Desheng/H-6971-2018</t>
  </si>
  <si>
    <t>Hu, Ze-Jun/0000-0003-2448-2094; Liang, Jimin/0000-0003-1428-5804; Zhang, Qing-He/0000-0003-2429-4050; Zhang, Beichen/0000-0002-0927-9568; Han, Desheng/0000-0002-6635-9214</t>
  </si>
  <si>
    <t>National Natural Science Foundation of China [40236058, 40604020, 40574066, 40504009, 40574075, 60872154]; Ministry of Science and Technology of the People's Republic of China [2005DFA20970, 2006BAB18B06]</t>
  </si>
  <si>
    <t>National Natural Science Foundation of China(National Natural Science Foundation of China (NSFC)); Ministry of Science and Technology of the People's Republic of China(Ministry of Science and Technology, China)</t>
  </si>
  <si>
    <t>This research was supported by the National Natural Science Foundation of China (40236058, 40604020, 40574066, 40504009, 40574075, 60872154), the projects of Ministry of Science and Technology of the People's Republic of China (2005DFA20970, 2006BAB18B06), and the fund of China Meteorological Administration (GYHY200706043). Thanks for the funds supporting of Chinese Arctic and Antarctic Administration, and the technique supporting of National Institute of Polar Research, Japan. We thank Prof. M.W. Dunlop (Rutherford-Appleton Laboratory, UK) for modifying the paper.</t>
  </si>
  <si>
    <t>10.1016/j.jastp.2009.02.010</t>
  </si>
  <si>
    <t>WOS:000267572600002</t>
  </si>
  <si>
    <t>Mitchell, NJ; Beldon, CL</t>
  </si>
  <si>
    <t>Mitchell, N. J.; Beldon, C. L.</t>
  </si>
  <si>
    <t>Gravity waves in the mesopause region observed by meteor radar: 1. A simple measurement technique</t>
  </si>
  <si>
    <t>Gravity waves; Meteor radar; Polar; Mesopause; Mesosphere and lower thermosphere; Dynamics</t>
  </si>
  <si>
    <t>LOWER THERMOSPHERE; SEASONAL-VARIATIONS; MOMENTUM FLUXES; MEAN WINDS; POKER FLAT; MESOSPHERE; CLIMATOLOGY; PROPAGATION; MOTIONS; VARIABILITY</t>
  </si>
  <si>
    <t>A simple new technique for measuring gravity-wave activity using meteor radars is described. The technique uses the variance of horizontal wind velocities measured by individual meteors as a proxy for the activity of the gravity-wave field. It is sensitive to gravity waves with horizontal wavelengths of up to about 400 km and periods up to about 3 h. The technique can be used to investigate the vertical structure of the gravity-wave field at heights between approximately 80 and 100 km and with a time resolution of approximately 6 h. The technique is demonstrated using data from an all-sky meteor radar based at Rothera, Antarctica (68 degrees S, 68 degrees W). Observations made over Rothera for 2006 and 2007 reveal a seasonal behaviour with a semi-annual cycle in wave activity. Wave activity maximises in summer and winter and minimises at the equinoxes. Monthly mean gravity-wave activity increases with height in all seasons except in summer when gravity-wave variances show little or no increase with height below 90 km. Comparisons between the gravity-wave activity determined by this meteor-variance technique and other measurements at similar latitudes in the Antarctic reveal generally good agreement. (C) 2009 Elsevier Ltd. All rights reserved.</t>
  </si>
  <si>
    <t>[Mitchell, N. J.; Beldon, C. L.] Univ Bath, Dept Elect &amp; Elect Engn, Ctr Space Atmosphere &amp; Ocean Sci, Bath BA2 7AY, Avon, England</t>
  </si>
  <si>
    <t>University of Bath</t>
  </si>
  <si>
    <t>Beldon, CL (corresponding author), Univ Bath, Dept Elect &amp; Elect Engn, Ctr Space Atmosphere &amp; Ocean Sci, Claverton Down, Bath BA2 7AY, Avon, England.</t>
  </si>
  <si>
    <t>C.L.Beldon@bath.ac.uk</t>
  </si>
  <si>
    <t>NERC [NE/E007384/1]; STFC [PP/E002218/1]; NERC [NE/E007384/1] Funding Source: UKRI; STFC [PP/E002218/1] Funding Source: UKRI; Natural Environment Research Council [NER/G/S/2003/00014, NE/E007384/1] Funding Source: researchfish; Science and Technology Facilities Council [PP/E002218/1] Funding Source: researchfish</t>
  </si>
  <si>
    <t>NERC(UK Research &amp; Innovation (UKRI)Natural Environment Research Council (NERC)); STFC(UK Research &amp; Innovation (UKRI)Science &amp; Technology Facilities Council (STFC));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</si>
  <si>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radars used in this work are supported by the NERC grant NE/E007384/1 and a grant from the STFC, PP/E002218/1. The authors would also like to thank the two reviewers for their comments and suggestions while evaluating this paper.</t>
  </si>
  <si>
    <t>10.1016/j.jastp.2009.03.011</t>
  </si>
  <si>
    <t>WOS:000267572600010</t>
  </si>
  <si>
    <t>Beldon, CL; Mitchell, NJ</t>
  </si>
  <si>
    <t>Beldon, C. L.; Mitchell, N. J.</t>
  </si>
  <si>
    <t>Gravity waves in the mesopause region observed by meteor radar, 2: Climatologies of gravity waves in the Antarctic and Arctic</t>
  </si>
  <si>
    <t>Gravity waves; Meteor radar; Mesosphere and lower thermosphere; Dynamics; Antarctic; Arctic</t>
  </si>
  <si>
    <t>LOWER THERMOSPHERE; MIDDLE ATMOSPHERE; OH AIRGLOW; MF RADAR; MESOSPHERE; MOTIONS; PROPAGATION; INSTABILITIES; TEMPERATURES; VARIABILITY</t>
  </si>
  <si>
    <t>A simple technique has been used to investigate gravity waves in the Antarctic and Arctic mesosphere. Data from two meteor radars are used, one at Rothera in the Antarctic (68 degrees S) and one at Esrange in the Arctic (68 degrees N). Observations have been made from 2005 to 2008 in the Antarctic and from 2000 to 2008 in the Arctic. The results reveal a seasonal behaviour with a semi-annual cycle. Over both sites wave activity maximises at the solstices and minimises at the equinoxes. Monthly-mean gravity-wave activity increases with height in all seasons except in summer when gravity-wave variances show little or no increase with height at heights below about 90 kin. Above about 90 km in summer there is a rapid increase in wave activity. We suggest that this summer-time behaviour is a consequence of rapid wave growth as gravity waves ascend into the more stable air of the lower thermosphere. Differences between the Arctic and Antarctic gravity-wave field are also evident. In particular, a higher level of gravity-wave activity is observed in the Antarctic spring compared to the Arctic spring. We suggest that these inter-hemi spheric differences may be the result of differences in the generation of gravity waves in the polar troposphere and stratosphere. (C) 2009 Elsevier Ltd. All rights reserved.</t>
  </si>
  <si>
    <t>[Beldon, C. L.; Mitchell, N. J.] Univ Bath, Dept Elect &amp; Elect Engn, Ctr Space Atmosphere &amp; Ocean Sci, Bath BA2 7AY, Avon, England</t>
  </si>
  <si>
    <t>Beldon, CL (corresponding author), Univ Bath, Dept Elect &amp; Elect Engn, Ctr Space Atmosphere &amp; Ocean Sci, Bath BA2 7AY, Avon, England.</t>
  </si>
  <si>
    <t>NERC [NE/E007384/1]; STFC [PP/E002218/1]; Natural Environment Research Council [NER/G/S/2003/00014, NE/E007384/1] Funding Source: researchfish; Science and Technology Facilities Council [PP/E002218/1] Funding Source: researchfish; NERC [NE/E007384/1] Funding Source: UKRI; STFC [PP/E002218/1] Funding Source: UKRI</t>
  </si>
  <si>
    <t>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</si>
  <si>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The radars used in this work are supported by the NERC Grant NE/E007384/1 and a grant from the STFC, PP/E002218/1. The authors would also like to thank the two reviewers for their comments and suggestions while evaluating this paper.</t>
  </si>
  <si>
    <t>10.1016/j.jastp.2009.03.009</t>
  </si>
  <si>
    <t>WOS:000267572600011</t>
  </si>
  <si>
    <t>Nielsen, K; Taylor, MJ; Hibbins, RE; Jarvis, MJ</t>
  </si>
  <si>
    <t>Nielsen, K.; Taylor, M. J.; Hibbins, R. E.; Jarvis, M. J.</t>
  </si>
  <si>
    <t>Climatology of short-period mesospheric gravity waves over Halley, Antarctica (76°S, 27°W)</t>
  </si>
  <si>
    <t>Airglow; Gravity waves; Antarctica; Mesospheric imaging</t>
  </si>
  <si>
    <t>IMAGING DOPPLER INTERFEROMETER; LOWER THERMOSPHERE; MEAN WINDS; AIRGLOW; PROPAGATION; OH; LATITUDES; RADAR; ATMOSPHERE; REGIONS</t>
  </si>
  <si>
    <t>We present a first detailed climatological study of individual quasi-monochromatic mesospheric, short-period gravity-wave events observed over Antarctica. The measurements were made using an all-sky airglow imager located at Halley Station (76 degrees S, 27 degrees W) and encompass the 2000 and 2001 austral winter seasons. Distributions of wave parameters were found to be similar to findings at other latitudes. The wave headings exhibited unusually strong anisotropy with a dominant preference for motion towards the Antarctic continent and a rotation from westward during fall, to poleward in mid-winter, to eastward in spring. This rotation was accompanied by a systematic increase of similar to 50% in the magnitudes of the horizontal wavelengths and observed phase speeds. It is postulated that the observed wave anisotropy was due to a succession of wave sources of different characteristics lying equatorward of Halley, or a dominant source mechanism evolving with time during the winter months. (C) 2009 Elsevier Ltd. All rights reserved.</t>
  </si>
  <si>
    <t>[Nielsen, K.; Taylor, M. J.] Utah State Univ, Ctr Atmospher &amp; Space Sci, Logan, UT 84322 USA; [Nielsen, K.; Taylor, M. J.] Utah State Univ, Dept Phys, Logan, UT 84322 USA; [Hibbins, R. E.; Jarvis, M. J.] British Antarctic Survey, Cambridge CB3 0ET, England</t>
  </si>
  <si>
    <t>Utah System of Higher Education; Utah State University; Utah System of Higher Education; Utah State University; UK Research &amp; Innovation (UKRI); Natural Environment Research Council (NERC); NERC British Antarctic Survey</t>
  </si>
  <si>
    <t>Nielsen, K (corresponding author), Computat Phys Inc, 8001 Braddock Rd, Springfield, VA 22151 USA.</t>
  </si>
  <si>
    <t>knielsen73@gmail.com</t>
  </si>
  <si>
    <t>UK Natural Environment Research Council; National Science Foundation, Office of Polar Programs [OPP-9816465, OPP-0338364, ATM-0350680]; NERC [bas0100023, bas010022] Funding Source: UKRI; Natural Environment Research Council [bas010022, bas0100023] Funding Source: researchfish</t>
  </si>
  <si>
    <t>UK Natural Environment Research Council(UK Research &amp; Innovation (UKRI)Natural Environment Research Council (NERC)); National Science Foundation, Office of Polar Programs(National Science Foundation (NSF)NSF - Directorate for Geosciences (GEO)); NERC(UK Research &amp; Innovation (UKRI)Natural Environment Research Council (NERC)); Natural Environment Research Council(UK Research &amp; Innovation (UKRI)Natural Environment Research Council (NERC))</t>
  </si>
  <si>
    <t>This research was jointly supported by the UK Natural Environment Research Council and the National Science Foundation, Office of Polar Programs under Grants OPP-9816465, OPP-0338364, and ATM-0350680.</t>
  </si>
  <si>
    <t>10.1016/j.jastp.2009.04.005</t>
  </si>
  <si>
    <t>WOS:000267572600024</t>
  </si>
  <si>
    <t>Blockeel, TL; Bednarek-Ochyra, H; Ochyra, R; Cykowska, B; Esquível, MG; Lebouvier, M; Luís, L; Martins, S; Müller, F; Németh, C; Papp, B; Plásek, V; Pócs, T; Sabovljevic, M; Sérgio, C; Sim-Sim, M; Stech, M; Váña, J; Yayintas, ÖT</t>
  </si>
  <si>
    <t>Blockeel, T. L.; Bednarek-Ochyra, H.; Ochyra, R.; Cykowska, B.; Esquivel, M. G.; Lebouvier, M.; Luis, L.; Martins, S.; Mueller, F.; Nemeth, Cs.; Papp, B.; Plasek, V.; Pocs, T.; Sabovljevic, M.; Sergio, C.; Sim-Sim, M.; Stech, M.; Vana, J.; Yayintas, Oezlem Tonguc</t>
  </si>
  <si>
    <t>New national and regional bryophyte records, 21</t>
  </si>
  <si>
    <t>JOURNAL OF BRYOLOGY</t>
  </si>
  <si>
    <t>ANNOTATED CHECKLIST; MOSSES; POTTIACEAE; MUSCI; BRYOPSIDA; ISLANDS; EUROPE</t>
  </si>
  <si>
    <t>[Bednarek-Ochyra, H.; Ochyra, R.; Cykowska, B.] Polish Acad Sci, Inst Bot, Lab Bryol, PL-31512 Krakow, Poland; [Esquivel, M. G.] Univ Tecn Lisboa, ISA, Dep Bot &amp; Engn Biol, Ctr Bot Aplicada &amp; Agr, P-1399 Lisbon, Portugal; [Lebouvier, M.] Univ Rennes 1, CNRS, UMR 6553, Biol Stn, F-35380 Paimpont, France; [Sim-Sim, M.] Univ Lisbon, Fac Ciencias Lisboa, CBA, DBV, P-1749016 Lisbon, Portugal; [Martins, S.; Sergio, C.] Univ Lisbon, Museu Nacl Hist Nat, P-1250102 Lisbon, Portugal; [Mueller, F.] Tech Univ Dresden, Inst Bot, D-01062 Dresden, Germany; [Papp, B.] Hungarian Nat Hist Museum, Dept Bot, H-1476 Budapest, Hungary; [Plasek, V.] Univ Ostrava, Dept Biol &amp; Ecol, CZ-71000 Ostrava 10, Czech Republic; [Pocs, T.] Eszterhazy Karoly Coll, Dept Bot, H-3301 Eger, Hungary; [Sabovljevic, M.] Univ Belgrade, Fac Biol, Bot Garden, Belgrade 11000, Serbia; [Sabovljevic, M.] Univ Belgrade, Inst Bot, Belgrade 11000, Serbia; [Stech, M.] Univ Leiden Branch, Natl Herbarium Nederland, NL-2300 RA Leiden, Netherlands; [Vana, J.] Charles Univ Prague, Dept Bot, Fac Sci, CZ-12801 Prague 2, Czech Republic; [Yayintas, Oezlem Tonguc] Canakkale Onsekiz Mart Univ, Biga Vocat Coll, Tech Program, Biga 17200, Canakkale, Turkey</t>
  </si>
  <si>
    <t>Polish Academy of Sciences; Universidade de Lisboa; Universite de Rennes; Centre National de la Recherche Scientifique (CNRS); CNRS - Institute of Ecology &amp; Environment (INEE); Universidade de Lisboa; Universidade de Lisboa; Technische Universitat Dresden; University of Ostrava; Eszterhazy Karoly Catholic University; University of Belgrade; University of Belgrade; Leiden University; Leiden University - Excl LUMC; Charles University Prague; Canakkale Onsekiz Mart University</t>
  </si>
  <si>
    <t>Blockeel, TL (corresponding author), 9 Ashfurlong Close, Sheffield S17 3NN, S Yorkshire, England.</t>
  </si>
  <si>
    <t>Tblockeel@aol.com; Halina.Bednarek@ib-pan.krakow.pl; Ryszard.Ochyra@ib-pan.krakow.pl; ibcykowska@ib-pan.krakow.pl; marc.lebouvier@univ-rennes1.fr; Frank.Mueller@tu-dresden.de; nemeth-cs@freemail.hu; pappbea@bot.nhmus.hu; vitezslav.plasek@osu.cz; colura@chello.hu; marko@bio.bg.ac.rs; msimsim@fc.ul.pt; stech@nhn.leidenuniv.nl; vana@natur.cuni.cz; ozlemyayintas@hotmail.com</t>
  </si>
  <si>
    <t>Bednarek-Ochyra, Halina/K-7507-2012; , Muller/AAG-3283-2022; Sabovljevic, Marko S/ABC-8637-2020; Váňa, Jiří/I-5979-2016; Sabovljevic, Marko/AAJ-2593-2020; Martins, Soraia/G-6979-2011; Sim-Sim, Manuela/H-1666-2011; Luís, Leena MX/G-7544-2011; , Muller/AFK-4587-2022; Plasek, Vitezslav/D-8242-2014; Sergio, Cecilia/M-4718-2013; Cykowska-Marzencka, Beata/K-2661-2017</t>
  </si>
  <si>
    <t>Sabovljevic, Marko S/0000-0001-5809-0406; Sabovljevic, Marko/0000-0001-5809-0406; Sim-Sim, Manuela/0000-0003-3467-6538; Plasek, Vitezslav/0000-0002-4664-2135; Sergio, Cecilia/0000-0001-5145-5329; Bednarek-Ochyra, Halina/0000-0002-6994-8313; Ochyra, Ryszard/0000-0002-2541-0722; Luis, Leena/0000-0001-9649-9624; Cykowska-Marzencka, Beata/0000-0002-5468-4909; Esquivel, Maria da Gloria/0000-0003-1772-0015</t>
  </si>
  <si>
    <t>Polish Ministry of Science and Higher Education [N 303 063 32/2264, 2 P04G 043 29]; Ministry of Education of the Government of the Czech Republic [0021620828]</t>
  </si>
  <si>
    <t>Polish Ministry of Science and Higher Education(Ministry of Science and Higher Education, Poland); Ministry of Education of the Government of the Czech Republic(Ministry of Education, Youth &amp; Sports - Czech Republic)</t>
  </si>
  <si>
    <t>The contributions by H. Bednarek-Ochyra and R. Ochyra have been financially supported by the Polish Ministry of Science and Higher Education through grants No. N 303 063 32/2264 for H. Bednarek-Ochyra and No. 2 P04G 043 29 for R. Ochyra. The field work of R. Ochyra on Iles Kerguelen was organised by Marc Lebouvier, Paimpont, within the programme 136 ECOBIO of the French Polar Institute ( IPEV) and his facilities are gratefully acknowledged. The new records for the flora of Iles Kerguelen, Ile Saint-Paul and Ile Amsterdam have been prepared under the auspices of the SCAR programme Evolution and Biodiversity in the Antarctic ( EBA). M. Sabovljevic gratefully acknowledges Synthsys Grant HU-TAF-4417. J. Vana has received financial support for his research from the Ministry of Education of the Government of the Czech Republic through grant No. 0021620828. Ozlem Tonguc, Yayintas, gives special thanks to Dr R. H. Zander for confirming the determination of Pterygoneurum subsessile and for linguistic correction of the text. She is very grateful to the curator of the bryophyte herbarium of the Missouri Botanical Garden for making available herbarium specimens for comparison, and would also like to thank Canakkale Onsekiz Mart University.</t>
  </si>
  <si>
    <t>0373-6687</t>
  </si>
  <si>
    <t>1743-2820</t>
  </si>
  <si>
    <t>J BRYOL</t>
  </si>
  <si>
    <t>J. Bryol.</t>
  </si>
  <si>
    <t>10.1179/174328209X431213</t>
  </si>
  <si>
    <t>465MF</t>
  </si>
  <si>
    <t>WOS:000267588500012</t>
  </si>
  <si>
    <t>Griffiths, SD; Peltier, WR</t>
  </si>
  <si>
    <t>Griffiths, Stephen D.; Peltier, W. Richard</t>
  </si>
  <si>
    <t>Modeling of Polar Ocean Tides at the Last Glacial Maximum: Amplification, Sensitivity, and Climatological Implications</t>
  </si>
  <si>
    <t>ANTARCTIC ICE-SHEET; GLOBAL OCEAN; WORLD OCEAN; TIDAL DISSIPATION; NORMAL-MODES; CLIMATE; EARTH; GENERATION; HISTORY; DYNAMICS</t>
  </si>
  <si>
    <t>Diurnal and semidiurnal ocean tides are calculated for both the present day and the Last Glacial Maximum. A numerical model with complete global coverage and enhanced resolution at high latitudes is used including the physics of self-attraction and loading and internal tide drag. Modeled present-day tidal amplitudes are overestimated at the standard resolution, but the error decreases as the resolution increases. It is argued that such results, which can be improved in the future using higher-resolution simulations, are preferable to those obtained by artificial enhancement of dissipative processes. For simulations at the Last Glacial Maximum a new version of the ICE-5G topographic reconstruction is used along with density stratification determined from coupled atmosphere-ocean climate simulations. The model predicts a significant amplification of tides around the Arctic and Antarctic coastlines, and these changes are interpreted in terms of Kelvin wave dynamics with the aid of an exact analytical solution for propagation around a polar continent or basin. These polar tides are shown to be highly sensitive to the assumed location of the grounding lines of coastal ice sheets, and the way in which this may contribute to an interaction between tides and climate change is discussed. Globally, the picture is one of energized semidiurnal tides at the Last Glacial Maximum, with an increase in tidal dissipation from present-day values, the dominant energy sink being the conversion to internal waves.</t>
  </si>
  <si>
    <t>[Griffiths, Stephen D.; Peltier, W. Richard] Univ Toronto, Dept Phys, Toronto, ON, Canada</t>
  </si>
  <si>
    <t>Griffiths, SD (corresponding author), Univ Leeds, Dept Appl Math, Leeds LS2 9JT, W Yorkshire, England.</t>
  </si>
  <si>
    <t>sdg@maths.leeds.ac.uk</t>
  </si>
  <si>
    <t>Peltier, William R./A-1102-2008; Griffiths, Stephen/A-6440-2008</t>
  </si>
  <si>
    <t>Griffiths, Stephen/0000-0002-4654-2636</t>
  </si>
  <si>
    <t>Canadian Foundation for Climate and Atmospheric Science; consortium of Canadian universities; NSERC Discovery Grant [A9627]</t>
  </si>
  <si>
    <t>Canadian Foundation for Climate and Atmospheric Science; consortium of Canadian universities; NSERC Discovery Grant(Natural Sciences and Engineering Research Council of Canada (NSERC))</t>
  </si>
  <si>
    <t>This paper is a contribution to the work of the Polar Climate Stability Network, which is funded by the Canadian Foundation for Climate and Atmospheric Science, and by a consortium of Canadian universities. Additional support has been provided from NSERC Discovery Grant A9627. Thanks to Guido Vettoretti for preparing the CSM 1.4 dataset for our use and to Rosemarie Drummond for preparing the ICE-5G v 1.3 bathymetry.</t>
  </si>
  <si>
    <t>10.1175/2008JCLI2540.1</t>
  </si>
  <si>
    <t>467SR</t>
  </si>
  <si>
    <t>WOS:000267763200007</t>
  </si>
  <si>
    <t>Grant, AN; Brönnimann, S; Ewen, T; Nagurny, A</t>
  </si>
  <si>
    <t>Grant, Andrea N.; Broennimann, Stefan; Ewen, Tracy; Nagurny, Andrey</t>
  </si>
  <si>
    <t>A New Look at Radiosonde Data prior to 1958</t>
  </si>
  <si>
    <t>TEMPERATURE DATA; DATA SET; PART I; PRESSURE; HOMOGENIZATION; VARIABILITY; REANALYSIS; TROPOPAUSE; TRENDS; CARDS</t>
  </si>
  <si>
    <t>Historical radiosonde data are known to suffer from inhomogeneities. The first radiosonde intercomparison was made at Payerne, Switzerland, in 1954, and a major international effort to standardize the network, including launch times, was made for the International Geophysical Year (IGY) in 1957-58. Data from before this period, in some cases extending back as far as 1934, have been viewed with even more suspicion than recent data. These early data are scattered among numerous archives with a variety of station identifier schemes and quality-control procedures, and some of the data have only recently been digitized from paper records. Here, the first systematic compilation of pre-IGY data is made, and a novel quality-assessment technique is applied, which reveals that much of the early data have uncorrected radiation and lag errors, especially in the former Soviet Union. Incorrect geopotential height units and problematic time stamps were also found. The authors propose corrections and present corrected hemispheric fields that show large changes and improved internal consistency in height and temperature across Eurasia compared with uncorrected data. The corrections are important, especially as they have a clear spatial structure that interferes with the planetary wave structure. These corrected data are useful for climate studies and considerably enhance the length and quality of the upper-air record but may not be suitable for trend analysis. Assimilation of the uncorrected data has led to a widespread warm bias in NCEP-NCAR reanalysis in the 1950s.</t>
  </si>
  <si>
    <t>[Grant, Andrea N.; Broennimann, Stefan; Ewen, Tracy] ETH, Inst Atmospher &amp; Climate Sci, CH-8092 Zurich, Switzerland; [Nagurny, Andrey] Arctic &amp; Antarctic Res Inst, St Petersburg 199226, Russia</t>
  </si>
  <si>
    <t>Swiss Federal Institutes of Technology Domain; ETH Zurich; Arctic &amp; Antarctic Research Institute</t>
  </si>
  <si>
    <t>Grant, AN (corresponding author), ETH, Inst Atmospher &amp; Climate Sci, Univ Str 16, CH-8092 Zurich, Switzerland.</t>
  </si>
  <si>
    <t>dr.andrea.grant@gmail.com</t>
  </si>
  <si>
    <t>Brönnimann, Stefan/A-5737-2008; Ewen, Tracy/AAG-7948-2019; Grant, Andrea/A-1693-2008</t>
  </si>
  <si>
    <t>Ewen, Tracy/0000-0002-7751-5235; Grant, Andrea/0000-0002-1553-596X; Bronnimann, Stefan/0000-0001-9502-7991</t>
  </si>
  <si>
    <t>Swiss National Science Foundation</t>
  </si>
  <si>
    <t>Swiss National Science Foundation(Swiss National Science Foundation (SNSF))</t>
  </si>
  <si>
    <t>We thank the anonymous reviewers for helpful comments, which resulted in a much-improved paper. This work was supported by the Swiss National Science Foundation. The TD54 and CARDS542 datasets were kindly provided by Joey Comeaux at NCAR, and the TD6201 dataset by Joe Elms at NCDC. The Lindenberg, Germany, data were provided by the German Meteorological Service, the Payerne data by MeteoSwiss, and the Ilmala data by the Finnish Meteorological Institute.</t>
  </si>
  <si>
    <t>10.1175/2008JCLI2539.1</t>
  </si>
  <si>
    <t>472JI</t>
  </si>
  <si>
    <t>WOS:000268126300004</t>
  </si>
  <si>
    <t>Downes, SM; Bindoff, NL; Rintoul, SR</t>
  </si>
  <si>
    <t>Downes, Stephanie M.; Bindoff, Nathaniel L.; Rintoul, Stephen R.</t>
  </si>
  <si>
    <t>Impacts of Climate Change on the Subduction of Mode and Intermediate Water Masses in the Southern Ocean</t>
  </si>
  <si>
    <t>SUB-ANTARCTIC MODE; INDIAN-OCEAN; CIRCULATION MODELS; ANTHROPOGENIC CO2; DECADAL CHANGES; PACIFIC-OCEAN; VARIABILITY; 32-DEGREES-S; THERMOCLINE; TEMPERATURE</t>
  </si>
  <si>
    <t>Changes in the temperature, salinity, and subduction of Subantarctic Mode Water (SAMW) and Antarctic Intermediate Water (AAIW) between the 1950s and 2090s are diagnosed using the CSIRO Mark version 3.5 (Mk3.5) climate system model Caps under a CO2 forcing that reaches 860 ppm by the year 2100. These Southern Ocean upper-limb water masses ventilate the ocean interior, and changes in their properties have been related to climate change in numerous studies. Over time, the authors follow the low potential vorticity and salinity minimum layers describing SAMW and AAIW and find that the water column in the 2090s shifts to lighter densities by approximately 0.2 kg m(-3). The model projects a reduction in the SAMW and AAIW annual mean subduction rates as a result of a combination of a shallower mixed layer, increased potential vorticity at the base of the mixed layer, and a net buoyancy gain. There is little change in the projected total volume of SAMW transported into the ocean interior via the subduction process; however, the authors find a significant decrease in the subduction of AAIW. The authors find overall that increases in the air-sea surface heat and freshwater fluxes mainly control the reduction in the mean loss of the SAMW and AAIW surface buoyancy flux when compared with the effect of changes supplied by Ekman transport because of increased zonal wind stress. In the A2 scenario, there are cooling and freshening on neutral density surfaces less than 27.3 kg m(-3) in response to the warming and freshening observed at the ocean's surface. The model projects deepening of density surfaces due to southward shifts in the outcrop regions and the downward displacement of these surfaces north of 45 degrees S. The volume transport across 32 degrees S is predicted to decrease in all three basins, with southward transport of SAMW and AAIW decreasing by up to 1.2 and 2.0 Sv (1 Sv equivalent to 10(6) m(3) s(-1)), respectively, in the Indian Ocean. These projected reductions in the subduction and transport of mode and intermediate water masses in the CSIRO Mk3.5 model could potentially decrease the absorption and storage of CO2 in the Southern Ocean.</t>
  </si>
  <si>
    <t>[Downes, Stephanie M.; Bindoff, Nathaniel L.] Univ Tasmania, Inst Antarctic &amp; So Ocean Studies, Hobart, Tas 7001, Australia; [Downes, Stephanie M.; Bindoff, Nathaniel L.; Rintoul, Stephen R.] Antarctic Climate &amp; Ecosyst Cooperat Res Ctr, Hobart, Tas, Australia; [Bindoff, Nathaniel L.; Rintoul, Stephen R.] Ctr Australian Weather &amp; Climate Res, Hobart, Tas, Australia</t>
  </si>
  <si>
    <t>University of Tasmania; Antarctic Climate &amp; Ecosystems Cooperative Research Centre (ACE CRC); Commonwealth Scientific &amp; Industrial Research Organisation (CSIRO)</t>
  </si>
  <si>
    <t>Downes, SM (corresponding author), Princeton Univ, AOS Program, 300 Forrestal Rd,Sayre Hall, Princeton, NJ 08544 USA.</t>
  </si>
  <si>
    <t>s.downes@princeton.edu</t>
  </si>
  <si>
    <t>Downes, Stephanie/A-1424-2012; Bindoff, Nathaniel Lee/C-8050-2011; Bindoff, Nathaniel Lee/IVV-0333-2023; Rintoul, Stephen R/A-1471-2012</t>
  </si>
  <si>
    <t>Bindoff, Nathaniel Lee/0000-0001-5662-9519; Bindoff, Nathaniel Lee/0000-0001-5662-9519; Rintoul, Stephen R/0000-0002-7055-9876</t>
  </si>
  <si>
    <t>Australian Government's Cooperative Research Centres Programme through the Antarctic Climate and Ecosystems CRC; CSIRO Wealth from Oceans National Flagship; Australian Climate Change Science Program; Office of Science, U. S. Department of Energy</t>
  </si>
  <si>
    <t>Australian Government's Cooperative Research Centres Programme through the Antarctic Climate and Ecosystems CRC(Australian GovernmentDepartment of Industry, Innovation and ScienceCooperative Research Centres (CRC) Programme); CSIRO Wealth from Oceans National Flagship; Australian Climate Change Science Program; Office of Science, U. S. Department of Energy(United States Department of Energy (DOE))</t>
  </si>
  <si>
    <t>This work is supported by the Australian Government's Cooperative Research Centres Programme through the Antarctic Climate and Ecosystems CRC, the CSIRO Wealth from Oceans National Flagship, and the Australian Climate Change Science Program. We greatly appreciate the discussions on the theory of neutral surfaces with Trevor McDougall and David Jackett, and we would like to express our thanks to Glenn Hyland and Martin Dix for their assistance with access to data. We acknowledge the modeling groups for providing their data for analysis, the Program for Climate Model Diagnosis and Intercomparison (PCMDI) for collecting and archiving the model output, and the JSC/CLIVAR Working Group on Coupled Modelling (WGCM) for organizing the model data analysis activity. The multimodel data archive is supported by the Office of Science, U. S. Department of Energy.</t>
  </si>
  <si>
    <t>10.1175/2008JCLI2653.1</t>
  </si>
  <si>
    <t>WOS:000268126300007</t>
  </si>
  <si>
    <t>Saunders, KM; Taffs, KH</t>
  </si>
  <si>
    <t>Saunders, Krystyna M.; Taffs, Kathryn H.</t>
  </si>
  <si>
    <t>Palaeoecology: A tool to improve the management of Australian estuaries</t>
  </si>
  <si>
    <t>JOURNAL OF ENVIRONMENTAL MANAGEMENT</t>
  </si>
  <si>
    <t>Management; Estuaries; Human impacts; Australia; Palaeoecology; Water quality</t>
  </si>
  <si>
    <t>SUBFOSSIL DIATOMS; NORTH-CAROLINA; CHESAPEAKE BAY; SEA-LEVEL; EUTROPHICATION; SEDIMENTS; LAKE; RECONSTRUCTION; PERSPECTIVE; SALINITY</t>
  </si>
  <si>
    <t>Addressing environmental problems in estuaries is a worldwide problem. Establishing benchmarks and targets for management is critical, whether the aim is conservation, restoration or sustainable use. Palaeoecological techniques have rapidly improved during the past decade, particularly with advances in methods that allow high resolution quantitative assessments of environmental change. Palaeoecology is a useful tool in environmental management as it allows pre-impact conditions, the rate, extent, direction and cause of change, and range of natural variability to be determined. Australian estuarine ecosystems are qualitatively different from the often more well-studied estuaries in North America and Europe, which means site-specific studies of Australian estuaries are needed to inform management. While a potentially useful and valuable tool, palaeoecological techniques have not yet been widely adopted and practically implemented as part of estuarine management strategies and policy frameworks in Australia. We discuss the role palaeoecological techniques have to play in estuarine management by providing two case studies undertaken in Australia that have provided management information. We aim to encourage communication and dialogue between scientists and environmental managers about the potential for widespread practical adoption and implementation of palaeoecological techniques into Australian estuarine science, management and policy frameworks. (C) 2009 Elsevier Ltd. All rights reserved.</t>
  </si>
  <si>
    <t>[Saunders, Krystyna M.] Univ Tasmania, Inst Antarctic &amp; So Ocean Studies, Hobart, Tas 7001, Australia; [Taffs, Kathryn H.] So Cross Univ, Ctr Geoarchaeol &amp; Palaeoenvironm Res, Lismore, NSW 2480, Australia</t>
  </si>
  <si>
    <t>University of Tasmania; Southern Cross University</t>
  </si>
  <si>
    <t>Saunders, KM (corresponding author), Univ Tasmania, Inst Antarctic &amp; So Ocean Studies, Private Bag 77, Hobart, Tas 7001, Australia.</t>
  </si>
  <si>
    <t>saunderk@utas.edu.au; kathryn.taffs@scu.edu.au</t>
  </si>
  <si>
    <t>Taffs, Kathryn/Q-4802-2017; Saunders, Krystyna/G-1368-2019</t>
  </si>
  <si>
    <t>Taffs, Kathryn/0000-0001-7675-0420; Saunders, Krystyna/0000-0002-6800-2630</t>
  </si>
  <si>
    <t>Australian Postgraduate Award; Australian Institute of Nuclear Science and Engineering Postgraduate Research Award; Australian Institute of Nuclear Science and Engineering and Southern Cross University</t>
  </si>
  <si>
    <t>Australian Postgraduate Award(Australian Government); Australian Institute of Nuclear Science and Engineering Postgraduate Research Award; Australian Institute of Nuclear Science and Engineering and Southern Cross University</t>
  </si>
  <si>
    <t>Krystyna Saunders is funded by an Australian Postgraduate Award and Australian Institute of Nuclear Science and Engineering Postgraduate Research Award. Kathryn Taffs is supported by research grants from the Australian Institute of Nuclear Science and Engineering and Southern Cross University. We would like to thank Kate Dziegielewska, Jacqui Foster, John Gibson, Julia Jabour and two anonymous reviewers for valuable comments during the preparation and earlier versions of this manuscript.</t>
  </si>
  <si>
    <t>0301-4797</t>
  </si>
  <si>
    <t>1095-8630</t>
  </si>
  <si>
    <t>J ENVIRON MANAGE</t>
  </si>
  <si>
    <t>J. Environ. Manage.</t>
  </si>
  <si>
    <t>10.1016/j.jenvman.2009.03.001</t>
  </si>
  <si>
    <t>463ST</t>
  </si>
  <si>
    <t>WOS:000267453100045</t>
  </si>
  <si>
    <t>Bystrzejewska-Piotrowska, G; Urban, PL</t>
  </si>
  <si>
    <t>Bystrzejewska-Piotrowska, Grazyna; Urban, Pawel L.</t>
  </si>
  <si>
    <t>Tufted Hairgrass (Deschampsia caespitosa) Exhibits a Lower Photosynthetic Plasticity than Antarctic Hairgrass (D-antarctica)</t>
  </si>
  <si>
    <t>JOURNAL OF INTEGRATIVE PLANT BIOLOGY</t>
  </si>
  <si>
    <t>chlorophyll fluorescence; climate change; Deschampsia; photosynthesis; photosynthetic water-use efficiency</t>
  </si>
  <si>
    <t>CLIMATE-CHANGE; CHLOROPHYLL FLUORESCENCE; VASCULAR PLANTS; RESPIRATORY ACCLIMATION; GENETIC DIVERSITY; PHOTOSYSTEM-II; TEMPERATURE; LEAVES; PHOTOPROTECTION; ENVIRONMENTS</t>
  </si>
  <si>
    <t>The aim of our work was to assess photosynthetic plasticity of two hairgrass species with different ecological origins (a temperate zone species, Deschampsia caespitosa (L.) Beauv. and an Antarctic species, D. antarctica) and to consider how the anticipated climate change may affect vitality of these plants. Measurements of chlorophyll fluorescence showed that the photosystem II (PSII) quantum efficiency of D. caespitosa decreased during 4 d of incubation at 4 degrees C but it remained stable in D. antarctica. The fluorescence half-rise times were almost always lower in D. caespitosa than in D. antarctica, irrespective of the incubation temperature. These results indicate that the photosynthetic apparatus of D. caespitosa has poorer performance in these conditions. D. caespitosa reached the maximum photosynthesis rate at a higher temperature than D. antarctica although the values obtained at 8 degrees C were similar in both species. The photosynthetic water-use efficiency (photosynthesis-to-transpiration ratio, P/E) emerges as an important factor demonstrating presence of mechanisms which facilitate functioning of a plant in non-optimal conditions. Comparison of the P/E values, which were higher in D. antarctica than in D. caespitosa at low and medium temperatures, confirms a high degree of adjustability of the photosynthetic apparatus in D. antarctica and unveils the lack of such a feature in D. caespitosa.</t>
  </si>
  <si>
    <t>[Bystrzejewska-Piotrowska, Grazyna; Urban, Pawel L.] Univ Warsaw, Isotope Lab, Fac Biol, PL-02096 Warsaw, Poland</t>
  </si>
  <si>
    <t>Bystrzejewska-Piotrowska, G (corresponding author), Univ Warsaw, Isotope Lab, Fac Biol, Miecznikowa 1, PL-02096 Warsaw, Poland.</t>
  </si>
  <si>
    <t>byst@biol.uw.edu.pl</t>
  </si>
  <si>
    <t>Urban, Pawel L/F-8483-2010</t>
  </si>
  <si>
    <t>Urban, Pawel L/0000-0003-3471-045X</t>
  </si>
  <si>
    <t>Foundation for Polish Science (FNP) for the Domestic Stipend for Young Scholars</t>
  </si>
  <si>
    <t>Foundation for Polish Science (FNP) for the Domestic Stipend for Young Scholars(Foundation for Polish Science)</t>
  </si>
  <si>
    <t>Supported by the Foundation for Polish Science (FNP) for the Domestic Stipend for Young Scholars (START, awarded in 2008).</t>
  </si>
  <si>
    <t>1672-9072</t>
  </si>
  <si>
    <t>1744-7909</t>
  </si>
  <si>
    <t>J INTEGR PLANT BIOL</t>
  </si>
  <si>
    <t>J. Integr. Plant Biol.</t>
  </si>
  <si>
    <t>10.1111/j.1744-7909.2008.00802.x</t>
  </si>
  <si>
    <t>Biochemistry &amp; Molecular Biology; Plant Sciences</t>
  </si>
  <si>
    <t>456KA</t>
  </si>
  <si>
    <t>WOS:000266843200008</t>
  </si>
  <si>
    <t>Hoffman, JI; Forcada, J</t>
  </si>
  <si>
    <t>Hoffman, Joseph I.; Forcada, Jaume</t>
  </si>
  <si>
    <t>GENETIC ANALYSIS OF TWINNING IN ANTARCTIC FUR SEALS (ARCTOCEPHALUS GAZELLA)</t>
  </si>
  <si>
    <t>JOURNAL OF MAMMALOGY</t>
  </si>
  <si>
    <t>dizygotic twins; fostering; maternal investment; microsatellite; monozygotic twins; paternity; pinniped; otariid; sperm competition; twin</t>
  </si>
  <si>
    <t>SOUTHERN ELEPHANT SEALS; FOSTERING BEHAVIOR; MICROSATELLITE LOCI; PHOCA-VITULINA; DNA; PATERNITY; DENSITY; PUP; MORTALITY; SEQUENCES</t>
  </si>
  <si>
    <t>Twinning in natural pinniped populations is often inferred from observations of suckling behavior, but this approach has been criticized because nonfilial nursing occurs at high frequencies in many seal species. Consequently, we used 9 highly polymorphic microsatellite markers to examine the parentage of 11 putative pairs of twins in Antarctic fur seals (Arctocephalus gazella) breeding at Bird Island, South Georgia. Only 3 pairs (27%) were found to be genuine twins, indicating that suckling observations are an unreliable means of identifying twins in this species. All of the twins were female; 1 pair was monozygotic and the other 2 were dizygotic. Using a strict exclusion approach, paternity was assigned to the monozygotic but not the dizygotic twins. However, likelihood tests revealed that, of the latter, 1 pair was significantly more likely to be full siblings against the null of half sibship suggesting shared paternity, whereas the other pair was more likely to be half siblings against the null of full sibship indicating probable multiple paternity. Our results provide novel insights into the reproductive ecology of fur seals and also support an earlier study showing that molecular genetic analysis can provide an effective means of validating field observations of pinniped twins.</t>
  </si>
  <si>
    <t>[Hoffman, Joseph I.] Univ Cambridge, Dept Zool, Cambridge CB2 3EJ, England; [Forcada, Jaume] British Antarctic Survey, NERC, Cambridge CB3 0ET, England</t>
  </si>
  <si>
    <t>Forcada, Jaume/GYU-0677-2022; Hoffman, Joseph/K-7725-2012</t>
  </si>
  <si>
    <t>Natural Environment Research Council; Antarctic Funding Initiative; Isaac Newton Trust; Cambridge University's Newton and Balfour fund; Natural Environment Research Council [bas0100025] Funding Source: researchfish; NERC [bas0100025] Funding Source: UKRI</t>
  </si>
  <si>
    <t>Natural Environment Research Council(UK Research &amp; Innovation (UKRI)Natural Environment Research Council (NERC)); Antarctic Funding Initiative; Isaac Newton Trust; Cambridge University's Newton and Balfour fund(University of Cambridge); Natural Environment Research Council(UK Research &amp; Innovation (UKRI)Natural Environment Research Council (NERC)); NERC(UK Research &amp; Innovation (UKRI)Natural Environment Research Council (NERC))</t>
  </si>
  <si>
    <t>We thank D. Briggs, M. Jessop, K. Reid, R. Taylor, T. Walker, and N. Warren for help with logistics, field data collection, animal handling, and tissue sampling. We also are grateful to B. Amos for supporting this work and to D. Queller for advice on using the program Kinship. Funding was obtained from the Natural Environment Research Council, the Antarctic Funding Initiative, the Isaac Newton Trust, and Cambridge University's Newton and Balfour funds. This work contributes to the British Antarctic Survey DISCOVERY 2010 Science Programme.</t>
  </si>
  <si>
    <t>0022-2372</t>
  </si>
  <si>
    <t>1545-1542</t>
  </si>
  <si>
    <t>J MAMMAL</t>
  </si>
  <si>
    <t>J. Mammal.</t>
  </si>
  <si>
    <t>10.1644/08-MAMM-A-264R1.1</t>
  </si>
  <si>
    <t>457SH</t>
  </si>
  <si>
    <t>WOS:000266952900009</t>
  </si>
  <si>
    <t>Muench, R; Padman, L; Gordon, A; Orsi, A</t>
  </si>
  <si>
    <t>Muench, Robin; Padman, Laurie; Gordon, Arnold; Orsi, Alejandro</t>
  </si>
  <si>
    <t>A dense water outflow from the Ross Sea, Antarctica: Mixing and the contribution of tides</t>
  </si>
  <si>
    <t>Joint Conference of the 39th Liege Colloquium on Marine Turbulence/3rd Warnemunde Turbulence Days</t>
  </si>
  <si>
    <t>Leibniz Inst Baltic Sea Res, Warnemunde, GERMANY</t>
  </si>
  <si>
    <t>Leibniz Inst Baltic Sea Res</t>
  </si>
  <si>
    <t>Dense outflows; Tidal currents; Diapycnal mixing; Antarctic Bottom Water; Ross Sea</t>
  </si>
  <si>
    <t>BOTTOM WATER; WEDDELL SEA; CONTINENTAL-SLOPE; BAROTROPIC TIDES; CIRCULATION; TURBULENCE; MODEL; DISSIPATION; OVERTURNS; PROFILES</t>
  </si>
  <si>
    <t>We use hydrographic, current, and microstructure measurements, and tide-forced ocean models, to estimate benthic and interfacial mixing impacting the evolution of a bottom-trapped outflow of dense shelf water from the Drygalski Trough in the northwestern Ross Sea. During summer 2003 an energetic outflow was observed from the outer shelf (similar to 500 m isobath) to the similar to 1600 m isobath on the continental slope. Outflow thickness was as great as similar to 200 m. and mean speeds were similar to 0.6 m s(-1) relative to background currents exceeding similar to 1 m s(-1) that were primarily tidal in origin. No outflow was detected on the slope in winter 2004, although a thin layer of dense shelf water was present on the outer shelf. When the outflow was well-developed, the estimated benthic stress was of order one Pascal and the bulk Froude number over the upper slope exceeded one. Diapycnal scalar diffusivity (K(z)) values in the transition region at the top of the outflow, estimated from Thorpe-scale analysis of potential density and measurements of microscale temperature gradient from sensors attached to the CTD rosette, were of order 10(-3)-10(-2) m(2) s(-1). For two cases where the upper outflow boundary was particularly sharply defined, entrainment rate w(e) was estimated from K, and bulk outflow parameters to be similar to 10(-3) m s(-1) (similar to 100 m day(-1)). A tide-forced, three-dimensional primitive equation ocean model with Mellor-Yamada level 2.5 turbulence closure scheme for diapycnal mixing yields results consistent with a significant tidal role in mixing associated with benthic stress and shear within the stratified ocean interior. (C) 2008 Elsevier B.V. All rights reserved.</t>
  </si>
  <si>
    <t>[Muench, Robin] Earth &amp; Space Res, Seattle, WA 98125 USA; [Padman, Laurie] Earth &amp; Space Res, Corvallis, OR 97333 USA; [Gordon, Arnold] Columbia Univ, Lamont Doherty Earth Observ, Palisades, NY 10964 USA; [Orsi, Alejandro] Texas A&amp;M Univ, College Stn, TX 77845 USA</t>
  </si>
  <si>
    <t>Columbia University; Texas A&amp;M University System; Texas A&amp;M University College Station</t>
  </si>
  <si>
    <t>Muench, R (corresponding author), Earth &amp; Space Res, 10433 Ravenna Ave NE, Seattle, WA 98125 USA.</t>
  </si>
  <si>
    <t>rmuench@esr.org; padman@esr.org; agordon@ldeo.columbia.edu; aorsi@tamu.edu</t>
  </si>
  <si>
    <t>Padman, Laurence/AAH-3808-2021; Gordon, Arnold/H-1049-2011</t>
  </si>
  <si>
    <t>Padman, Laurence/0000-0003-2010-642X</t>
  </si>
  <si>
    <t>10.1016/j.jmarsys.2008.11.003</t>
  </si>
  <si>
    <t>455CS</t>
  </si>
  <si>
    <t>WOS:000266735000002</t>
  </si>
  <si>
    <t>Romer, T; Mezger, K; Schmädicke, E</t>
  </si>
  <si>
    <t>Romer, T.; Mezger, K.; Schmaedicke, E.</t>
  </si>
  <si>
    <t>Pan-African eclogite facies metamorphism of ultramafic rocks in the Shackleton Range, Antarctica</t>
  </si>
  <si>
    <t>JOURNAL OF METAMORPHIC GEOLOGY</t>
  </si>
  <si>
    <t>Antarctica; eclogite facies; Pan-African orogeny; Shackleton Range; Sm-Nd age dating</t>
  </si>
  <si>
    <t>HIGH-PRESSURE METAMORPHISM; SM-ND; EAST ANTARCTICA; MOZAMBIQUE BELT; LANTERMAN RANGE; GARNET; ERZGEBIRGE; TECTONISM; COMPLEX; SYSTEM</t>
  </si>
  <si>
    <t>In the Shackleton Range of East Antarctica, garnet-bearing ultramafic rocks occur as lenses in supracrustal high-grade gneisses. In the presence of olivine, garnet is an unmistakable indicator of eclogite facies metamorphic conditions. The eclogite facies assemblages are only present in ultramafic rocks, particularly in pyroxenites, whereas other lithologies - including metabasites - lack such assemblages. We conclude that under high-temperature conditions, pyroxenites preserve high-pressure assemblages better than isofacial metabasites, provided the pressure is high enough to stabilize garnet-olivine assemblages (i.e. &gt;= 18-20 kbar). The Shackleton Range ultramafic rocks experienced a clockwise P-T path and peak conditions of 800-850 degrees C and 23-25 kbar. These conditions correspond to similar to 70 km depth of burial and a metamorphic gradient of 11-12 degrees C km(-1) that is typical of a convergent plate-margin setting. The age of metamorphism is defined by two garnet-whole-rock Sm-Nd isochrons that give ages of 525 +/- 5 and 520 +/- 14 Ma corresponding to the time of the Pan-African orogeny. These results are evidence of a Pan-African suture zone within the northern Shackleton Range. This suture marks the site of a palaeo-subduction zone that likely continues to the Herbert Mountains, where ophiolitic rocks of Neoproterozoic age testify to an ocean basin that was closed during Pan-African collision. The garnet-bearing ultramafic rocks in the Shackleton Range are the first known example of eclogite facies metamorphism in Antarctica that is related to the collision of East and West Gondwana and the first example of Pan-African eclogite facies ultramafic rocks worldwide. Eclogites in the Lanterman Range of the Transantarctic Mountains formed during subduction of the palaeo-Pacific beneath the East Antarctic craton.</t>
  </si>
  <si>
    <t>[Romer, T.; Schmaedicke, E.] Univ Erlangen Nurnberg, Geozentrum Nordbayern, D-91054 Erlangen, Germany; [Mezger, K.] Univ Munster, Inst Mineral, D-48149 Munster, Germany</t>
  </si>
  <si>
    <t>University of Erlangen Nuremberg; University of Munster</t>
  </si>
  <si>
    <t>Romer, T (corresponding author), Univ Erlangen Nurnberg, Geozentrum Nordbayern, Schlossgarten 5A, D-91054 Erlangen, Germany.</t>
  </si>
  <si>
    <t>esther@geol.uni-erlangen.de</t>
  </si>
  <si>
    <t>Mezger, Klaus/D-9502-2011</t>
  </si>
  <si>
    <t>Mezger, Klaus/0000-0002-2443-8539</t>
  </si>
  <si>
    <t>Deutsche Forschungsgemeinschaft [Schm1039/8-1, 8-2]</t>
  </si>
  <si>
    <t>We particularly like to thank J. Goodge for his constructive and very detailed review. We are also indebted to D. Whitney for helpful suggestions on the manuscript and editorial handling. W. Schubert is thanked for providing the samples, which he collected during the German GEISHA expedition 1987/1988. J. Glodny kindly provided help with the mineral separation. Funding of this research by Deutsche Forschungsgemeinschaft, grant numbers Schm1039/8-1 and 8-2, is gratefully acknowledged.</t>
  </si>
  <si>
    <t>0263-4929</t>
  </si>
  <si>
    <t>1525-1314</t>
  </si>
  <si>
    <t>J METAMORPH GEOL</t>
  </si>
  <si>
    <t>J. Metamorph. Geol.</t>
  </si>
  <si>
    <t>10.1111/j.1525-1314.2009.00820.x</t>
  </si>
  <si>
    <t>453KR</t>
  </si>
  <si>
    <t>WOS:000266609800001</t>
  </si>
  <si>
    <t>Peach, MB; Marshall, NJ</t>
  </si>
  <si>
    <t>Peach, M. B.; Marshall, N. J.</t>
  </si>
  <si>
    <t>The Comparative Morphology of Pit Organs in Elasmobranchs</t>
  </si>
  <si>
    <t>JOURNAL OF MORPHOLOGY</t>
  </si>
  <si>
    <t>lateral line; shark; elasmobranch; pit organ; neuromast; sensory system</t>
  </si>
  <si>
    <t>LATERAL-LINE SYSTEM; ANTARCTIC NOTOTHENIOID FISH; CANAL NEUROMASTS; EPAULETTE SHARK; HAIR-CELLS; ULTRASTRUCTURE; RHEOTAXIS; RAY</t>
  </si>
  <si>
    <t>The pit organs of elasmobranchs (sharks, skates and rays) are free neuromasts of the mechanosensory lateral line system. Pit organs, however, appear to have some structural differences from the free neuromasts of bony fishes and amphibians. In this study, the morphology of pit organs was investigated by scanning electron microscopy in six shark and three ray species. In each species, pit organs contained typical lateral line hair cells with apical stereovilli of different lengths arranged in an organ-pipe configuration. Supporting cells also bore numerous apical microvilli taller than those observed in other vertebrate lateral line organs. Pit organs were either covered by overlapping denticles, located in open grooves bordered by denticles, or in grooves without associated denticles. The possible functional implications of these morphological features, including modification of water flow and sensory filtering properties, are discussed. J. Morphol. 270:688-701, 2009. (C) 2009 Wiley-Liss, Inc.</t>
  </si>
  <si>
    <t>[Marshall, N. J.] Univ Queensland, Sensory Neurobiol Grp, Sch Biomed Sci, Brisbane, Qld 4072, Australia; [Peach, M. B.] Univ Technol Sydney, Dept Environm Sci, Sydney, NSW 2007, Australia</t>
  </si>
  <si>
    <t>University of Queensland; University of Technology Sydney</t>
  </si>
  <si>
    <t>Marshall, NJ (corresponding author), Univ Queensland, Sensory Neurobiol Grp, Sch Biomed Sci, Brisbane, Qld 4072, Australia.</t>
  </si>
  <si>
    <t>justin.marshall@uq.edu.au</t>
  </si>
  <si>
    <t>Marshall, Justin/0000-0001-9006-6713</t>
  </si>
  <si>
    <t>Australian Postgraduate Award scholarship; Thenie Baddams Bursary; Australian Research Council</t>
  </si>
  <si>
    <t>Australian Postgraduate Award scholarship; Thenie Baddams Bursary; Australian Research Council(Australian Research Council)</t>
  </si>
  <si>
    <t>Australian Postgraduate Award scholarship, Thenie Baddams Bursary, Australian Research Council grants (both Discovery and Linkage).</t>
  </si>
  <si>
    <t>0362-2525</t>
  </si>
  <si>
    <t>1097-4687</t>
  </si>
  <si>
    <t>J MORPHOL</t>
  </si>
  <si>
    <t>J. Morphol.</t>
  </si>
  <si>
    <t>10.1002/jmor.10715</t>
  </si>
  <si>
    <t>Anatomy &amp; Morphology</t>
  </si>
  <si>
    <t>452XA</t>
  </si>
  <si>
    <t>WOS:000266573300004</t>
  </si>
  <si>
    <t>Ren, JW; Xue, CM; Tian, L; Xu, MJ; Chen, J; Deng, ZW; Proksch, P; Lin, WH</t>
  </si>
  <si>
    <t>Ren, Jinwei; Xue, Chunmei; Tian, Li; Xu, Minjuan; Chen, Jian; Deng, Zhiwei; Proksch, Peter; Lin, Wenhan</t>
  </si>
  <si>
    <t>Asperelines A-F, Peptaibols from the Marine-Derived Fungus Trichoderma asperellum</t>
  </si>
  <si>
    <t>ANTIFUNGAL PEPTAIBOL; ANTIBIOTICS; PEPTAIBIOMICS; ELUCIDATION; VIRIDE</t>
  </si>
  <si>
    <t>Fermentation of the marine-derived fungus Trichoderma asperellum, collected from the sediment of the Antarctic Penguin Island, resulted in the isolation of six new peptaibols named asperelines A-F (1-6), which are characterized by an acetylated N-terminus and a C-terminus containing an uncommon prolinol residue. Structures were determined by extensive 1D and 2D NMR (H-1-H-1 COSY, HMQC, HMBC, NOESY) spectroscopic data analysis combined with ESIMS/MS fragmentation. The absolute configurations of the amino acid residues possessing a chiral alpha-carbon and of the prolinol residue were determined to be L and S, respectively, using a new method of H-1 NMR spectroscopic comparison of complexes formed between the chiral reagent Ru(D-4-Por*)CO and amino acids derived from the peptaibols with those formed with reference standards.</t>
  </si>
  <si>
    <t>[Ren, Jinwei; Xue, Chunmei; Xu, Minjuan; Lin, Wenhan] Peking Univ, State Key Lab Nat &amp; Biomimet Drugs, Beijing 100083, Peoples R China; [Tian, Li] Qingdao Univ Sci &amp; Technol, Dept Biol, Qingdao 266042, Peoples R China; [Deng, Zhiwei] Beijing Normal Univ, Analyt &amp; Testing Ctr, Beijing 100875, Peoples R China; [Proksch, Peter] Univ Dusseldorf, Inst Pharmazeut Biol, D-40225 Dusseldorf, Germany; [Chen, Jian] Cent China Normal Univ, Minist Educ, Key Lab Pesticide &amp; Chem Biol, Coll Chem, Wuhan 430079, Peoples R China</t>
  </si>
  <si>
    <t>Peking University; Qingdao University of Science &amp; Technology; Beijing Normal University; Heinrich Heine University Dusseldorf; Central China Normal University</t>
  </si>
  <si>
    <t>Lin, WH (corresponding author), Peking Univ, State Key Lab Nat &amp; Biomimet Drugs, Beijing 100083, Peoples R China.</t>
  </si>
  <si>
    <t>whlin@bjmu.edu.cn</t>
  </si>
  <si>
    <t>Proksch, Peter/AAR-4593-2020; Lin, Lin/JTU-1595-2023</t>
  </si>
  <si>
    <t>NSFC [30672607]; National Hi-Tech Projects [2006AA09Z446, 2006DFA31100, 2007AA09Z448, 2006AA09Z405, 2007AA09Z435]; China Uni-PhD Base Project [20060001149]; International Cooperation Projects of BMBF-MOST</t>
  </si>
  <si>
    <t>NSFC(National Natural Science Foundation of China (NSFC)); National Hi-Tech Projects(National High Technology Research and Development Program of China); China Uni-PhD Base Project; International Cooperation Projects of BMBF-MOST(Federal Ministry of Education &amp; Research (BMBF))</t>
  </si>
  <si>
    <t>This work was supported by grants from NSFC (No. 30672607), the National Hi-Tech Projects (2006AA09Z446, 2006DFA31100, 2007AA09Z448, 2006AA09Z405, 2007AA09Z435), China Uni-PhD Base Project (20060001149), and International Cooperation Projects of BMBF-MOST.</t>
  </si>
  <si>
    <t>10.1021/np900190w</t>
  </si>
  <si>
    <t>463LB</t>
  </si>
  <si>
    <t>WOS:000267432600010</t>
  </si>
  <si>
    <t>Lee, SH; Povinec, P; Gastaud, J; Oregioni, B; Coppola, L; Jeandel, C</t>
  </si>
  <si>
    <t>Lee, Sang-Han; Povinec, Pavel P.; Gastaud, Janine; Oregioni, Beniamino; Coppola, Laurent; Jeandel, Catherine</t>
  </si>
  <si>
    <t>Radionuclides as tracers of water fronts in the South Indian Ocean-ANTARES IV Results</t>
  </si>
  <si>
    <t>Anthropogenic radionuclides; seawater profile; zooplankton; ANTARES IV; Crozet Basin; South Indian Ocean</t>
  </si>
  <si>
    <t>ANTARCTIC CIRCUMPOLAR CURRENT; CERTIFIED REFERENCE MATERIAL; FALLOUT RADIONUCLIDES; PACIFIC-OCEAN; NORTHWEST PACIFIC; GEOSECS STATIONS; SURFACE WATERS; MARINE SAMPLES; CROZET BASIN; ARABIAN SEA</t>
  </si>
  <si>
    <t>Anthropogenic Sr-90, Pu-239,Pu-240 and Am-241 were used as tracers of water mass circulation in the Crozet Basin of the South Indian Ocean, represented by three main water fronts-Agulhas (AF), Subtropical (STF) and Subantarctic (SAF). Higher Sr-90 concentrations observed north of 43A degrees S were due to the influence of AF and STF, which are associated with the south branch of the Subtropical gyre, which acts as a reservoir of radionuclides transported from the North to the South Indian Ocean. On the other hand, the region south of 43A degrees S has been influenced by SAF, bringing to the Crozet Basin Antarctic waters with lower radionuclide concentrations. The Pu-238/Pu-239,Pu-240 activity ratios observed in water and zooplankton samples indicated that, even 35 years after the injection of Pu-238 to the Indian Ocean from the burn-up of the SNAP-9A satellite, the increased levels of Pu-238 in surface water and zooplankton are still well visible. The radionuclide concentrations in seawater and their availability to zooplankton are responsible for the observed Po-210, Pu-239,Pu-240 and Am-241 levels in zooplankton.</t>
  </si>
  <si>
    <t>[Lee, Sang-Han] Korea Res Inst Stand &amp; Sci, Taejon 305600, South Korea; [Povinec, Pavel P.] Comenius Univ, Fac Math Phys &amp; Informat, SK-84248 Bratislava, Slovakia; [Gastaud, Janine; Oregioni, Beniamino] IAEA, Marine Environm Labs, MC-98000 Monaco, Monaco; [Coppola, Laurent; Jeandel, Catherine] Univ Toulouse, Lab Etud Geophys &amp; Oceanog, CNRS, CNES,IRD, F-31400 Toulouse, France</t>
  </si>
  <si>
    <t>Korea Research Institute of Standards &amp; Science (KRISS); Comenius University Bratislava; Universite de Toulouse; Universite Toulouse III - Paul Sabatier; Centre National de la Recherche Scientifique (CNRS); Institut de Recherche pour le Developpement (IRD); Laboratoire d'Etudes en Geophysique et oceanographie spatiales</t>
  </si>
  <si>
    <t>Povinec, P (corresponding author), Korea Res Inst Stand &amp; Sci, Taejon 305600, South Korea.</t>
  </si>
  <si>
    <t>povinec@fmph.uniba.sk</t>
  </si>
  <si>
    <t>Jeandel, Catherine/P-3789-2014; Povinec, Pavel P/R-4682-2018; Coppola, Laurent/F-7880-2017</t>
  </si>
  <si>
    <t>Jeandel, Catherine/0000-0002-4915-4719; Coppola, Laurent/0000-0003-0473-1129; Povinec, Pavel/0000-0003-0275-794X</t>
  </si>
  <si>
    <t>1573-868X</t>
  </si>
  <si>
    <t>10.1007/s10872-009-0035-7</t>
  </si>
  <si>
    <t>438EA</t>
  </si>
  <si>
    <t>WOS:000265537500009</t>
  </si>
  <si>
    <t>Roleda, MY; Campana, GL; Wiencke, C; Hanelt, D; Quartino, ML; Wulff, A</t>
  </si>
  <si>
    <t>Roleda, Michael Y.; Campana, Gabriela L.; Wiencke, Christian; Hanelt, Dieter; Quartino, Maria Liliana; Wulff, Angela</t>
  </si>
  <si>
    <t>SENSITIVITY OF ANTARCTIC UROSPORA PENICILLIFORMIS (ULOTRICHALES, CHLOROPHYTA) TO ULTRAVIOLET RADIATION IS LIFE-STAGE DEPENDENT</t>
  </si>
  <si>
    <t>carotenoids; cyclobutane pyrimidine dimers; DNA damage; gametophytes; P-E curves; photosynthetic efficiency; pigments; propagules; rapid light curves; Urospora penicilliformis; UVR; xanthophyll</t>
  </si>
  <si>
    <t>ALGA DASYCLADUS-VERMICULARIS; UV-ABSORBING COMPOUNDS; PHOTOSYNTHETICALLY ACTIVE RADIATION; AMINO-ACIDS; B RADIATION; DEPTH DISTRIBUTION; GREEN-ALGAE; DNA-DAMAGE; GROWTH; SUSCEPTIBILITY</t>
  </si>
  <si>
    <t>The sensitivity of different life stages of the eulittoral green alga Urospora penicilliformis (Roth) Aresch. to ultraviolet radiation (UVR) was examined in the laboratory. Gametophytic filaments and propagules (zoospores and gametes) released from filaments were separately exposed to different fluence of radiation treatments consisting of PAR (P = 400-700 nm), PAR + ultraviolet A (UVA) (PA, UVA = 320-400 nm), and PAR + UVA + ultraviolet B (UVB) (PAB, UVB = 280-320 nm). Photophysiological indices (ETRmax, E-k, and alpha) derived from rapid light curves were measured in controls, while photosynthetic efficiency and amount of DNA lesions in terms of cyclobutane pyrimidine dimers (CPDs) were measured after exposure to radiation treatments and after recovery in low PAR; pigments of propagules were quantified after exposure treatment only. The photosynthetic conversion efficiency (alpha) and photosynthetic capacity (rETR(max)) were higher in gametophytes compared with the propagules. The propagules were slightly more sensitive to UVB-induced DNA damage; however, both life stages of the eulittoral inhabiting turf alga were not severely affected by the negative impacts of UVR. Exposure to a maximum of 8 h UVR caused mild effects on the photochemical efficiency of PSII and induced minimal DNA lesions in both the gametophytes and propagules. Pigment concentrations were not significantly different between PAR-exposed and PAR + UVR-exposed propagules. Our data showed that U. penicilliformis from the Antarctic is rather insensitive to the applied UVR. This amphi-equatorial species possesses different protective mechanisms that can cope with high UVR in cold-temperate waters of both hemispheres and in polar regions under conditions of increasing UVR as a consequence of further reduction of stratospheric ozone.</t>
  </si>
  <si>
    <t>[Wiencke, Christian] Alfred Wegener Inst Polar &amp; Marine Res, Dept Seaweed Biol, Sect Funct Ecol, D-27570 Bremerhaven, Germany; [Campana, Gabriela L.] Consejo Nacl Invest Cient &amp; Tecn, Inst Antartico Argentino, RA-1033 Buenos Aires, DF, Argentina; [Roleda, Michael Y.] Inst Polar Ecol, D-24148 Kiel, Germany; [Hanelt, Dieter] Univ Hamburg, Biozentrum Klein Flottbek, D-22609 Hamburg, Germany; [Wulff, Angela] Gothenburg Univ, Dept Marine Ecol, SE-40530 Gothenburg, Sweden</t>
  </si>
  <si>
    <t>Helmholtz Association; Alfred Wegener Institute, Helmholtz Centre for Polar &amp; Marine Research; Consejo Nacional de Investigaciones Cientificas y Tecnicas (CONICET); Instituto Antartico Argentino; University of Hamburg; University of Gothenburg</t>
  </si>
  <si>
    <t>Christian.Wiencke@awi.de</t>
  </si>
  <si>
    <t>German and Argentinean SCUBA</t>
  </si>
  <si>
    <t>This work was conducted under the agreement on scientific cooperation between AWI and Instituto Antartico Argentino/Direccion Nacional del Antartico (IAA/DNA, Argentina) at Dallmann Laboratory, annex to Jubany station (King George Island, South Shetlands). We thank the German and Argentinean SCUBA divers and the logistic team for support.</t>
  </si>
  <si>
    <t>10.1111/j.1529-8817.2009.00691.x</t>
  </si>
  <si>
    <t>454WJ</t>
  </si>
  <si>
    <t>WOS:000266714200008</t>
  </si>
  <si>
    <t>Cantonati, M; Van de Vijver, B; Lange-Bertalot, H</t>
  </si>
  <si>
    <t>Cantonati, Marco; Van de Vijver, Bart; Lange-Bertalot, Horst</t>
  </si>
  <si>
    <t>MICROFISSURATA GEN. NOV (BACILLARIOPHYTA), A NEW DIATOM GENUS FROM DYSTROPHIC AND INTERMITTENTLY WET TERRESTRIAL HABITATS</t>
  </si>
  <si>
    <t>alpine-circumboreal distribution; desiccation; diatoms; dystrophic lakes; epiphyton; intermittently wet terrestrial habitats; Microfissurata; Microfissurata australis; Microfissurata paludosa; mires; pH; pool springs; seepages; temperate sub-Antarctica</t>
  </si>
  <si>
    <t>LA POSSESSION CROZET; LONG-TERM; SUBANTARCTICA; COMMUNITIES; DEPOSITION; SPRINGS; ALPS; ILE</t>
  </si>
  <si>
    <t>A new freshwater benthic diatom genus, Microfissurata gen. nov., was identified from light and scanning electron micrographs. The most characteristic morphological feature (referred to also by the name of the new genus) is the structure of the striae/alveoli, which are simple, mostly uninterrupted, transapical slits. The combination of characteristics of the new genus is unique. It includes two new species: Microfissurata paludosa Cantonati et Lange-Bert. sp. nov. and M. australis Van de Vijver et Lange-Bert. sp. nov., distributed in Europe and on an austral island, respectively. The new genus occurs in freshwater dystrophic lakes, pools, seepage springs, mires, and in intermittently wet terrestrial habitats. It is not abundant but widespread wherever these habitat types are well developed, in Nordic-alpine and sub-Antarctic areas. Overall, the new genus appears to be mostly epiphytic (bryophilous) and capable of tolerating a wide range of moisture conditions (xerotolerant). The finding of the type species (M. paludosa) in a well-investigated area like central Europe highlights the diatom species richness of dystrophic habitats and their importance for diatom biodiversity conservation.</t>
  </si>
  <si>
    <t>[Cantonati, Marco] Museo Tridentino Sci Nat, Limnol &amp; Phycol Sect, I-38100 Trento, Italy; [Van de Vijver, Bart] Natl Bot Garden, Dept Bryophyta &amp; Thallophyta, B-1860 Meise, Belgium; [Lange-Bertalot, Horst] Senckenberg Res Inst, D-60054 Frankfurt, Germany; [Lange-Bertalot, Horst] Univ Frankfurt, Inst Ecol, D-60054 Frankfurt, Germany</t>
  </si>
  <si>
    <t>Senckenberg Gesellschaft fur Naturforschung (SGN); Goethe University Frankfurt</t>
  </si>
  <si>
    <t>Cantonati, M (corresponding author), Museo Tridentino Sci Nat, Limnol &amp; Phycol Sect, Via Calepina 14, I-38100 Trento, Italy.</t>
  </si>
  <si>
    <t>cantonati@mtsn.tn.it</t>
  </si>
  <si>
    <t>Cantonati, Marco/G-4278-2018</t>
  </si>
  <si>
    <t>Cantonati, Marco/0000-0003-0179-3842</t>
  </si>
  <si>
    <t>French Polar Institute IPEV</t>
  </si>
  <si>
    <t>Writing of the present article was made possible by cofunding by the CRENODAT Project (Biodiversity assessment and integrity evaluation of springs of Trentino - Italian Alps - and long-term ecological research, 2004-2007; funded by the University and Sc. Research Dept. of the Autonomous Province of Trento). Dott. C. Lasen and the Municipality of Danta promoted and supported the investigation of the mire-pool site in the frame of the Project LIFE04 NAT/IT/000177 (European Union 2004). Dott. F. Decet and Dott. J. Gabrieli (Veneto Environmental Agency, Dept. of Belluno) made available hydrochemical data. The authors are grateful to Mr. Manfred Ruppel, University of Frankfurt, and to Ms. Myriam de Haan for assistance during SEM work in Germany and Belgium, respectively; to Dr. Daniel Spitale for data on the bryophytes; and to Dr. Juri Nascimbene for lichen identification. Dr. N. Angeli was very helpful during the fitting out of the plates. Logistic and financial support for the field work on Amsterdam Island was provided by the French Polar Institute IPEV in the framework of the terrestrial ecology project ECOBIO-136 (Station Biologique de Paimpont, Dr. Yves Frenot and Ir. Marc Lebouvier).</t>
  </si>
  <si>
    <t>10.1111/j.1529-8817.2009.00683.x</t>
  </si>
  <si>
    <t>WOS:000266714200021</t>
  </si>
  <si>
    <t>Pankowski, A; McMinn, A</t>
  </si>
  <si>
    <t>Pankowski, Andrew; McMinn, Andrew</t>
  </si>
  <si>
    <t>DEVELOPMENT OF IMMUNOASSAYS FOR THE IRON-REGULATED PROTEINS FERREDOXIN AND FLAVODOXIN IN POLAR MICROALGAE</t>
  </si>
  <si>
    <t>ferredoxin; flavodoxin; immunoassay; iron; microalgae; phytoplankton</t>
  </si>
  <si>
    <t>SOUTHERN-OCEAN; MARINE-PHYTOPLANKTON; PHOTOSYNTHETIC APPARATUS; ENRICHMENT EXPERIMENTS; PRIMARY PRODUCTIVITY; EASTERN ANTARCTICA; CHLORELLA-FUSCA; LIMITATION; PACIFIC; DIATOMS</t>
  </si>
  <si>
    <t>While the growth of Southern Ocean phytoplankton is often limited by iron availability, there are no comparable experiments on sea-ice algae. Here we assess the use of ferredoxin and flavodoxin to investigate the iron nutritional status of sea-ice algae and describe the development of a quantitative immunoassay for both proteins in marine diatoms. High-affinity monoclonal antibodies toward both proteins were produced from Cylindrotheca closterium (Ehrenb.) J. M. Lewin et Reimann, and these were used to develop Western blots. Western blots run on whole protein extracts detected both proteins with little cross-reactivity toward other proteins. The two proteins could be successfully quantitated when applied to gels at between 5 and 50 ng in a volume of 25 mu L (0.2-2 mu g . mL(-1)). Flavodoxin and ferrodoxin expression was examined in the Antarctic diatoms Entomoneis kjellmannii (Cleve) Poulin et Cardinal, Navicula directa (W. Sm.) Ralfs, Fragilariopsis curta (Van Heurck) Hust., Pseudo-nitzschia sp., Porosira glacialis (Grunow) E. G. Jorg., Fragilariopsis cylindrus (Grunow) Willi Krieg., Fragilariopsis sublinearis (Van Heurck) Heiden et Kolbe, C. closterium, Nitzschia lecointei Van Heurck, and the dinoflagellate Polarella glacialis Montresor, Procaccini et Stoecker. Two Arctic isolates were also examined, Nitzschia frigida (Grunow) and Fragilariopsis oceanica (Cleve) Hasle. Significant heterogeneity of protein expression was observed despite all cultures being grown in iron-replete f/2 medium. Only one species, F. cylindrus, displayed the expected expression of ferredoxin only in iron-replete medium. Four were observed to produce both proteins under iron-replete conditions. Ferredoxin was not detected at all in F. curta and Pseudo-nitzschia sp., but distinct flavodoxin bands were observed in both of these organisms. All species examined were observed to express either flavodoxin or ferredoxin or both of the proteins as determined by Western immunoblotting.</t>
  </si>
  <si>
    <t>[Pankowski, Andrew; McMinn, Andrew] Univ Tasmania, Inst Antarctic &amp; So Ocean Studies, Hobart, Tas 7001, Australia</t>
  </si>
  <si>
    <t>McMinn, A (corresponding author), Univ Tasmania, Inst Antarctic &amp; So Ocean Studies, Private Bag 77, Hobart, Tas 7001, Australia.</t>
  </si>
  <si>
    <t>andrew.mcminn@utas.edu.au</t>
  </si>
  <si>
    <t>McMinn, Andrew/A-9910-2008</t>
  </si>
  <si>
    <t>ARC Discovery; Australian Antarctic Science Program; Australian Postgraduate Award</t>
  </si>
  <si>
    <t>ARC Discovery(Australian Research Council); Australian Antarctic Science Program; Australian Postgraduate Award(Australian Government)</t>
  </si>
  <si>
    <t>This project was conducted with financial support from an ARC Discovery grant and logistical support from the Australian Antarctic Science Program. Dr. A. Pankowski received financial support from an Australian Postgraduate Award.</t>
  </si>
  <si>
    <t>10.1111/j.1529-8817.2009.00687.x</t>
  </si>
  <si>
    <t>WOS:000266714200023</t>
  </si>
  <si>
    <t>Kamenkovich, I; Berloff, P; Pedlosky, J</t>
  </si>
  <si>
    <t>Kamenkovich, Igor; Berloff, Pavel; Pedlosky, Joseph</t>
  </si>
  <si>
    <t>Role of Eddy Forcing in the Dynamics of Multiple Zonal Jets in a Model of the North Atlantic</t>
  </si>
  <si>
    <t>ANTARCTIC CIRCUMPOLAR CURRENT; BETA-PLANE TURBULENCE; MIDOCEAN EDDIES; BRAZIL BASIN; OCEAN; FLOWS; EQUILIBRATION; CIRCULATION; PYCNOCLINE; SCALES</t>
  </si>
  <si>
    <t>Multiple zonal jets are observed in satellite data-based estimates of oceanic velocities, float measurements, and high-resolution numerical simulations of the ocean circulation. This study makes a step toward understanding the dynamics of these jets in the real ocean by analyzing the vertical structure and dynamical balances within multiple zonal jets simulated in an eddy-resolving primitive equation model of the North Atlantic. In particular, the authors focus on the role of eddy flux convergences (eddy forcing'') in supporting the buoyancy and relative/potential vorticity (PV) anomalies associated with the jets. The results suggest a central role of baroclinic eddies in the barotropic and baroclinic dynamics of the jets, and significant differences in the effects of eddy forcing between the subtropical and subpolar gyres. Additionally, diabatic potential vorticity sources and sinks, associated with vertical diffusion, are shown to play an important role in supporting the potential vorticity anomalies. The resulting potential vorticity profile does not resemble a PV staircase''-a distinct meridional structure observed in some idealized studies of geostrophic turbulence.</t>
  </si>
  <si>
    <t>[Kamenkovich, Igor] Univ Miami, Rosenstiel Sch Marine &amp; Atmospher Sci, Div MPO, 4600 Rickenbacker Causeway, Miami, FL 33149 USA; [Berloff, Pavel] Univ Cambridge, Dept Appl Math &amp; Theoret Phys, Cambridge CB3 9EW, England; [Berloff, Pavel; Pedlosky, Joseph] Woods Hole Oceanog Inst, Woods Hole, MA 02543 USA</t>
  </si>
  <si>
    <t>University of Miami; University of Cambridge; Woods Hole Oceanographic Institution</t>
  </si>
  <si>
    <t>Kamenkovich, I (corresponding author), Univ Miami, Rosenstiel Sch Marine &amp; Atmospher Sci, Div MPO, 4600 Rickenbacker Causeway, Miami, FL 33149 USA.</t>
  </si>
  <si>
    <t>Berloff, Pavel/T-2851-2019; Kamenkovich, Igor/AAG-3451-2019</t>
  </si>
  <si>
    <t>Directorate For Geosciences; Division Of Ocean Sciences [0845150] Funding Source: National Science Foundation</t>
  </si>
  <si>
    <t>Directorate For Geosciences; Division Of Ocean Sciences(National Science Foundation (NSF)NSF - Directorate for Geosciences (GEO))</t>
  </si>
  <si>
    <t>10.1175/2008JPO4096.1</t>
  </si>
  <si>
    <t>470EV</t>
  </si>
  <si>
    <t>WOS:000267958800005</t>
  </si>
  <si>
    <t>Sato, K; Tomikawa, Y; Hashida, G; Yamanouchi, T; Nakajima, H; Sugita, T</t>
  </si>
  <si>
    <t>Sato, K.; Tomikawa, Y.; Hashida, G.; Yamanouchi, T.; Nakajima, H.; Sugita, T.</t>
  </si>
  <si>
    <t>Longitudinally Dependent Ozone Increase in the Antarctic Polar Vortex Revealed by Balloon and Satellite Observations</t>
  </si>
  <si>
    <t>GRAVITY-WAVES; DEPLETION; DESCENT; ATMOSPHERE; TRANSPORT; CHLORINE; VORTICES</t>
  </si>
  <si>
    <t>The horizontal structure of processes causing increases in ozone in the Antarctic polar vortex was examined using data measured in 2003 from an ozonesonde observation campaign at Syowa Station (39.6 degrees E, 69.0 degrees S) and from the Improved Limb Atmospheric Spectrometer II (ILAS-II) onboard the Advanced Earth Observing Satellite II. The ILAS-II data are daily and distributed uniformly at 14 points in the zonal direction, mostly at polar latitudes. The Antarctic ozone hole that developed in 2003 was one of the largest recorded. The period of focus in this study is 26 September through 24 October, when a strong polar vortex was situated in the stratosphere. An ozone mixing ratio contour (1.0 ppmv) moved downward near a height of 20 km during the period of focus. This increase in ozone is likely to result from downward transport of ozone-rich air originating from lower latitudes by Brewer-Dobson circulation. First, the descent rate of the mixing ratio contour was estimated by taking the geometric height as the vertical coordinate for the deep vortex interior around 20 km. A significant longitudinal dependence was observed. An analysis using ECMWF operational data shows that this dependence can be approximately explained by longitudinally dependent vertical movements of the isentropes caused by a zonal wavenumber-1 quasi-stationary planetary wave with amplitude and phases varying on a seasonal time scale. Next, the descent rate was calculated around 500 K ( around 20 km) by taking the potential temperature (isentrope) as the vertical coordinate. The longitudinal dependence was still present using this coordinate, meaning that the ozone mixing ratio and its increase are not constant on the isentropic layer even in the interior of the polar vortex. A backward trajectory analysis showed that air parcels with large ozone mixing ratios were mostly transported from the polar vortex boundary region. This result suggests that lateral transport/mixing is important even before the breakup of the polar vortex. Results from a tracer-tracer correlation analysis of O-3 and long-lived constituent N2O were also consistent with this inference. The contribution of lateral mixing to the increase in ozone was estimated at about 17% +/- 4% that of the Brewer-Dobson circulation around 20 km, using the calculated descent rates. The results of this study also imply that Lagrangian downward motions in the vortex interior are not correctly estimated without accounting for lateral mixing, even if the polar vortex is dynamically stable.</t>
  </si>
  <si>
    <t>[Sato, K.] Univ Tokyo, Dept Earth &amp; Planetary Sci, Tokyo 1130033, Japan; [Tomikawa, Y.; Hashida, G.; Yamanouchi, T.] Natl Inst Polar Res, Tokyo, Japan; [Nakajima, H.; Sugita, T.] Natl Inst Environm Studies, Ibaraki, Japan</t>
  </si>
  <si>
    <t>University of Tokyo; Research Organization of Information &amp; Systems (ROIS); National Institute of Polar Research (NIPR) - Japan; National Institute for Environmental Studies - Japan</t>
  </si>
  <si>
    <t>Sato, K (corresponding author), Univ Tokyo, Dept Earth &amp; Planetary Sci, Tokyo 1130033, Japan.</t>
  </si>
  <si>
    <t>kaoru@eps.s.u-tokyo.ac.jp</t>
  </si>
  <si>
    <t>Satoh, Kaoru/P-2047-2015; Yamanouchi, Takashi/P-2041-2015; Tomikawa, Yoshihiro/D-5304-2012; Sugita, Takafumi/H-6669-2018; Nakajima, Hideaki/M-8845-2019; Sato, Kaoru/E-1693-2012</t>
  </si>
  <si>
    <t>Tomikawa, Yoshihiro/0000-0002-5652-3017; Nakajima, Hideaki/0000-0002-2742-1230; Sato, Kaoru/0000-0002-6225-6066; Sugita, Takafumi/0000-0002-0508-7040</t>
  </si>
  <si>
    <t>Grants-in-Aid for Scientific Research [20244077] Funding Source: KAKEN</t>
  </si>
  <si>
    <t>10.1175/2008JAS2904.1</t>
  </si>
  <si>
    <t>461JY</t>
  </si>
  <si>
    <t>WOS:000267263300020</t>
  </si>
  <si>
    <t>Fiege, D; Bock, G</t>
  </si>
  <si>
    <t>Fiege, Dieter; Bock, Gordon</t>
  </si>
  <si>
    <t>A new species of Archinome (Polychaeta: Archinomidae) from hydrothermal vents on the Pacific-Antarctic Ridge 37°S</t>
  </si>
  <si>
    <t>Amphinomida; taxonomy; deep sea; Pacific Ocean; Archinome; new species</t>
  </si>
  <si>
    <t>MID-ATLANTIC RIDGE; DEEP-SEA; COMMUNITY STRUCTURE; MUSSEL BEDS; BIOGEOGRAPHY; RISE</t>
  </si>
  <si>
    <t>Archinome storchi sp. nov. is described as the second species of the family Archinomidae. The specimens were collected from a hydrothermal vent site in 2212 m depth on the Pacific - Antarctic Ridge at 37 degrees S. It differs from Archinome rosacea mainly in the position of the anus, the first appearance of branchiae and the length of the nuchal cirrus. Additional specimens of A. rosacea collected from hydrothermal vent locations in the North Fiji Basin and on the Mid-Atlantic Ridge were used for morphological comparison. A synoptic table of characters is given for A. rosacea and A. storchi sp. nov. together with a list of records for Archinomidae compiled from the literature.</t>
  </si>
  <si>
    <t>[Fiege, Dieter; Bock, Gordon] Forschungsinst Senckenberg, Sekt Marine Evertebraten 2, D-60325 Frankfurt, Germany; [Bock, Gordon] Johannes Gutenberg Univ Mainz, Inst Zool, D-55128 Mainz, Germany</t>
  </si>
  <si>
    <t>Senckenberg Gesellschaft fur Naturforschung (SGN); Johannes Gutenberg University of Mainz</t>
  </si>
  <si>
    <t>Fiege, D (corresponding author), Forschungsinst Senckenberg, Sekt Marine Evertebraten 2, Senckenberganlage 25, D-60325 Frankfurt, Germany.</t>
  </si>
  <si>
    <t>Dieter.Fiege@senckenberg.de</t>
  </si>
  <si>
    <t>10.1017/S0025315409000174</t>
  </si>
  <si>
    <t>472RV</t>
  </si>
  <si>
    <t>WOS:000268150600005</t>
  </si>
  <si>
    <t>Ju, SJ; Kang, HK; Kim, WS; Harvey, HR</t>
  </si>
  <si>
    <t>Ju, Se-Jong; Kang, Hyung-Ku; Kim, Woong Seo; Harvey, H. Rodger</t>
  </si>
  <si>
    <t>Comparative lipid dynamics of euphausiids from the Antarctic and Northeast Pacific Oceans</t>
  </si>
  <si>
    <t>FATTY-ACID; POPULATION BIOLOGY; MEGANYCTIPHANES-NORVEGICA; INTERANNUAL VARIATIONS; THYSANOESSA-MACRURA; ENERGY BUDGETS; BARKLEY SOUND; WAX ESTERS; KRILL; SUPERBA</t>
  </si>
  <si>
    <t>To better understand the feeding and reproductive ecology of euphausiids (krill) in different ocean environments, lipid classes and individual lipid components of four different species of euphausiids from Northeast Pacific (temperate species) and Southern Ocean (Antarctic species) were analyzed in animals from multiple life stages and seasons. The dominant krill species in the Northeast Pacific Euphausia pacifica and Thysanoessa spinifera, were compared to the two major Antarctic species, Euphausia superba and E. crystallorophias. Analysis comprised total lipid and lipid classes together with individual fatty acid and sterol composition in adults, juveniles, and larvae. Antarctic krill had much higher lipid content than their temperate relatives (10-50 and 5-20% of dry mass for Antarctic and temperate species, respectively) with significant seasonal variations observed. Phospholipids were the dominant lipid class in both temperate krill species, while neutral storage lipids (wax esters and triacylglycerols for E. crystallorophias and E. superba, respectively) were the major lipid class in Antarctic krill and accounted for up to 40% of the total lipid content. Important fatty acids, specifically 16:0, 18:1 omega 9, 20:5 omega 3, and 22:6 omega 3, were detected in all four krill species, with minor differences between species and seasons. Detailed lipid profiles suggest that krill alter their lipid composition with life stage and season. In particular, larval Antarctic krill appear to utilize alternate food resources (i.e., sea-ice associated organisms) during austral winter in contrast to juveniles and adults (i.e., seston and copepods). Lipid dynamics in krill among krill in both systems appear closely linked to their life cycle and environmental conditions including food availability, and can provide a more complete comparative ecology of euphausiids in these environmentally distinct systems.</t>
  </si>
  <si>
    <t>[Harvey, H. Rodger] Univ Maryland, Ctr Environm Sci, Chesapeake Biol Lab, Solomons, MD 20688 USA; [Ju, Se-Jong] Korea Ocean Res &amp; Dev Inst, Deep Sea &amp; Marine Georesources Res Dept, Seoul 425600, South Korea; [Kang, Hyung-Ku] Korea Ocean Res &amp; Dev Inst, Marine Living Resources Res Dept, Seoul 425600, South Korea; [Kim, Woong Seo] Korea Ocean Res &amp; Dev Inst, Yeosu Exposit Supporting Task Force Team, Seoul 425600, South Korea</t>
  </si>
  <si>
    <t>University System of Maryland; University of Maryland Center for Environmental Science; Korea Institute of Ocean Science &amp; Technology (KIOST); Korea Institute of Ocean Science &amp; Technology (KIOST); Korea Institute of Ocean Science &amp; Technology (KIOST)</t>
  </si>
  <si>
    <t>Harvey, HR (corresponding author), Univ Maryland, Ctr Environm Sci, Chesapeake Biol Lab, POB 38, Solomons, MD 20688 USA.</t>
  </si>
  <si>
    <t>harvey@cbl.umces.edu</t>
  </si>
  <si>
    <t>Ju, Se-Jong/A-9029-2009</t>
  </si>
  <si>
    <t>NSF [OPP-9910043]; NOAA [OCE-0000732]; KORDI projects [PP00720, PE9830V]; KORP</t>
  </si>
  <si>
    <t>NSF(National Science Foundation (NSF)); NOAA(National Oceanic Atmospheric Admin (NOAA) - USA); KORDI projects; KORP</t>
  </si>
  <si>
    <t>We thank William Peterson, Tracy Shaw, Leah Feinberg, Rachael Dyda, Steve McGuire and Susan Klosterhaus for their assistance in the collection of euphausiids. This work was supported by the NSF through the Southern Ocean GLOBEC program (OPP-9910043 to HRH) and NOAA through the Northeast Pacific GLOBEC program (OCE-0000732 to HRH through NSF). S.-J. Ju was also partially supported by KORDI projects (PP00720 and PE9830V) and the industrial and academic outstanding researcher invitation program sponsored by KORP. This manuscript is contribution No. 4269 of The University of Maryland Center for Environmental Science and contribution No. 630 of USGLOBEC program.</t>
  </si>
  <si>
    <t>10.1007/s00227-009-1186-1</t>
  </si>
  <si>
    <t>444WE</t>
  </si>
  <si>
    <t>WOS:000266010300009</t>
  </si>
  <si>
    <t>Mincks, SL; Dyal, PL; Paterson, GLJ; Smith, CR; Glover, AG</t>
  </si>
  <si>
    <t>Mincks, Sarah L.; Dyal, Patricia L.; Paterson, Gordon L. J.; Smith, Craig R.; Glover, Adrian G.</t>
  </si>
  <si>
    <t>A new species of Aurospio (Polychaeta, Spionidae) from the Antarctic shelf, with analysis of its ecology, reproductive biology and evolutionary history</t>
  </si>
  <si>
    <t>Antarctica; Aurospio; Crozet Islands; deep sea origin; equatorial Pacific; parasitism; phylogeny; Polychaeta; Prionospio; seasonality; Turbellaria; West Antarctic Peninsula</t>
  </si>
  <si>
    <t>GENETICS ANALYSIS; WEDDELL SEA; PATTERNS; BIODIVERSITY; PHYLOGENY; ANNELIDA; OCEAN; PRIONOSPIO; INFERENCE; SEDIMENTS</t>
  </si>
  <si>
    <t>Recent field expeditions to the Antarctic shelf and surrounding basins have included substantial benthic sampling, revealing a diverse benthic infauna, including many previously unknown taxa. We describe a new species of spionid polychaete from the West Antarctic Peninsula shelf, Aurospio foodbancsia sp. n., which constitutes as much as 70% of the polychaete community at some locations. This species is morphologically very similar to the wide-spread deep-sea species Aurospio dibranchiata, and we revise the generic description of Aurospio to include this new species. We also present new records of A. dibranchiata from the Antarctic shelf/slope and the abyssal equatorial Pacific, including the deepest observations yet recorded. Aurospio foodbancsia sp. n. does not appear to undergo seasonal cycles in abundance, gametogenesis or recruitment, in contrast to observations on A. dibranchiata by other authors which suggest seasonal production of planktotrophic larvae. Our examination of several hundred specimens of A. foodbancsia sp. n. also revealed the presence of a parasitic turbellarian embedded within the body cavity. Morphological comparisons suggest close affinities between A. foodbancsia sp. n. and the exclusively deep-sea congener, A. dibranchiata. Phylogenetic analysis of the Spionidae based on available 16S and 18S rRNA gene data also supports this relationship, suggesting a possible historical linkage between Antarctic shelf and deep-sea taxa.</t>
  </si>
  <si>
    <t>[Mincks, Sarah L.] Univ Alaska, Inst Marine Sci, Fairbanks, AK 99775 USA; [Mincks, Sarah L.; Dyal, Patricia L.; Paterson, Gordon L. J.; Glover, Adrian G.] Nat Hist Museum, Dept Zool, London SW7 5BD, England; [Smith, Craig R.] Univ Hawaii Manoa, Dept Oceanog, Honolulu, HI 96822 USA</t>
  </si>
  <si>
    <t>University of Alaska System; University of Alaska Fairbanks; Natural History Museum London; University of Hawaii System; University of Hawaii Manoa</t>
  </si>
  <si>
    <t>Mincks, SL (corresponding author), Univ Alaska, Inst Marine Sci, Fairbanks, AK 99775 USA.</t>
  </si>
  <si>
    <t>mincks@sfos.uaf.edu</t>
  </si>
  <si>
    <t>Paterson, Gordon/A-9894-2011</t>
  </si>
  <si>
    <t>Paterson, Gordon/0000-0002-5331-5837; Mincks, Sarah/0000-0002-3328-712X</t>
  </si>
  <si>
    <t>USA NSF; Kaplan Fund; Sloan Foundation; Royal Society; Natural Environment Research Council [NER/A/S/2003/00573] Funding Source: researchfish</t>
  </si>
  <si>
    <t>USA NSF(National Science Foundation (NSF)); Kaplan Fund; Sloan Foundation(Alfred P. Sloan Foundation); Royal Society(Royal Society); Natural Environment Research Council(UK Research &amp; Innovation (UKRI)Natural Environment Research Council (NERC))</t>
  </si>
  <si>
    <t>We gratefully acknowledge I. Altamira for all her assistance with taxonomic review of the Aurospio species complex. We thank the crews of the R/V L. M. Gould and RV/IB N. B. Palmer, R/V New Horizon, R/V L'Atalante and RRS Discovery, as well as participants of the FOODBANCS, CROZEX, and Kaplan/IFREMER field and lab programs, for sample collection and processing. We are also grateful to participants of the ANDEEP program, especially B. Ebbe, A. Brandt, and M. Schuller, for generously providing material from their studies. J. Mackenzie-Dodds and the staff of The Natural History Museum Molecular Biology Unit provided invaluable assistance in troubleshooting PCR and sequencing protocols, and generated high-quality gene sequence data with rapid turn-around times. Thanks are due to Eileen Harris (NHM) for preparing the turbellarian parasite and to Tim Littlewood (NHM) for discussions on its possible identification. Sample collection was supported by grants from the USA NSF Office of Polar Programs, the Kaplan Fund and the Sloan Foundation to CRS. Funding for this work was provided by a fellowship from The Royal Society, awarded to S.L.M. and A.G.G.</t>
  </si>
  <si>
    <t>10.1111/j.1439-0485.2008.00265.x</t>
  </si>
  <si>
    <t>443FV</t>
  </si>
  <si>
    <t>WOS:000265896500004</t>
  </si>
  <si>
    <t>Jiang, SJ; Wise, SW</t>
  </si>
  <si>
    <t>Jiang, Shijun; Wise, Sherwood W., Jr.</t>
  </si>
  <si>
    <t>Distinguishing the influence of diagenesis on the paleoecological reconstruction of nannoplankton across the Paleocene/Eocene Thermal Maximum: An example from the Kerguelen Plateau, southern Indian Ocean</t>
  </si>
  <si>
    <t>Nannoplankton productivity and absolute abundance; Paleoecology; Dissolution; Paleocene/Eocene Thermal Maximum; Kerguelen Plateau; Southern Ocean</t>
  </si>
  <si>
    <t>NORTH-ATLANTIC OCEAN; CALCAREOUS NANNOPLANKTON; EXPORT PRODUCTION; METHANE HYDRATE; SEA; COCCOLITHOPHORE; DISSOCIATION; END; ASSEMBLAGES; TERMINATION</t>
  </si>
  <si>
    <t>The Paleocene/Eocene Thermal Maximum (PETM, ca. 55 Ma) is an abrupt, profound perturbation of climate and the carbon cycle associated with a massive injection of isotopically light carbon into the ocean-atmosphere system. As such, it provides an analogue for understanding the interplay between phytoplankton and climate under modern anthropogenic global-warming conditions. However, the accompanying enhanced dissolution poses uncertainty on the reconstruction of the affected ecology and productivity. We present a high-resolution record of bulk isotopes and nannofossil absolute abundance from Ocean Drilling Program (ODP) Site 1135 on the Kerguelen Plateau, Southern Indian Ocean to quantitatively constrain for the first time the influence of dissolution on paleoecological reconstruction. Our bulk-carbonate, isotope record closely resembles that of the classic PETM site at ODP Site 690 on the opposite side of the Antarctic continent, and its correlation with those from ODP Sites 690, 1262 and 1263 records allows recognition of 14 precessional cycles upsection from the onset of the carbon isotopic excursion (CIE). This, together with a full range of common Discoaster araneus and an abundance crossover between Fasciculithus and Zygrhablithus bijugatus, indicates the presence of the PETM at Site 1135, a poorly known record with calcareous fossils throughout the interval. The strong correlation between the absolute abundances of Chiasmolithus and coccolith assemblages reveals a dominant paleoecological signal in the poorly preserved fossil assemblages, while the influence of dissolution is only strong during the CIE. This suggests that r-selected taxa can preserve faithful ecological information even in the severely-altered assemblages studied here, and therefore provide a strong case for the application of nannofossils to paleoecological studies in better-preserved PETM sections. The inferred nannoplankton productivity drops abruptly at the CIE onset, but rapidly increases after the CIE peak, both of which may be driven by nutrient availability related to ocean stratification and vertical mixing due to changed sea-surface temperatures. (C) 2009 Elsevier B.V. All rights reserved.</t>
  </si>
  <si>
    <t>[Jiang, Shijun] Penn State Univ, Dept Geosci, University Pk, PA 16802 USA; [Jiang, Shijun; Wise, Sherwood W., Jr.] Florida State Univ, Dept Geol Sci, Tallahassee, FL 32306 USA</t>
  </si>
  <si>
    <t>Pennsylvania Commonwealth System of Higher Education (PCSHE); Pennsylvania State University; Pennsylvania State University - University Park; State University System of Florida; Florida State University</t>
  </si>
  <si>
    <t>Jiang, SJ (corresponding author), Penn State Univ, Dept Geosci, University Pk, PA 16802 USA.</t>
  </si>
  <si>
    <t>jiang@gly.fsu.edu</t>
  </si>
  <si>
    <t>jiang, shijun/J-2443-2014</t>
  </si>
  <si>
    <t>jiang, shijun/0000-0001-6259-7912</t>
  </si>
  <si>
    <t>JOI USSAC [183, 207]; NSF-OPP grants [0126218, 0230469]; Division Of Earth Sciences; Directorate For Geosciences [0824628] Funding Source: National Science Foundation</t>
  </si>
  <si>
    <t>JOI USSAC; NSF-OPP grants; Division Of Earth Sciences; Directorate For Geosciences(National Science Foundation (NSF)NSF - Directorate for Geosciences (GEO))</t>
  </si>
  <si>
    <t>We thank Mike Hall (Godwin Laboratory, Cambridge) for providing a detailed pretreatment procedure for bulk sediments, and Yingfeng Xu (FSU Stable Isotope Laboratory) for analyzing bulk isotopes. Ellen Thomas, Fabrizio Tremolada, Isabella Raffi, and two anonymous reviewers provided constructive and thoughtful criticisms that substantially improved the manuscript. This research used samples and data provided by ODP. Funding provided by JOI USSAC (for ODP Legs 183 and 207) and NSF-OPP grants 0126218 and 0230469 to SWW.</t>
  </si>
  <si>
    <t>10.1016/j.marmicro.2009.03.003</t>
  </si>
  <si>
    <t>464OT</t>
  </si>
  <si>
    <t>WOS:000267515500004</t>
  </si>
  <si>
    <t>[Anonymous]</t>
  </si>
  <si>
    <t>Increasing Antarctic sea ice extent linked to the ozone hole</t>
  </si>
  <si>
    <t>465CK</t>
  </si>
  <si>
    <t>WOS:000267558600002</t>
  </si>
  <si>
    <t>Wolf, SF; Wang, MS; Lipschutz, ME</t>
  </si>
  <si>
    <t>Wolf, Stephen F.; Wang, Ming-Sheng; Lipschutz, Michael E.</t>
  </si>
  <si>
    <t>Labile trace elements in basaltic achondrites: Can they distinguish between meteorites from the Moon, Mars, and V-type asteroids?</t>
  </si>
  <si>
    <t>FELDSPATHIC LUNAR METEORITES; HIGHLAND REGOLITH BRECCIA; ALEXANDRA RANGE 94281; MARTIAN METEORITES; PARENT BODY; GEOCHEMISTRY; CHEMISTRY; PETROLOGY; ALHA77005; SURFACE</t>
  </si>
  <si>
    <t>We report data for 14 mainly labile trace elements (Ag. Au, Bi, Cd, Cs, Ga, In, Rb, Sb, Se, Te, Tl, U, and Zn) in eight whole-rock lunar meteorites (Asuka [A-] 881757, Dar al Gani [DaG] 262, Elephant Moraine [EET] 87521, Queen Alexandra Range [QUE] 93069, QUE 94269 QUE 94281, Yamato [Y-] 793 169, and Y-981031), and Martian meteorite (DaG 476) and incorporate these into a comparative Study of basaltic meteorites from the Moon, Mars, and V-type asteroids. Multivariate Cluster analysis of data for these elements in 14 lunar, 13 Martian, and 34 howardite. eucrite, and diogenite (HED) meteorites demonstrate that materials from these three parents are distinguishable using these markers of late, low-temperature episodes. This distinguishability is essentially as complete as that based on markers of high-temperature igneous processes. Concentrations of these elements in 14 lunar meteorites are essentially lognormally distributed and generally more homogeneous than in Martian and HED meteorites. Mean siderophile and labile element concentrations in the 14 lunar meteorites indicate the presence of I CI-equivalent micrometeorite admixture of 2.6%. When only feldspathic samples are considered. Out data show I slightly higher value of 3.4% consistent with an increasing micrometeorite content in regolith samples of higher maturity. Concentrations of labile elements in the 8 feldspathic samples hint at the presence of a fractionated highly labile element component, possibly volcanic in origin, at I level comparable to the micrometeorite component. Apparently, the process(es) that contributed to establishing lunar meteorite siderophile and labile trace element Contents Occurred in a system open to highly labile element transport.</t>
  </si>
  <si>
    <t>[Wolf, Stephen F.] Indiana State Univ, Dept Chem &amp; Phys, Terre Haute, IN 47809 USA; [Wang, Ming-Sheng; Lipschutz, Michael E.] Purdue Univ, Dept Chem, Wetherill Lab, W Lafayette, IN 47907 USA</t>
  </si>
  <si>
    <t>Indiana State University; Purdue University System; Purdue University</t>
  </si>
  <si>
    <t>Wolf, SF (corresponding author), Indiana State Univ, Dept Chem &amp; Phys, Terre Haute, IN 47809 USA.</t>
  </si>
  <si>
    <t>wolf@indstate.edu</t>
  </si>
  <si>
    <t>Japanese Antarctic Research Expedition (JARE); U.S. National Science Foundation; U.S. Department of Energy [DE-FG07-011D14146]; Indiana State University Department of Chemistry and Physics; College of Arts and Sciences; Corporation Cottrell College Science Award [CC5827]; Indiana State University Promising Scholars Award; NASA [NAWG-3396]</t>
  </si>
  <si>
    <t>Japanese Antarctic Research Expedition (JARE); U.S. National Science Foundation(National Science Foundation (NSF)); U.S. Department of Energy(United States Department of Energy (DOE)); Indiana State University Department of Chemistry and Physics; College of Arts and Sciences; Corporation Cottrell College Science Award; Indiana State University Promising Scholars Award; NASA(National Aeronautics &amp; Space Administration (NASA))</t>
  </si>
  <si>
    <t>We are grateful to the Japanese Antarctic Research Expedition (JARE) and U.S. National Science Foundation (via the Antarctic Search for Meteorites, ANSMET) for Supporting the collection of Antarctic meteorites. We thank Dr. H. Kojima of the NIPR, the Meteorite Working Groups of Japan and U.S. and especially Prof. H. Palme of the Universitat Zu Koln, Dr. J. Zipfel of the Max-Planck-Institut fur Chemie, and Dr. D. W. Mittlefehldt of the Astromaterials Research Office at NASA Johnson Space Center (JSC) for providing samples for Our Study. We acknowledge the staff of the UMRR for their assistance and the U.S. Department of Energy for reactor support under Grant DE-FG07-011D14146. ICPMS instrumentation was funded by Indiana State University Department of Chemistry and Physics and the College of Arts and Sciences. This paper benefited from input provided by Dr. Paul Warren, associate editor Dr. Randy L. Korotev, and all anonymous reviewer. This research was Supported in part by I research Corporation Cottrell College Science Award number CC5827 (SFW), Indiana State University Promising Scholars Award (SFW), and NASA Grant NAWG-3396 (MEL).</t>
  </si>
  <si>
    <t>10.1111/j.1945-5100.2009.tb00776.x</t>
  </si>
  <si>
    <t>487OM</t>
  </si>
  <si>
    <t>WOS:000269284100008</t>
  </si>
  <si>
    <t>Matschiner, M; Hanel, R; Salzburger, W</t>
  </si>
  <si>
    <t>Matschiner, Michael; Hanel, Reinhold; Salzburger, Walter</t>
  </si>
  <si>
    <t>Gene flow by larval dispersal in the Antarctic notothenioid fish Gobionotothen gibberifrons</t>
  </si>
  <si>
    <t>adaptive radiation; population genetics; isolation-with-migration model; drifters</t>
  </si>
  <si>
    <t>ICEFISH CHAENOCEPHALUS-ACERATUS; POPULATION-STRUCTURE; PATAGONIAN TOOTHFISH; MICROSATELLITE LOCI; METABOLIC-RATE; CHAMPSOCEPHALUS-GUNNARI; LINKAGE DISEQUILIBRIUM; MIGRATION RATES; DEMERSAL FISHES; MITOCHONDRIAL</t>
  </si>
  <si>
    <t>The diversification of the teleost suborder Notothenioidei (Perciformes) in Antarctic waters provides one of the most striking examples of a marine adaptive radiation. Along with a number of adaptations to the cold environment, such as the evolution of antifreeze glycoproteins, notothenioids diversified into eight families and at least 130 species. Here, we investigate the genetic population structure of the humped rockcod (Gobionotothen gibberifrons), a benthic notothenioid fish. Six populations were sampled at different locations around the Scotia Sea, comprising a large part of the species' distribution range (N = 165). Our analyses based on mitochondrial DNA sequence data (352 bp) and eight microsatellite markers reveal a lack of genetic structuring over large geographic distances (Phi(ST) &lt;= 0.058, F-ST &lt;= 0.005, P values nonsignificant). In order to test whether this was due to passive larval dispersal, we used GPS-tracked drifter trajectories, which approximate movement of passive surface particles with ocean currents. The drifter data indicate that the Antarctic Circumpolar Current (ACC) connects the sampling locations in one direction only (west-east), and that passive transport is possible within the 4-month larval period of G. gibberifrons. Indeed, when applying the isolation-with-migration model in IMA, strong unidirectional west-east migration rates are detected in the humped rockcod. This leads us to conclude that, in G. gibberifrons, genetic differentiation is prevented by gene flow via larval dispersal with the ACC.</t>
  </si>
  <si>
    <t>[Matschiner, Michael; Salzburger, Walter] Univ Basel, Inst Zool, CH-4051 Basel, Switzerland; [Hanel, Reinhold] Fed Res Inst Rural Areas Forestry &amp; Fisheries, Johann Heinrich Thunen Inst, Inst Fisheries Ecol, D-22767 Hamburg, Germany</t>
  </si>
  <si>
    <t>University of Basel; Johann Heinrich von Thunen Institute</t>
  </si>
  <si>
    <t>Salzburger, W (corresponding author), Univ Basel, Inst Zool, Vesalgasse 1, CH-4051 Basel, Switzerland.</t>
  </si>
  <si>
    <t>walter.salzburger@unibas.ch</t>
  </si>
  <si>
    <t>Salzburger, Walter/G-1598-2011; Hanel, Reinhold/AAO-4887-2021</t>
  </si>
  <si>
    <t>Salzburger, Walter/0000-0002-9988-1674; Matschiner, Michael/0000-0003-4741-3884</t>
  </si>
  <si>
    <t>PhD scholarship of the VolkswagenStiftung priority program; German Research Foundation (DFG); European Research Council</t>
  </si>
  <si>
    <t>PhD scholarship of the VolkswagenStiftung priority program; German Research Foundation (DFG)(German Research Foundation (DFG)); European Research Council(European Research Council (ERC))</t>
  </si>
  <si>
    <t>We thank Reiner Eckmann and Moritz Muschick for discussion, Markus Busch, Sven Klimpel, Karl-Hermann Kock and Christopher Jones for sampling support, Frauke Munzel for assistance in DNA extractions, Daniel Berner for assistance using r, and Adolf Kellermann for valuable suggestions based on his unpublished data. We also thank the subject editor Michael Hansen, and three anonymous reviewers for comments on the manuscript. This study was supported by a PhD scholarship of the VolkswagenStiftung priority program 'Evolutionary Biology' for M.M., a grant from the German Research Foundation (DFG) to R.H., and funding from the European Research Council (ERC; Starting Grant 'INTERGENADAPT') to W.S.</t>
  </si>
  <si>
    <t>10.1111/j.1365-294X.2009.04220.x</t>
  </si>
  <si>
    <t>454XB</t>
  </si>
  <si>
    <t>WOS:000266716100005</t>
  </si>
  <si>
    <t>Kirchman, DL; Morán, XAG; Ducklow, H</t>
  </si>
  <si>
    <t>Kirchman, David L.; Moran, Xose Anxelu G.; Ducklow, Hugh</t>
  </si>
  <si>
    <t>Microbial growth in the polar oceans - role of temperature and potential impact of climate change</t>
  </si>
  <si>
    <t>NATURE REVIEWS MICROBIOLOGY</t>
  </si>
  <si>
    <t>DISSOLVED ORGANIC-MATTER; ROSS SEA; BACTERIAL PRODUCTION; SPRING BLOOM; COMMUNITY PRODUCTION; CARBON; BACTERIOPLANKTON; RESPIRATION; PHYTOPLANKTON; BIOMASS</t>
  </si>
  <si>
    <t>Heterotrophic bacteria are the most abundant organisms on the planet and dominate oceanic biogeochemical cycles, including that of carbon. Their role in polar waters has been enigmatic, however, because of conflicting reports about how temperature and the supply of organic carbon control bacterial growth. In this Analysis article, we attempt to resolve this controversy by reviewing previous reports in light of new data on microbial processes in the western Arctic Ocean and by comparing polar waters with low-latitude oceans. Understanding the regulation of in situ microbial activity may help us understand the response of the Arctic Ocean and Antarctic coastal waters over the coming decades as they warm and ice coverage declines.</t>
  </si>
  <si>
    <t>[Kirchman, David L.] Univ Delaware, Coll Marine &amp; Earth Studies, Lewes, DE 19958 USA; [Moran, Xose Anxelu G.] Ctr Oceanog Xixon, Inst Espanol Oceanog, Xixon 33212, Asturies, Spain; [Moran, Xose Anxelu G.; Ducklow, Hugh] Marine Biol Lab, Ctr Ecosyst, Woods Hole, MA 02543 USA</t>
  </si>
  <si>
    <t>University of Delaware; Spanish Institute of Oceanography; Marine Biological Laboratory - Woods Hole</t>
  </si>
  <si>
    <t>Kirchman, DL (corresponding author), Univ Delaware, Coll Marine &amp; Earth Studies, Lewes, DE 19958 USA.</t>
  </si>
  <si>
    <t>Moran, Xose Anxelu G./K-9647-2014</t>
  </si>
  <si>
    <t>Moran, Xose Anxelu G./0000-0002-9823-5339</t>
  </si>
  <si>
    <t>NSF [OPP 0806295, OPP 0217282]; Spanish researcher mobility fellowship; Office of Polar Programs (OPP); Directorate For Geosciences [0823101] Funding Source: National Science Foundation; Office of Polar Programs (OPP); Directorate For Geosciences [0806295] Funding Source: National Science Foundation</t>
  </si>
  <si>
    <t>NSF(National Science Foundation (NSF)); Spanish researcher mobility fellowship; Office of Polar Programs (OPP); Directorate For Geosciences(National Science Foundation (NSF)NSF - Directorate for Geosciences (GEO)); Office of Polar Programs (OPP); Directorate For Geosciences(National Science Foundation (NSF)NSF - Directorate for Geosciences (GEO))</t>
  </si>
  <si>
    <t>We thank L. Codispoti for insights and discussion on Arctic biogeochemistry and D. Miller for help with the statistical analyses. This work was supported by NSF OPP 0806295 MEC (to D. L. K.), NSF OPP 0217282 (to H. D.) and a Spanish researcher mobility fellowship (to X. A. G. M.).</t>
  </si>
  <si>
    <t>1740-1526</t>
  </si>
  <si>
    <t>1740-1534</t>
  </si>
  <si>
    <t>NAT REV MICROBIOL</t>
  </si>
  <si>
    <t>Nat. Rev. Microbiol.</t>
  </si>
  <si>
    <t>10.1038/nrmicro2115</t>
  </si>
  <si>
    <t>451DO</t>
  </si>
  <si>
    <t>WOS:000266451100013</t>
  </si>
  <si>
    <t>Auffenberg, J; Besson, D; Gaisser, T; Helbing, K; Karg, T; Karle, A</t>
  </si>
  <si>
    <t>Auffenberg, Jan; Besson, Dave; Gaisser, Tom; Helbing, Klaus; Karg, Timo; Karle, Albrecht</t>
  </si>
  <si>
    <t>A radio air shower detector as an extension for IceCube and IceTop</t>
  </si>
  <si>
    <t>NUCLEAR INSTRUMENTS &amp; METHODS IN PHYSICS RESEARCH SECTION A-ACCELERATORS SPECTROMETERS DETECTORS AND ASSOCIATED EQUIPMENT</t>
  </si>
  <si>
    <t>3rd International Workshop on Acoustic and Radio EeV Neutrino Detection Activities</t>
  </si>
  <si>
    <t>JUN 25-27, 2007-2008</t>
  </si>
  <si>
    <t>Rome, ITALY</t>
  </si>
  <si>
    <t>Air shower; Comic ray detection; Geo synchrotron; Cosmogentic neutrino; GZK neutrino; Astro particle physics</t>
  </si>
  <si>
    <t>The IceCube neutrino detector is being built into the Antarctic ice sheet at the South Pole to measure high energy neutrinos. For this, 4800 PMTs are being deployed at depths between 1450 and 2450 m into the ice to identify neutrino induced charged particles like muons. IceTop is a surface air shower detector consisting of 160 ice Cherenkov tanks located on top of IceCube. A radio air shower detector is designed to extend IceTop and increase significantly the sensitivity at higher shower energies and for inclined showers. Furthermore, composition studies would be improved with this three component detector comprising IceCube, IceTop and Radio. In this scenario IceCube detects the muonic component, IceTop the charged particles at the surface and radio measures the longitudinal development of the air shower. Furthermore, high energy air showers generate the muonic background for the extra high energy (EHE) neutrino detection in IceCube. For this, a radio extension of IceCube is not only an air shower detector, but also works as a veto to reduce this background. Radio background studies and simulations of the expected radio signals from air showers lead to an estimation of the radio detector efficiency. The requirements necessary for a veto detector are outlined in this work. (C) 2009 Elsevier B.V. All rights reserved.</t>
  </si>
  <si>
    <t>[Auffenberg, Jan; Helbing, Klaus; Karg, Timo] Berg Univ Wuppertal, Fachbereich C Math &amp; Nat Wissensch, D-42097 Wuppertal, Germany; [Besson, Dave] Univ Kansas, Dept Phys, Lawrence, KS 66045 USA; [Gaisser, Tom] Univ Delaware, Dept Phys &amp; Astron, Newark, DE 19716 USA; [Karle, Albrecht] Univ Wisconsin, Dept Phys, Madison, WI 53706 USA</t>
  </si>
  <si>
    <t>University of Wuppertal; University of Kansas; University of Delaware; University of Wisconsin System; University of Wisconsin Madison</t>
  </si>
  <si>
    <t>Auffenberg, J (corresponding author), Berg Univ Wuppertal, Fachbereich C Math &amp; Nat Wissensch, D-42097 Wuppertal, Germany.</t>
  </si>
  <si>
    <t>jauffenb@uni-wuppertal.de</t>
  </si>
  <si>
    <t>Auffenberg, Jan/D-3954-2014</t>
  </si>
  <si>
    <t>Auffenberg, Jan/0000-0002-1185-9094; Karg, Timo/0000-0003-3251-2126</t>
  </si>
  <si>
    <t>0168-9002</t>
  </si>
  <si>
    <t>1872-9576</t>
  </si>
  <si>
    <t>NUCL INSTRUM METH A</t>
  </si>
  <si>
    <t>Nucl. Instrum. Methods Phys. Res. Sect. A-Accel. Spectrom. Dect. Assoc. Equip.</t>
  </si>
  <si>
    <t>JUN 1</t>
  </si>
  <si>
    <t>S53</t>
  </si>
  <si>
    <t>S56</t>
  </si>
  <si>
    <t>10.1016/j.nima.2009.03.179</t>
  </si>
  <si>
    <t>Instruments &amp; Instrumentation; Nuclear Science &amp; Technology; Physics, Nuclear; Physics, Particles &amp; Fields</t>
  </si>
  <si>
    <t>Instruments &amp; Instrumentation; Nuclear Science &amp; Technology; Physics</t>
  </si>
  <si>
    <t>469TC</t>
  </si>
  <si>
    <t>WOS:000267922600013</t>
  </si>
  <si>
    <t>Connolly, A</t>
  </si>
  <si>
    <t>Connolly, A.</t>
  </si>
  <si>
    <t>ANITA status</t>
  </si>
  <si>
    <t>Neutrino; Ultra-high energy; Cherenkov; Radio</t>
  </si>
  <si>
    <t>COSMIC-RAYS; ABSORPTION; NEUTRINOS; EMISSION; SPECTRUM; CHARGE</t>
  </si>
  <si>
    <t>I will review the status of ANtarctic Impulsive Transient Array (ANITA), an Antarctic long-duration balloon experiment designed to search for ultra-high energy (UHE) neutrinos through their radio Cherenkov signature in the ice. The first ANITA flight took place in the 2006-2007 Antarctic summer and ANITA II will fly this December 2008. I will report on first results from the first flight and the status of ANITA (C) 2009 Elsevier B.V. All rights reserved.</t>
  </si>
  <si>
    <t>[Connolly, A.] UCL, Dept Phys, London WC1E 6BT, England; [Connolly, A.] Univ Calif Los Angeles, Dept Phys &amp; Astron, Los Angeles, CA 90095 USA</t>
  </si>
  <si>
    <t>University of London; University College London; University of California System; University of California Los Angeles</t>
  </si>
  <si>
    <t>Connolly, A (corresponding author), UCL, Dept Phys, Mortimer St, London WC1E 6BT, England.</t>
  </si>
  <si>
    <t>amyc@hep.ucl.ac.uk</t>
  </si>
  <si>
    <t>Connolly, Amy Lynn/J-3958-2013</t>
  </si>
  <si>
    <t>S98</t>
  </si>
  <si>
    <t>S101</t>
  </si>
  <si>
    <t>10.1016/j.nima.2009.03.193</t>
  </si>
  <si>
    <t>WOS:000267922600022</t>
  </si>
  <si>
    <t>Descamps, F</t>
  </si>
  <si>
    <t>Descamps, Freija</t>
  </si>
  <si>
    <t>Measurement of sound speed versus depth in Antarctic ice with the South Pole Acoustic Test Setup</t>
  </si>
  <si>
    <t>SPATS; Acoustic neutrino detection; Ice sound speed; Shear wave</t>
  </si>
  <si>
    <t>The feasibility and design of an acoustic neutrino detection array in the South Pole ice depend on the acoustic properties of the ice. The South Pole Acoustic Test Setup (SPATS) was built to evaluate the acoustic characteristics of the ice in the 1-100 kHz frequency range. The vertical sound speed profile relates to the level of refraction of the surface noise and determines the reconstruction precision of the neutrino direction. The SPATS speed of sound analysis for pressure and shear waves is presented. (C) 2009 Elsevier B.V. All rights reserved.</t>
  </si>
  <si>
    <t>[Descamps, Freija] Univ Ghent, Dept Subatom &amp; Radiat Phys, B-9000 Ghent, Belgium</t>
  </si>
  <si>
    <t>Ghent University</t>
  </si>
  <si>
    <t>Descamps, F (corresponding author), Univ Ghent, Dept Subatom &amp; Radiat Phys, B-9000 Ghent, Belgium.</t>
  </si>
  <si>
    <t>Freija.Descamps@ugent.be</t>
  </si>
  <si>
    <t>S175</t>
  </si>
  <si>
    <t>S178</t>
  </si>
  <si>
    <t>10.1016/j.nima.2009.03.062</t>
  </si>
  <si>
    <t>WOS:000267922600038</t>
  </si>
  <si>
    <t>Karg, T</t>
  </si>
  <si>
    <t>Karg, Timo</t>
  </si>
  <si>
    <t>Acoustic noise in deep ice and environmental conditions at the South Pole</t>
  </si>
  <si>
    <t>Acoustic neutrino detection; Acoustic ice properties; SPATS</t>
  </si>
  <si>
    <t>ATTENUATION</t>
  </si>
  <si>
    <t>To study the acoustic properties of the Antarctic ice the South Pole Acoustic Test Setup (SPATS) was installed in the upper part of drill holes for the IceCube neutrino observatory. An important parameter for the design of a future acoustic neutrino telescope is the acoustic background noise in the ice and its spatial and temporal variations. We study the absolute noise level depth profile from SPATS data and discuss systematic uncertainties. The measured noise is very stable over one year of data taking, and we estimate the absolute noise level to be &lt; 10 mPa in the frequency range from 10 to 50 kHz at depths below 200 m. This noise level is of the same order of magnitude as observed by ocean based acoustic neutrino detection projects in good weather conditions. (C) 2009 Elsevier B.V. All rights reserved.</t>
  </si>
  <si>
    <t>[Karg, Timo] Berg Univ Wuppertal, Fachbereich Math &amp; Nat Wissensch C, D-42097 Wuppertal, Germany</t>
  </si>
  <si>
    <t>University of Wuppertal</t>
  </si>
  <si>
    <t>Karg, T (corresponding author), Berg Univ Wuppertal, Fachbereich Math &amp; Nat Wissensch C, D-42097 Wuppertal, Germany.</t>
  </si>
  <si>
    <t>karg@physik.uni-wuppertal.de</t>
  </si>
  <si>
    <t>Karg, Timo/0000-0003-3251-2126</t>
  </si>
  <si>
    <t>S171</t>
  </si>
  <si>
    <t>S174</t>
  </si>
  <si>
    <t>10.1016/j.nima.2009.03.063</t>
  </si>
  <si>
    <t>Green Published, Green Submitted</t>
  </si>
  <si>
    <t>WOS:000267922600037</t>
  </si>
  <si>
    <t>Karle, A</t>
  </si>
  <si>
    <t>Karle, Albrecht</t>
  </si>
  <si>
    <t>IceCube: Construction status and first results</t>
  </si>
  <si>
    <t>IceCube is a 1km(3) neutrino telescope currently under construction at the South Pole. The detector will consist of 4800 optical sensors deployed at depths between 1450 and 2500m in clear Antarctic ice evenly distributed over 80 strings. An air shower array covering a surface area of 1km(2) above the in-ice detector will measure cosmic ray air showers in the energy range from 300TeV to above 1 EeV. The detector is designed to detect neutrinos of all flavors: nu(e), nu(mu) and nu(tau). With 40 strings in operation in 2008, construction is 50% complete. Based on data taken to date, the observatory meets its design goals and currently exceeds the sensitivity of AMANDA and previous neutrino telescopes. The construction outlook and possible future extensions are also discussed. (C) 2009 Elsevier B.V. All rights reserved.</t>
  </si>
  <si>
    <t>Univ Wisconsin, Madison, WI 53706 USA</t>
  </si>
  <si>
    <t>Karle, A (corresponding author), Univ Wisconsin, 1150 Univ Ave, Madison, WI 53706 USA.</t>
  </si>
  <si>
    <t>karle@icecube.wisc.edu</t>
  </si>
  <si>
    <t>S46</t>
  </si>
  <si>
    <t>S52</t>
  </si>
  <si>
    <t>10.1016/j.nima.2009.03.180</t>
  </si>
  <si>
    <t>WOS:000267922600012</t>
  </si>
  <si>
    <t>Baron, JH</t>
  </si>
  <si>
    <t>Baron, Jeremy Hugh</t>
  </si>
  <si>
    <t>Sailors' scurvy before and after James Lind - a reassessment</t>
  </si>
  <si>
    <t>NUTRITION REVIEWS</t>
  </si>
  <si>
    <t>Antarctic; ascorbic acid; sailors; scurvy; vitamin C</t>
  </si>
  <si>
    <t>DEAD MENS CLOATHS; EXPERIMENTAL-INQUIRY; PUTRID GUMS; SCIENCE; SCOTT</t>
  </si>
  <si>
    <t>Scurvy is a thousand-year-old stereotypical disease characterized by apathy, weakness, easy bruising with tiny or large skin hemorrhages, friable bleeding gums, and swollen legs. Untreated patients may die. In the last five centuries sailors and some ships' doctors used oranges and lemons to cure and prevent scurvy, yet university-trained European physicians with no experience of either the disease or its cure by citrus fruits persisted in reviews of the extensive but conflicting literature. In the 20(th) century scurvy was shown to be due to a deficiency of the essential food factor ascorbic acid. This vitamin C was synthesized, and in adequate quantities it completely prevents and completely cures the disease, which is now rare. The protagonist of this medical history was James Lind. His report of a prospective controlled therapeutic trial in 1747 preceded by a half-century the British Navy's prevention and cure of scurvy by citrus fruits. After lime-juice was unwittingly substituted for lemon juice in about 1860, the disease returned, especially among sailors on polar explorations. In recent decades revisionist historians have challenged normative accounts, including that of scurvy, and the historicity of Lind's trial. It is therefore timely to reassess systematically the strengths and weaknesses of the canonical saga.</t>
  </si>
  <si>
    <t>[Baron, Jeremy Hugh] Univ London Imperial Coll Sci Technol &amp; Med, London, England; [Baron, Jeremy Hugh] Mt Sinai Sch Med, New York, NY USA</t>
  </si>
  <si>
    <t>Imperial College London; Icahn School of Medicine at Mount Sinai</t>
  </si>
  <si>
    <t>Baron, JH (corresponding author), 135 W 58 St,Apt 6A, New York, NY 10019 USA.</t>
  </si>
  <si>
    <t>hughbaron@aol.com</t>
  </si>
  <si>
    <t>0029-6643</t>
  </si>
  <si>
    <t>1753-4887</t>
  </si>
  <si>
    <t>NUTR REV</t>
  </si>
  <si>
    <t>Nutr. Rev.</t>
  </si>
  <si>
    <t>10.1111/j.1753-4887.2009.00205.x</t>
  </si>
  <si>
    <t>454JT</t>
  </si>
  <si>
    <t>WOS:000266678900002</t>
  </si>
  <si>
    <t>Stepanov, VN</t>
  </si>
  <si>
    <t>Stepanov, V. N.</t>
  </si>
  <si>
    <t>Modeling of El Nio events using a simple model</t>
  </si>
  <si>
    <t>NINO</t>
  </si>
  <si>
    <t>In this paper, we present the results of modeling of El Nio events using a simple model of a classical oscillator with decay under external forcing. The sea surface temperature in the East Pacific and the mean thermocline depth in the Equatorial Pacific correspond to the roles of the momentum and position, respectively. The external forcing of the system is determined by two factors: the short-period meridional mass fluctuations in the Pacific sector of the Southern Ocean due to the joint effect of the atmospheric variability over the Antarctic Circumpolar Current, bottom topography, and coastlines; and the variability of western winds in the tropics. Under such conditions, oscillations of El Nio type arise in the model as a result of propagation of signals generated in the Southern Ocean (due to the fluctuations of meridional transport fluxes and the variability of western winds in the tropics). These signals propagate over the Equatorial Pacific as fast wave processes. It is shown that external forcing is the main factor in establishing the oscillation pattern of the model characteristics variability.</t>
  </si>
  <si>
    <t>Proudman Oceanog Lab, Liverpool, Merseyside, England</t>
  </si>
  <si>
    <t>NERC National Oceanography Centre</t>
  </si>
  <si>
    <t>Stepanov, VN (corresponding author), Proudman Oceanog Lab, Liverpool, Merseyside, England.</t>
  </si>
  <si>
    <t>vst@pol.ac.uk</t>
  </si>
  <si>
    <t>Stepanov, Vladimir/P-8371-2019</t>
  </si>
  <si>
    <t>Stepanov, Vladimir/0000-0002-0560-9312</t>
  </si>
  <si>
    <t>Natural Environment Research Council (NERC); NERC [pol010003, pol010005] Funding Source: UKRI; Natural Environment Research Council [pol010005, pol010003, NE/B503484/1]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</si>
  <si>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</si>
  <si>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 thanks the anonymous reviewer and Professor V. B. Zalessnyi for useful remarks, which were helpful in improving the initial manuscript of the article.; This study was supported by the Natural Environment Research Council (NERC).</t>
  </si>
  <si>
    <t>10.1134/S0001437009030023</t>
  </si>
  <si>
    <t>465MY</t>
  </si>
  <si>
    <t>WOS:000267592700002</t>
  </si>
  <si>
    <t>Bogorodskii, PV; Makshtas, AP; Pnyushkov, AV</t>
  </si>
  <si>
    <t>Bogorodskii, P. V.; Makshtas, A. P.; Pnyushkov, A. V.</t>
  </si>
  <si>
    <t>Sea ice growth at nonstationary ocean-atmosphere heat exchange</t>
  </si>
  <si>
    <t>A thermodynamic model of sea snow-ice cover growth under the influence of heat flows on its upper and lower surfaces is presented. The growing is described with an extended region of phase transition (a two-phase region) with a linear temperature distribution. The temperature of the upper surface is calculated with the use of a heat-balance equation on the basis of determinable meteorological observation data. The comparison of the model results with freezing experimental data is performed.</t>
  </si>
  <si>
    <t>[Bogorodskii, P. V.; Makshtas, A. P.; Pnyushkov, A. V.] Arctic &amp; Antarctic Res Inst, St Petersburg 199397, Russia</t>
  </si>
  <si>
    <t>Bogorodskii, PV (corresponding author), Arctic &amp; Antarctic Res Inst, Ul Beringa 38, St Petersburg 199397, Russia.</t>
  </si>
  <si>
    <t>bogorodski@aari.nw.ru</t>
  </si>
  <si>
    <t>Pnyushkov, Andrey/J-4153-2014; Bogorodskii, Petr/J-4213-2014; Pnyushkov, Andrey/M-3156-2019</t>
  </si>
  <si>
    <t>Pnyushkov, Andrey/0000-0001-9112-6458; Pnyushkov, Andrey/0000-0001-9112-6458</t>
  </si>
  <si>
    <t>Russian Foundation for Basic Research [08-05-00124, 08-05-00109, 07-05-00393]</t>
  </si>
  <si>
    <t>This work was supported by the Russian Foundation for Basic Research, project nos. 08-05-00124, 08-05-00109, and 07-05-00393.</t>
  </si>
  <si>
    <t>10.1134/S0001437009030059</t>
  </si>
  <si>
    <t>WOS:000267592700005</t>
  </si>
  <si>
    <t>Dobrzyn, P; Tatur, A; Keck, A</t>
  </si>
  <si>
    <t>Dobrzyn, P.; Tatur, A.; Keck, A.</t>
  </si>
  <si>
    <t>Photosynthetic pigments as indicators of phytoplankton development during spring and summer in Adventfjorden (Spitsbergen)</t>
  </si>
  <si>
    <t>PERFORMANCE LIQUID-CHROMATOGRAPHY; ARCTIC FJORD; SEDIMENTATION; SVALBARD; BLOOM; WATER; ICE; CHLOROPHYLLS; ASSEMBLAGES; PRODUCTS</t>
  </si>
  <si>
    <t>The study was carried out from April 30 until July 13 of 1997 in Adventfjorden (Spitsbergen). Formation of less saline and warmer surface water (similar to 1 m thick) caused by melting of the fast ice was observed in the fjord during the first days of May. In summer a less saline surface layer was about 3 m thick. Euphotic depth measured under ice sheet reached 12 m, whereas load of mineral matter brought with riverine discharge in summer (the content of total particulate matter in the fjord reached 1.66 kg m(-2)) dramatically reduced euphotic zone depth to 0.35 m. By pigment measurement three phases of phytoplankton development in Adventfjorden were distinguished: (1) spring bloom that has started under fast ice and reached maximum in the mid of May, (2) stagnation period in June, (3) increase of pigment concentration in July, what could indicate a start of the next algae bloom. Analyses of chlorophylls and carotenoids revealed that diatoms (chl c, fucoxanthin), and green algae (chl b, lutein) dominated phytoplankton community in the fjord. Moreover, the presence of peridinin indicates the presence of Dinophyta and alloxanthin-the occurence of Cryptophyta. In May and June 1997 phytoplankton appeared mainly in the surface of water, while in July, as a result of inflow of turbulent riverine waters into Adventfjorden, algae cells were pushed down and the highest numbers were observed at the depth similar to 20 m. Great phaeopigments to chl a ratio (= 0.54) found in the fjord seston in June and July probably shows strong impact of zooplankton grazing on phytoplankton development. High contribution of chlorophyllide a in porphyrin a poll in samples collected under fast ice (chlorophyllide a/chl a ratio = 0.18) reflects the final stage of algal communitie succession in ice, just before spring ice melt and release of biota to oceanic water. Chloropyllide a content during summer was minor or not detectable, demonstrating that diatom cells were in good physiological condition. High chl a allomer/chl a ratio (average = 0.11 for the period investigated) confirms high oxygen concentration in environment of Adventfjorden.</t>
  </si>
  <si>
    <t>[Dobrzyn, P.] M Nencki Inst Expt Biol, PL-02093 Warsaw, Poland; [Dobrzyn, P.] Univ Bialystok, Inst Biol, PL-15950 Bialystok, Poland; [Tatur, A.] Polish Acad Sci, Dept Antarctic Biol, PL-02141 Warsaw, Poland; [Keck, A.] Univ Ctr Svalbard, N-9171 Longyearbyen, Norway</t>
  </si>
  <si>
    <t>Polish Academy of Sciences; Nencki Institute of Experimental Biology of the Polish Academy of Sciences; University of Bialystok; Polish Academy of Sciences; University Centre Svalbard (UNIS)</t>
  </si>
  <si>
    <t>Dobrzyn, P (corresponding author), M Nencki Inst Expt Biol, Pasteura 3, PL-02093 Warsaw, Poland.</t>
  </si>
  <si>
    <t>p.dobrzyn@nencki.gov.pl</t>
  </si>
  <si>
    <t>Dobrzyn, Pawel/R-4076-2016</t>
  </si>
  <si>
    <t>Dobrzyn, Pawel/0000-0002-2433-1897</t>
  </si>
  <si>
    <t>Research Council of Norway; University Centre in Svalbard</t>
  </si>
  <si>
    <t>Research Council of Norway(Research Council of Norway); University Centre in Svalbard</t>
  </si>
  <si>
    <t>We thank Dr. Jozef Wiktor (IO PAS, Sopot) for his help in the fieldwork, Drs. Rune Nilsen and Ole Jorgen Lonne (The University Centre in Svalbard) for providing facilities for our work and to Mrs. Ewa Kicinska (IE PAS, Dziekanow Lesny) for technical support in the laboratory. The present paper was partially founded by The Research Council of Norway (NFR/KAS scholarship to P. Dobrzyn) and The University Centre in Svalbard.</t>
  </si>
  <si>
    <t>10.1134/S0001437009030096</t>
  </si>
  <si>
    <t>WOS:000267592700009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</si>
</sst>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74</v>
      </c>
      <c r="AB2" t="s">
        <v>86</v>
      </c>
      <c r="AC2" t="s">
        <v>87</v>
      </c>
      <c r="AD2" t="s">
        <v>87</v>
      </c>
      <c r="AE2" t="s">
        <v>88</v>
      </c>
      <c r="AF2" t="s">
        <v>74</v>
      </c>
      <c r="AG2">
        <v>42</v>
      </c>
      <c r="AH2">
        <v>9</v>
      </c>
      <c r="AI2">
        <v>10</v>
      </c>
      <c r="AJ2">
        <v>1</v>
      </c>
      <c r="AK2">
        <v>26</v>
      </c>
      <c r="AL2" t="s">
        <v>89</v>
      </c>
      <c r="AM2" t="s">
        <v>90</v>
      </c>
      <c r="AN2" t="s">
        <v>91</v>
      </c>
      <c r="AO2" t="s">
        <v>92</v>
      </c>
      <c r="AP2" t="s">
        <v>93</v>
      </c>
      <c r="AQ2" t="s">
        <v>74</v>
      </c>
      <c r="AR2" t="s">
        <v>94</v>
      </c>
      <c r="AS2" t="s">
        <v>95</v>
      </c>
      <c r="AT2" t="s">
        <v>74</v>
      </c>
      <c r="AU2">
        <v>2010</v>
      </c>
      <c r="AV2">
        <v>37</v>
      </c>
      <c r="AW2">
        <v>6</v>
      </c>
      <c r="AX2" t="s">
        <v>74</v>
      </c>
      <c r="AY2" t="s">
        <v>74</v>
      </c>
      <c r="AZ2" t="s">
        <v>74</v>
      </c>
      <c r="BA2" t="s">
        <v>74</v>
      </c>
      <c r="BB2">
        <v>524</v>
      </c>
      <c r="BC2">
        <v>530</v>
      </c>
      <c r="BD2" t="s">
        <v>74</v>
      </c>
      <c r="BE2" t="s">
        <v>96</v>
      </c>
      <c r="BF2" t="str">
        <f>HYPERLINK("http://dx.doi.org/10.1071/WR10005","http://dx.doi.org/10.1071/WR10005")</f>
        <v>http://dx.doi.org/10.1071/WR10005</v>
      </c>
      <c r="BG2" t="s">
        <v>74</v>
      </c>
      <c r="BH2" t="s">
        <v>74</v>
      </c>
      <c r="BI2">
        <v>7</v>
      </c>
      <c r="BJ2" t="s">
        <v>97</v>
      </c>
      <c r="BK2" t="s">
        <v>98</v>
      </c>
      <c r="BL2" t="s">
        <v>99</v>
      </c>
      <c r="BM2" t="s">
        <v>100</v>
      </c>
      <c r="BN2" t="s">
        <v>74</v>
      </c>
      <c r="BO2" t="s">
        <v>74</v>
      </c>
      <c r="BP2" t="s">
        <v>74</v>
      </c>
      <c r="BQ2" t="s">
        <v>74</v>
      </c>
      <c r="BR2" t="s">
        <v>101</v>
      </c>
      <c r="BS2" t="s">
        <v>102</v>
      </c>
      <c r="BT2" t="str">
        <f>HYPERLINK("https%3A%2F%2Fwww.webofscience.com%2Fwos%2Fwoscc%2Ffull-record%2FWOS:000283181400010","View Full Record in Web of Science")</f>
        <v>View Full Record in Web of Science</v>
      </c>
    </row>
    <row r="3" spans="1:72" x14ac:dyDescent="0.15">
      <c r="A3" t="s">
        <v>103</v>
      </c>
      <c r="B3" t="s">
        <v>104</v>
      </c>
      <c r="C3" t="s">
        <v>74</v>
      </c>
      <c r="D3" t="s">
        <v>105</v>
      </c>
      <c r="E3" t="s">
        <v>74</v>
      </c>
      <c r="F3" t="s">
        <v>106</v>
      </c>
      <c r="G3" t="s">
        <v>74</v>
      </c>
      <c r="H3" t="s">
        <v>74</v>
      </c>
      <c r="I3" t="s">
        <v>107</v>
      </c>
      <c r="J3" t="s">
        <v>108</v>
      </c>
      <c r="K3" t="s">
        <v>109</v>
      </c>
      <c r="L3" t="s">
        <v>74</v>
      </c>
      <c r="M3" t="s">
        <v>78</v>
      </c>
      <c r="N3" t="s">
        <v>110</v>
      </c>
      <c r="O3" t="s">
        <v>111</v>
      </c>
      <c r="P3" t="s">
        <v>112</v>
      </c>
      <c r="Q3" t="s">
        <v>113</v>
      </c>
      <c r="R3" t="s">
        <v>74</v>
      </c>
      <c r="S3" t="s">
        <v>74</v>
      </c>
      <c r="T3" t="s">
        <v>114</v>
      </c>
      <c r="U3" t="s">
        <v>115</v>
      </c>
      <c r="V3" t="s">
        <v>116</v>
      </c>
      <c r="W3" t="s">
        <v>117</v>
      </c>
      <c r="X3" t="s">
        <v>118</v>
      </c>
      <c r="Y3" t="s">
        <v>119</v>
      </c>
      <c r="Z3" t="s">
        <v>74</v>
      </c>
      <c r="AA3" t="s">
        <v>120</v>
      </c>
      <c r="AB3" t="s">
        <v>121</v>
      </c>
      <c r="AC3" t="s">
        <v>74</v>
      </c>
      <c r="AD3" t="s">
        <v>74</v>
      </c>
      <c r="AE3" t="s">
        <v>74</v>
      </c>
      <c r="AF3" t="s">
        <v>74</v>
      </c>
      <c r="AG3">
        <v>34</v>
      </c>
      <c r="AH3">
        <v>1</v>
      </c>
      <c r="AI3">
        <v>1</v>
      </c>
      <c r="AJ3">
        <v>0</v>
      </c>
      <c r="AK3">
        <v>5</v>
      </c>
      <c r="AL3" t="s">
        <v>122</v>
      </c>
      <c r="AM3" t="s">
        <v>123</v>
      </c>
      <c r="AN3" t="s">
        <v>124</v>
      </c>
      <c r="AO3" t="s">
        <v>125</v>
      </c>
      <c r="AP3" t="s">
        <v>74</v>
      </c>
      <c r="AQ3" t="s">
        <v>126</v>
      </c>
      <c r="AR3" t="s">
        <v>127</v>
      </c>
      <c r="AS3" t="s">
        <v>74</v>
      </c>
      <c r="AT3" t="s">
        <v>74</v>
      </c>
      <c r="AU3">
        <v>2010</v>
      </c>
      <c r="AV3">
        <v>1221</v>
      </c>
      <c r="AW3" t="s">
        <v>74</v>
      </c>
      <c r="AX3" t="s">
        <v>74</v>
      </c>
      <c r="AY3" t="s">
        <v>74</v>
      </c>
      <c r="AZ3" t="s">
        <v>74</v>
      </c>
      <c r="BA3" t="s">
        <v>74</v>
      </c>
      <c r="BB3">
        <v>196</v>
      </c>
      <c r="BC3" t="s">
        <v>128</v>
      </c>
      <c r="BD3" t="s">
        <v>74</v>
      </c>
      <c r="BE3" t="s">
        <v>129</v>
      </c>
      <c r="BF3" t="str">
        <f>HYPERLINK("http://dx.doi.org/10.1063/1.3399249","http://dx.doi.org/10.1063/1.3399249")</f>
        <v>http://dx.doi.org/10.1063/1.3399249</v>
      </c>
      <c r="BG3" t="s">
        <v>74</v>
      </c>
      <c r="BH3" t="s">
        <v>74</v>
      </c>
      <c r="BI3">
        <v>3</v>
      </c>
      <c r="BJ3" t="s">
        <v>130</v>
      </c>
      <c r="BK3" t="s">
        <v>131</v>
      </c>
      <c r="BL3" t="s">
        <v>132</v>
      </c>
      <c r="BM3" t="s">
        <v>133</v>
      </c>
      <c r="BN3" t="s">
        <v>74</v>
      </c>
      <c r="BO3" t="s">
        <v>74</v>
      </c>
      <c r="BP3" t="s">
        <v>74</v>
      </c>
      <c r="BQ3" t="s">
        <v>74</v>
      </c>
      <c r="BR3" t="s">
        <v>101</v>
      </c>
      <c r="BS3" t="s">
        <v>134</v>
      </c>
      <c r="BT3" t="str">
        <f>HYPERLINK("https%3A%2F%2Fwww.webofscience.com%2Fwos%2Fwoscc%2Ffull-record%2FWOS:000278534600033","View Full Record in Web of Science")</f>
        <v>View Full Record in Web of Science</v>
      </c>
    </row>
    <row r="4" spans="1:72" x14ac:dyDescent="0.15">
      <c r="A4" t="s">
        <v>103</v>
      </c>
      <c r="B4" t="s">
        <v>135</v>
      </c>
      <c r="C4" t="s">
        <v>74</v>
      </c>
      <c r="D4" t="s">
        <v>136</v>
      </c>
      <c r="E4" t="s">
        <v>74</v>
      </c>
      <c r="F4" t="s">
        <v>137</v>
      </c>
      <c r="G4" t="s">
        <v>74</v>
      </c>
      <c r="H4" t="s">
        <v>74</v>
      </c>
      <c r="I4" t="s">
        <v>138</v>
      </c>
      <c r="J4" t="s">
        <v>139</v>
      </c>
      <c r="K4" t="s">
        <v>109</v>
      </c>
      <c r="L4" t="s">
        <v>74</v>
      </c>
      <c r="M4" t="s">
        <v>78</v>
      </c>
      <c r="N4" t="s">
        <v>110</v>
      </c>
      <c r="O4" t="s">
        <v>140</v>
      </c>
      <c r="P4" t="s">
        <v>141</v>
      </c>
      <c r="Q4" t="s">
        <v>142</v>
      </c>
      <c r="R4" t="s">
        <v>74</v>
      </c>
      <c r="S4" t="s">
        <v>74</v>
      </c>
      <c r="T4" t="s">
        <v>74</v>
      </c>
      <c r="U4" t="s">
        <v>74</v>
      </c>
      <c r="V4" t="s">
        <v>74</v>
      </c>
      <c r="W4" t="s">
        <v>143</v>
      </c>
      <c r="X4" t="s">
        <v>144</v>
      </c>
      <c r="Y4" t="s">
        <v>145</v>
      </c>
      <c r="Z4" t="s">
        <v>74</v>
      </c>
      <c r="AA4" t="s">
        <v>146</v>
      </c>
      <c r="AB4" t="s">
        <v>147</v>
      </c>
      <c r="AC4" t="s">
        <v>148</v>
      </c>
      <c r="AD4" t="s">
        <v>149</v>
      </c>
      <c r="AE4" t="s">
        <v>150</v>
      </c>
      <c r="AF4" t="s">
        <v>74</v>
      </c>
      <c r="AG4">
        <v>3</v>
      </c>
      <c r="AH4">
        <v>0</v>
      </c>
      <c r="AI4">
        <v>0</v>
      </c>
      <c r="AJ4">
        <v>0</v>
      </c>
      <c r="AK4">
        <v>1</v>
      </c>
      <c r="AL4" t="s">
        <v>122</v>
      </c>
      <c r="AM4" t="s">
        <v>123</v>
      </c>
      <c r="AN4" t="s">
        <v>124</v>
      </c>
      <c r="AO4" t="s">
        <v>125</v>
      </c>
      <c r="AP4" t="s">
        <v>74</v>
      </c>
      <c r="AQ4" t="s">
        <v>151</v>
      </c>
      <c r="AR4" t="s">
        <v>127</v>
      </c>
      <c r="AS4" t="s">
        <v>74</v>
      </c>
      <c r="AT4" t="s">
        <v>74</v>
      </c>
      <c r="AU4">
        <v>2010</v>
      </c>
      <c r="AV4">
        <v>1267</v>
      </c>
      <c r="AW4" t="s">
        <v>74</v>
      </c>
      <c r="AX4" t="s">
        <v>74</v>
      </c>
      <c r="AY4" t="s">
        <v>74</v>
      </c>
      <c r="AZ4" t="s">
        <v>74</v>
      </c>
      <c r="BA4" t="s">
        <v>74</v>
      </c>
      <c r="BB4">
        <v>29</v>
      </c>
      <c r="BC4" t="s">
        <v>128</v>
      </c>
      <c r="BD4" t="s">
        <v>74</v>
      </c>
      <c r="BE4" t="s">
        <v>152</v>
      </c>
      <c r="BF4" t="str">
        <f>HYPERLINK("http://dx.doi.org/10.1063/1.3482523","http://dx.doi.org/10.1063/1.3482523")</f>
        <v>http://dx.doi.org/10.1063/1.3482523</v>
      </c>
      <c r="BG4" t="s">
        <v>74</v>
      </c>
      <c r="BH4" t="s">
        <v>74</v>
      </c>
      <c r="BI4">
        <v>2</v>
      </c>
      <c r="BJ4" t="s">
        <v>153</v>
      </c>
      <c r="BK4" t="s">
        <v>131</v>
      </c>
      <c r="BL4" t="s">
        <v>154</v>
      </c>
      <c r="BM4" t="s">
        <v>155</v>
      </c>
      <c r="BN4" t="s">
        <v>74</v>
      </c>
      <c r="BO4" t="s">
        <v>156</v>
      </c>
      <c r="BP4" t="s">
        <v>74</v>
      </c>
      <c r="BQ4" t="s">
        <v>74</v>
      </c>
      <c r="BR4" t="s">
        <v>101</v>
      </c>
      <c r="BS4" t="s">
        <v>157</v>
      </c>
      <c r="BT4" t="str">
        <f>HYPERLINK("https%3A%2F%2Fwww.webofscience.com%2Fwos%2Fwoscc%2Ffull-record%2FWOS:000281210900014","View Full Record in Web of Science")</f>
        <v>View Full Record in Web of Science</v>
      </c>
    </row>
    <row r="5" spans="1:72" x14ac:dyDescent="0.15">
      <c r="A5" t="s">
        <v>72</v>
      </c>
      <c r="B5" t="s">
        <v>158</v>
      </c>
      <c r="C5" t="s">
        <v>74</v>
      </c>
      <c r="D5" t="s">
        <v>74</v>
      </c>
      <c r="E5" t="s">
        <v>74</v>
      </c>
      <c r="F5" t="s">
        <v>159</v>
      </c>
      <c r="G5" t="s">
        <v>74</v>
      </c>
      <c r="H5" t="s">
        <v>74</v>
      </c>
      <c r="I5" t="s">
        <v>160</v>
      </c>
      <c r="J5" t="s">
        <v>161</v>
      </c>
      <c r="K5" t="s">
        <v>74</v>
      </c>
      <c r="L5" t="s">
        <v>74</v>
      </c>
      <c r="M5" t="s">
        <v>78</v>
      </c>
      <c r="N5" t="s">
        <v>79</v>
      </c>
      <c r="O5" t="s">
        <v>74</v>
      </c>
      <c r="P5" t="s">
        <v>74</v>
      </c>
      <c r="Q5" t="s">
        <v>74</v>
      </c>
      <c r="R5" t="s">
        <v>74</v>
      </c>
      <c r="S5" t="s">
        <v>74</v>
      </c>
      <c r="T5" t="s">
        <v>162</v>
      </c>
      <c r="U5" t="s">
        <v>163</v>
      </c>
      <c r="V5" t="s">
        <v>164</v>
      </c>
      <c r="W5" t="s">
        <v>165</v>
      </c>
      <c r="X5" t="s">
        <v>166</v>
      </c>
      <c r="Y5" t="s">
        <v>167</v>
      </c>
      <c r="Z5" t="s">
        <v>168</v>
      </c>
      <c r="AA5" t="s">
        <v>74</v>
      </c>
      <c r="AB5" t="s">
        <v>74</v>
      </c>
      <c r="AC5" t="s">
        <v>169</v>
      </c>
      <c r="AD5" t="s">
        <v>170</v>
      </c>
      <c r="AE5" t="s">
        <v>171</v>
      </c>
      <c r="AF5" t="s">
        <v>74</v>
      </c>
      <c r="AG5">
        <v>18</v>
      </c>
      <c r="AH5">
        <v>34</v>
      </c>
      <c r="AI5">
        <v>43</v>
      </c>
      <c r="AJ5">
        <v>0</v>
      </c>
      <c r="AK5">
        <v>8</v>
      </c>
      <c r="AL5" t="s">
        <v>172</v>
      </c>
      <c r="AM5" t="s">
        <v>173</v>
      </c>
      <c r="AN5" t="s">
        <v>174</v>
      </c>
      <c r="AO5" t="s">
        <v>175</v>
      </c>
      <c r="AP5" t="s">
        <v>176</v>
      </c>
      <c r="AQ5" t="s">
        <v>74</v>
      </c>
      <c r="AR5" t="s">
        <v>177</v>
      </c>
      <c r="AS5" t="s">
        <v>178</v>
      </c>
      <c r="AT5" t="s">
        <v>179</v>
      </c>
      <c r="AU5">
        <v>2010</v>
      </c>
      <c r="AV5">
        <v>65</v>
      </c>
      <c r="AW5" t="s">
        <v>180</v>
      </c>
      <c r="AX5" t="s">
        <v>74</v>
      </c>
      <c r="AY5" t="s">
        <v>74</v>
      </c>
      <c r="AZ5" t="s">
        <v>74</v>
      </c>
      <c r="BA5" t="s">
        <v>74</v>
      </c>
      <c r="BB5">
        <v>34</v>
      </c>
      <c r="BC5">
        <v>38</v>
      </c>
      <c r="BD5" t="s">
        <v>74</v>
      </c>
      <c r="BE5" t="s">
        <v>74</v>
      </c>
      <c r="BF5" t="s">
        <v>74</v>
      </c>
      <c r="BG5" t="s">
        <v>74</v>
      </c>
      <c r="BH5" t="s">
        <v>74</v>
      </c>
      <c r="BI5">
        <v>5</v>
      </c>
      <c r="BJ5" t="s">
        <v>181</v>
      </c>
      <c r="BK5" t="s">
        <v>98</v>
      </c>
      <c r="BL5" t="s">
        <v>181</v>
      </c>
      <c r="BM5" t="s">
        <v>182</v>
      </c>
      <c r="BN5">
        <v>20355318</v>
      </c>
      <c r="BO5" t="s">
        <v>74</v>
      </c>
      <c r="BP5" t="s">
        <v>74</v>
      </c>
      <c r="BQ5" t="s">
        <v>74</v>
      </c>
      <c r="BR5" t="s">
        <v>101</v>
      </c>
      <c r="BS5" t="s">
        <v>183</v>
      </c>
      <c r="BT5" t="str">
        <f>HYPERLINK("https%3A%2F%2Fwww.webofscience.com%2Fwos%2Fwoscc%2Ffull-record%2FWOS:000275100000006","View Full Record in Web of Science")</f>
        <v>View Full Record in Web of Science</v>
      </c>
    </row>
    <row r="6" spans="1:72" x14ac:dyDescent="0.15">
      <c r="A6" t="s">
        <v>72</v>
      </c>
      <c r="B6" t="s">
        <v>184</v>
      </c>
      <c r="C6" t="s">
        <v>74</v>
      </c>
      <c r="D6" t="s">
        <v>74</v>
      </c>
      <c r="E6" t="s">
        <v>74</v>
      </c>
      <c r="F6" t="s">
        <v>185</v>
      </c>
      <c r="G6" t="s">
        <v>74</v>
      </c>
      <c r="H6" t="s">
        <v>74</v>
      </c>
      <c r="I6" t="s">
        <v>186</v>
      </c>
      <c r="J6" t="s">
        <v>187</v>
      </c>
      <c r="K6" t="s">
        <v>74</v>
      </c>
      <c r="L6" t="s">
        <v>74</v>
      </c>
      <c r="M6" t="s">
        <v>78</v>
      </c>
      <c r="N6" t="s">
        <v>79</v>
      </c>
      <c r="O6" t="s">
        <v>74</v>
      </c>
      <c r="P6" t="s">
        <v>74</v>
      </c>
      <c r="Q6" t="s">
        <v>74</v>
      </c>
      <c r="R6" t="s">
        <v>74</v>
      </c>
      <c r="S6" t="s">
        <v>74</v>
      </c>
      <c r="T6" t="s">
        <v>188</v>
      </c>
      <c r="U6" t="s">
        <v>189</v>
      </c>
      <c r="V6" t="s">
        <v>190</v>
      </c>
      <c r="W6" t="s">
        <v>191</v>
      </c>
      <c r="X6" t="s">
        <v>192</v>
      </c>
      <c r="Y6" t="s">
        <v>193</v>
      </c>
      <c r="Z6" t="s">
        <v>194</v>
      </c>
      <c r="AA6" t="s">
        <v>195</v>
      </c>
      <c r="AB6" t="s">
        <v>196</v>
      </c>
      <c r="AC6" t="s">
        <v>197</v>
      </c>
      <c r="AD6" t="s">
        <v>198</v>
      </c>
      <c r="AE6" t="s">
        <v>199</v>
      </c>
      <c r="AF6" t="s">
        <v>74</v>
      </c>
      <c r="AG6">
        <v>52</v>
      </c>
      <c r="AH6">
        <v>27</v>
      </c>
      <c r="AI6">
        <v>29</v>
      </c>
      <c r="AJ6">
        <v>0</v>
      </c>
      <c r="AK6">
        <v>5</v>
      </c>
      <c r="AL6" t="s">
        <v>200</v>
      </c>
      <c r="AM6" t="s">
        <v>201</v>
      </c>
      <c r="AN6" t="s">
        <v>202</v>
      </c>
      <c r="AO6" t="s">
        <v>203</v>
      </c>
      <c r="AP6" t="s">
        <v>204</v>
      </c>
      <c r="AQ6" t="s">
        <v>74</v>
      </c>
      <c r="AR6" t="s">
        <v>187</v>
      </c>
      <c r="AS6" t="s">
        <v>205</v>
      </c>
      <c r="AT6" t="s">
        <v>74</v>
      </c>
      <c r="AU6">
        <v>2010</v>
      </c>
      <c r="AV6" t="s">
        <v>74</v>
      </c>
      <c r="AW6">
        <v>57</v>
      </c>
      <c r="AX6" t="s">
        <v>74</v>
      </c>
      <c r="AY6" t="s">
        <v>74</v>
      </c>
      <c r="AZ6" t="s">
        <v>74</v>
      </c>
      <c r="BA6" t="s">
        <v>74</v>
      </c>
      <c r="BB6">
        <v>9</v>
      </c>
      <c r="BC6">
        <v>49</v>
      </c>
      <c r="BD6" t="s">
        <v>74</v>
      </c>
      <c r="BE6" t="s">
        <v>206</v>
      </c>
      <c r="BF6" t="str">
        <f>HYPERLINK("http://dx.doi.org/10.3897/zookeys.57.310","http://dx.doi.org/10.3897/zookeys.57.310")</f>
        <v>http://dx.doi.org/10.3897/zookeys.57.310</v>
      </c>
      <c r="BG6" t="s">
        <v>74</v>
      </c>
      <c r="BH6" t="s">
        <v>74</v>
      </c>
      <c r="BI6">
        <v>41</v>
      </c>
      <c r="BJ6" t="s">
        <v>207</v>
      </c>
      <c r="BK6" t="s">
        <v>98</v>
      </c>
      <c r="BL6" t="s">
        <v>207</v>
      </c>
      <c r="BM6" t="s">
        <v>208</v>
      </c>
      <c r="BN6">
        <v>21594187</v>
      </c>
      <c r="BO6" t="s">
        <v>209</v>
      </c>
      <c r="BP6" t="s">
        <v>74</v>
      </c>
      <c r="BQ6" t="s">
        <v>74</v>
      </c>
      <c r="BR6" t="s">
        <v>101</v>
      </c>
      <c r="BS6" t="s">
        <v>210</v>
      </c>
      <c r="BT6" t="str">
        <f>HYPERLINK("https%3A%2F%2Fwww.webofscience.com%2Fwos%2Fwoscc%2Ffull-record%2FWOS:000284494900002","View Full Record in Web of Science")</f>
        <v>View Full Record in Web of Science</v>
      </c>
    </row>
    <row r="7" spans="1:72" x14ac:dyDescent="0.15">
      <c r="A7" t="s">
        <v>72</v>
      </c>
      <c r="B7" t="s">
        <v>211</v>
      </c>
      <c r="C7" t="s">
        <v>74</v>
      </c>
      <c r="D7" t="s">
        <v>74</v>
      </c>
      <c r="E7" t="s">
        <v>74</v>
      </c>
      <c r="F7" t="s">
        <v>212</v>
      </c>
      <c r="G7" t="s">
        <v>74</v>
      </c>
      <c r="H7" t="s">
        <v>74</v>
      </c>
      <c r="I7" t="s">
        <v>213</v>
      </c>
      <c r="J7" t="s">
        <v>214</v>
      </c>
      <c r="K7" t="s">
        <v>74</v>
      </c>
      <c r="L7" t="s">
        <v>74</v>
      </c>
      <c r="M7" t="s">
        <v>78</v>
      </c>
      <c r="N7" t="s">
        <v>79</v>
      </c>
      <c r="O7" t="s">
        <v>74</v>
      </c>
      <c r="P7" t="s">
        <v>74</v>
      </c>
      <c r="Q7" t="s">
        <v>74</v>
      </c>
      <c r="R7" t="s">
        <v>74</v>
      </c>
      <c r="S7" t="s">
        <v>74</v>
      </c>
      <c r="T7" t="s">
        <v>74</v>
      </c>
      <c r="U7" t="s">
        <v>215</v>
      </c>
      <c r="V7" t="s">
        <v>216</v>
      </c>
      <c r="W7" t="s">
        <v>217</v>
      </c>
      <c r="X7" t="s">
        <v>218</v>
      </c>
      <c r="Y7" t="s">
        <v>219</v>
      </c>
      <c r="Z7" t="s">
        <v>220</v>
      </c>
      <c r="AA7" t="s">
        <v>221</v>
      </c>
      <c r="AB7" t="s">
        <v>222</v>
      </c>
      <c r="AC7" t="s">
        <v>223</v>
      </c>
      <c r="AD7" t="s">
        <v>224</v>
      </c>
      <c r="AE7" t="s">
        <v>225</v>
      </c>
      <c r="AF7" t="s">
        <v>74</v>
      </c>
      <c r="AG7">
        <v>77</v>
      </c>
      <c r="AH7">
        <v>161</v>
      </c>
      <c r="AI7">
        <v>169</v>
      </c>
      <c r="AJ7">
        <v>3</v>
      </c>
      <c r="AK7">
        <v>71</v>
      </c>
      <c r="AL7" t="s">
        <v>226</v>
      </c>
      <c r="AM7" t="s">
        <v>227</v>
      </c>
      <c r="AN7" t="s">
        <v>228</v>
      </c>
      <c r="AO7" t="s">
        <v>229</v>
      </c>
      <c r="AP7" t="s">
        <v>230</v>
      </c>
      <c r="AQ7" t="s">
        <v>74</v>
      </c>
      <c r="AR7" t="s">
        <v>231</v>
      </c>
      <c r="AS7" t="s">
        <v>232</v>
      </c>
      <c r="AT7" t="s">
        <v>233</v>
      </c>
      <c r="AU7">
        <v>2009</v>
      </c>
      <c r="AV7">
        <v>23</v>
      </c>
      <c r="AW7" t="s">
        <v>74</v>
      </c>
      <c r="AX7" t="s">
        <v>74</v>
      </c>
      <c r="AY7" t="s">
        <v>74</v>
      </c>
      <c r="AZ7" t="s">
        <v>74</v>
      </c>
      <c r="BA7" t="s">
        <v>74</v>
      </c>
      <c r="BB7" t="s">
        <v>74</v>
      </c>
      <c r="BC7" t="s">
        <v>74</v>
      </c>
      <c r="BD7" t="s">
        <v>234</v>
      </c>
      <c r="BE7" t="s">
        <v>235</v>
      </c>
      <c r="BF7" t="str">
        <f>HYPERLINK("http://dx.doi.org/10.1029/2009GB003500","http://dx.doi.org/10.1029/2009GB003500")</f>
        <v>http://dx.doi.org/10.1029/2009GB003500</v>
      </c>
      <c r="BG7" t="s">
        <v>74</v>
      </c>
      <c r="BH7" t="s">
        <v>74</v>
      </c>
      <c r="BI7">
        <v>14</v>
      </c>
      <c r="BJ7" t="s">
        <v>236</v>
      </c>
      <c r="BK7" t="s">
        <v>98</v>
      </c>
      <c r="BL7" t="s">
        <v>237</v>
      </c>
      <c r="BM7" t="s">
        <v>238</v>
      </c>
      <c r="BN7" t="s">
        <v>74</v>
      </c>
      <c r="BO7" t="s">
        <v>239</v>
      </c>
      <c r="BP7" t="s">
        <v>74</v>
      </c>
      <c r="BQ7" t="s">
        <v>74</v>
      </c>
      <c r="BR7" t="s">
        <v>101</v>
      </c>
      <c r="BS7" t="s">
        <v>240</v>
      </c>
      <c r="BT7" t="str">
        <f>HYPERLINK("https%3A%2F%2Fwww.webofscience.com%2Fwos%2Fwoscc%2Ffull-record%2FWOS:000273255500003","View Full Record in Web of Science")</f>
        <v>View Full Record in Web of Science</v>
      </c>
    </row>
    <row r="8" spans="1:72" x14ac:dyDescent="0.15">
      <c r="A8" t="s">
        <v>72</v>
      </c>
      <c r="B8" t="s">
        <v>241</v>
      </c>
      <c r="C8" t="s">
        <v>74</v>
      </c>
      <c r="D8" t="s">
        <v>74</v>
      </c>
      <c r="E8" t="s">
        <v>74</v>
      </c>
      <c r="F8" t="s">
        <v>242</v>
      </c>
      <c r="G8" t="s">
        <v>74</v>
      </c>
      <c r="H8" t="s">
        <v>74</v>
      </c>
      <c r="I8" t="s">
        <v>243</v>
      </c>
      <c r="J8" t="s">
        <v>244</v>
      </c>
      <c r="K8" t="s">
        <v>74</v>
      </c>
      <c r="L8" t="s">
        <v>74</v>
      </c>
      <c r="M8" t="s">
        <v>78</v>
      </c>
      <c r="N8" t="s">
        <v>79</v>
      </c>
      <c r="O8" t="s">
        <v>74</v>
      </c>
      <c r="P8" t="s">
        <v>74</v>
      </c>
      <c r="Q8" t="s">
        <v>74</v>
      </c>
      <c r="R8" t="s">
        <v>74</v>
      </c>
      <c r="S8" t="s">
        <v>74</v>
      </c>
      <c r="T8" t="s">
        <v>74</v>
      </c>
      <c r="U8" t="s">
        <v>245</v>
      </c>
      <c r="V8" t="s">
        <v>246</v>
      </c>
      <c r="W8" t="s">
        <v>247</v>
      </c>
      <c r="X8" t="s">
        <v>248</v>
      </c>
      <c r="Y8" t="s">
        <v>249</v>
      </c>
      <c r="Z8" t="s">
        <v>250</v>
      </c>
      <c r="AA8" t="s">
        <v>251</v>
      </c>
      <c r="AB8" t="s">
        <v>74</v>
      </c>
      <c r="AC8" t="s">
        <v>252</v>
      </c>
      <c r="AD8" t="s">
        <v>253</v>
      </c>
      <c r="AE8" t="s">
        <v>254</v>
      </c>
      <c r="AF8" t="s">
        <v>74</v>
      </c>
      <c r="AG8">
        <v>58</v>
      </c>
      <c r="AH8">
        <v>16</v>
      </c>
      <c r="AI8">
        <v>17</v>
      </c>
      <c r="AJ8">
        <v>0</v>
      </c>
      <c r="AK8">
        <v>11</v>
      </c>
      <c r="AL8" t="s">
        <v>226</v>
      </c>
      <c r="AM8" t="s">
        <v>227</v>
      </c>
      <c r="AN8" t="s">
        <v>228</v>
      </c>
      <c r="AO8" t="s">
        <v>255</v>
      </c>
      <c r="AP8" t="s">
        <v>256</v>
      </c>
      <c r="AQ8" t="s">
        <v>74</v>
      </c>
      <c r="AR8" t="s">
        <v>257</v>
      </c>
      <c r="AS8" t="s">
        <v>258</v>
      </c>
      <c r="AT8" t="s">
        <v>233</v>
      </c>
      <c r="AU8">
        <v>2009</v>
      </c>
      <c r="AV8">
        <v>114</v>
      </c>
      <c r="AW8" t="s">
        <v>74</v>
      </c>
      <c r="AX8" t="s">
        <v>74</v>
      </c>
      <c r="AY8" t="s">
        <v>74</v>
      </c>
      <c r="AZ8" t="s">
        <v>74</v>
      </c>
      <c r="BA8" t="s">
        <v>74</v>
      </c>
      <c r="BB8" t="s">
        <v>74</v>
      </c>
      <c r="BC8" t="s">
        <v>74</v>
      </c>
      <c r="BD8" t="s">
        <v>259</v>
      </c>
      <c r="BE8" t="s">
        <v>260</v>
      </c>
      <c r="BF8" t="str">
        <f>HYPERLINK("http://dx.doi.org/10.1029/2009JB006303","http://dx.doi.org/10.1029/2009JB006303")</f>
        <v>http://dx.doi.org/10.1029/2009JB006303</v>
      </c>
      <c r="BG8" t="s">
        <v>74</v>
      </c>
      <c r="BH8" t="s">
        <v>74</v>
      </c>
      <c r="BI8">
        <v>18</v>
      </c>
      <c r="BJ8" t="s">
        <v>261</v>
      </c>
      <c r="BK8" t="s">
        <v>98</v>
      </c>
      <c r="BL8" t="s">
        <v>261</v>
      </c>
      <c r="BM8" t="s">
        <v>262</v>
      </c>
      <c r="BN8" t="s">
        <v>74</v>
      </c>
      <c r="BO8" t="s">
        <v>263</v>
      </c>
      <c r="BP8" t="s">
        <v>74</v>
      </c>
      <c r="BQ8" t="s">
        <v>74</v>
      </c>
      <c r="BR8" t="s">
        <v>101</v>
      </c>
      <c r="BS8" t="s">
        <v>264</v>
      </c>
      <c r="BT8" t="str">
        <f>HYPERLINK("https%3A%2F%2Fwww.webofscience.com%2Fwos%2Fwoscc%2Ffull-record%2FWOS:000273258300001","View Full Record in Web of Science")</f>
        <v>View Full Record in Web of Science</v>
      </c>
    </row>
    <row r="9" spans="1:72" x14ac:dyDescent="0.15">
      <c r="A9" t="s">
        <v>72</v>
      </c>
      <c r="B9" t="s">
        <v>265</v>
      </c>
      <c r="C9" t="s">
        <v>74</v>
      </c>
      <c r="D9" t="s">
        <v>74</v>
      </c>
      <c r="E9" t="s">
        <v>74</v>
      </c>
      <c r="F9" t="s">
        <v>266</v>
      </c>
      <c r="G9" t="s">
        <v>74</v>
      </c>
      <c r="H9" t="s">
        <v>74</v>
      </c>
      <c r="I9" t="s">
        <v>267</v>
      </c>
      <c r="J9" t="s">
        <v>268</v>
      </c>
      <c r="K9" t="s">
        <v>74</v>
      </c>
      <c r="L9" t="s">
        <v>74</v>
      </c>
      <c r="M9" t="s">
        <v>78</v>
      </c>
      <c r="N9" t="s">
        <v>79</v>
      </c>
      <c r="O9" t="s">
        <v>74</v>
      </c>
      <c r="P9" t="s">
        <v>74</v>
      </c>
      <c r="Q9" t="s">
        <v>74</v>
      </c>
      <c r="R9" t="s">
        <v>74</v>
      </c>
      <c r="S9" t="s">
        <v>74</v>
      </c>
      <c r="T9" t="s">
        <v>269</v>
      </c>
      <c r="U9" t="s">
        <v>270</v>
      </c>
      <c r="V9" t="s">
        <v>271</v>
      </c>
      <c r="W9" t="s">
        <v>272</v>
      </c>
      <c r="X9" t="s">
        <v>248</v>
      </c>
      <c r="Y9" t="s">
        <v>273</v>
      </c>
      <c r="Z9" t="s">
        <v>274</v>
      </c>
      <c r="AA9" t="s">
        <v>275</v>
      </c>
      <c r="AB9" t="s">
        <v>276</v>
      </c>
      <c r="AC9" t="s">
        <v>277</v>
      </c>
      <c r="AD9" t="s">
        <v>278</v>
      </c>
      <c r="AE9" t="s">
        <v>279</v>
      </c>
      <c r="AF9" t="s">
        <v>74</v>
      </c>
      <c r="AG9">
        <v>63</v>
      </c>
      <c r="AH9">
        <v>3</v>
      </c>
      <c r="AI9">
        <v>4</v>
      </c>
      <c r="AJ9">
        <v>0</v>
      </c>
      <c r="AK9">
        <v>18</v>
      </c>
      <c r="AL9" t="s">
        <v>280</v>
      </c>
      <c r="AM9" t="s">
        <v>281</v>
      </c>
      <c r="AN9" t="s">
        <v>282</v>
      </c>
      <c r="AO9" t="s">
        <v>283</v>
      </c>
      <c r="AP9" t="s">
        <v>284</v>
      </c>
      <c r="AQ9" t="s">
        <v>74</v>
      </c>
      <c r="AR9" t="s">
        <v>285</v>
      </c>
      <c r="AS9" t="s">
        <v>286</v>
      </c>
      <c r="AT9" t="s">
        <v>287</v>
      </c>
      <c r="AU9">
        <v>2009</v>
      </c>
      <c r="AV9">
        <v>284</v>
      </c>
      <c r="AW9" t="s">
        <v>288</v>
      </c>
      <c r="AX9" t="s">
        <v>74</v>
      </c>
      <c r="AY9" t="s">
        <v>74</v>
      </c>
      <c r="AZ9" t="s">
        <v>74</v>
      </c>
      <c r="BA9" t="s">
        <v>74</v>
      </c>
      <c r="BB9">
        <v>120</v>
      </c>
      <c r="BC9">
        <v>128</v>
      </c>
      <c r="BD9" t="s">
        <v>74</v>
      </c>
      <c r="BE9" t="s">
        <v>289</v>
      </c>
      <c r="BF9" t="str">
        <f>HYPERLINK("http://dx.doi.org/10.1016/j.palaeo.2009.09.011","http://dx.doi.org/10.1016/j.palaeo.2009.09.011")</f>
        <v>http://dx.doi.org/10.1016/j.palaeo.2009.09.011</v>
      </c>
      <c r="BG9" t="s">
        <v>74</v>
      </c>
      <c r="BH9" t="s">
        <v>74</v>
      </c>
      <c r="BI9">
        <v>9</v>
      </c>
      <c r="BJ9" t="s">
        <v>290</v>
      </c>
      <c r="BK9" t="s">
        <v>98</v>
      </c>
      <c r="BL9" t="s">
        <v>291</v>
      </c>
      <c r="BM9" t="s">
        <v>292</v>
      </c>
      <c r="BN9" t="s">
        <v>74</v>
      </c>
      <c r="BO9" t="s">
        <v>74</v>
      </c>
      <c r="BP9" t="s">
        <v>74</v>
      </c>
      <c r="BQ9" t="s">
        <v>74</v>
      </c>
      <c r="BR9" t="s">
        <v>101</v>
      </c>
      <c r="BS9" t="s">
        <v>293</v>
      </c>
      <c r="BT9" t="str">
        <f>HYPERLINK("https%3A%2F%2Fwww.webofscience.com%2Fwos%2Fwoscc%2Ffull-record%2FWOS:000272960700002","View Full Record in Web of Science")</f>
        <v>View Full Record in Web of Science</v>
      </c>
    </row>
    <row r="10" spans="1:72" x14ac:dyDescent="0.15">
      <c r="A10" t="s">
        <v>72</v>
      </c>
      <c r="B10" t="s">
        <v>294</v>
      </c>
      <c r="C10" t="s">
        <v>74</v>
      </c>
      <c r="D10" t="s">
        <v>74</v>
      </c>
      <c r="E10" t="s">
        <v>74</v>
      </c>
      <c r="F10" t="s">
        <v>295</v>
      </c>
      <c r="G10" t="s">
        <v>74</v>
      </c>
      <c r="H10" t="s">
        <v>74</v>
      </c>
      <c r="I10" t="s">
        <v>296</v>
      </c>
      <c r="J10" t="s">
        <v>268</v>
      </c>
      <c r="K10" t="s">
        <v>74</v>
      </c>
      <c r="L10" t="s">
        <v>74</v>
      </c>
      <c r="M10" t="s">
        <v>78</v>
      </c>
      <c r="N10" t="s">
        <v>297</v>
      </c>
      <c r="O10" t="s">
        <v>74</v>
      </c>
      <c r="P10" t="s">
        <v>74</v>
      </c>
      <c r="Q10" t="s">
        <v>74</v>
      </c>
      <c r="R10" t="s">
        <v>74</v>
      </c>
      <c r="S10" t="s">
        <v>74</v>
      </c>
      <c r="T10" t="s">
        <v>298</v>
      </c>
      <c r="U10" t="s">
        <v>299</v>
      </c>
      <c r="V10" t="s">
        <v>300</v>
      </c>
      <c r="W10" t="s">
        <v>301</v>
      </c>
      <c r="X10" t="s">
        <v>302</v>
      </c>
      <c r="Y10" t="s">
        <v>303</v>
      </c>
      <c r="Z10" t="s">
        <v>304</v>
      </c>
      <c r="AA10" t="s">
        <v>74</v>
      </c>
      <c r="AB10" t="s">
        <v>74</v>
      </c>
      <c r="AC10" t="s">
        <v>74</v>
      </c>
      <c r="AD10" t="s">
        <v>74</v>
      </c>
      <c r="AE10" t="s">
        <v>74</v>
      </c>
      <c r="AF10" t="s">
        <v>74</v>
      </c>
      <c r="AG10">
        <v>427</v>
      </c>
      <c r="AH10">
        <v>58</v>
      </c>
      <c r="AI10">
        <v>61</v>
      </c>
      <c r="AJ10">
        <v>0</v>
      </c>
      <c r="AK10">
        <v>10</v>
      </c>
      <c r="AL10" t="s">
        <v>305</v>
      </c>
      <c r="AM10" t="s">
        <v>281</v>
      </c>
      <c r="AN10" t="s">
        <v>306</v>
      </c>
      <c r="AO10" t="s">
        <v>283</v>
      </c>
      <c r="AP10" t="s">
        <v>284</v>
      </c>
      <c r="AQ10" t="s">
        <v>74</v>
      </c>
      <c r="AR10" t="s">
        <v>285</v>
      </c>
      <c r="AS10" t="s">
        <v>286</v>
      </c>
      <c r="AT10" t="s">
        <v>287</v>
      </c>
      <c r="AU10">
        <v>2009</v>
      </c>
      <c r="AV10">
        <v>284</v>
      </c>
      <c r="AW10" t="s">
        <v>288</v>
      </c>
      <c r="AX10" t="s">
        <v>74</v>
      </c>
      <c r="AY10" t="s">
        <v>74</v>
      </c>
      <c r="AZ10" t="s">
        <v>74</v>
      </c>
      <c r="BA10" t="s">
        <v>74</v>
      </c>
      <c r="BB10">
        <v>191</v>
      </c>
      <c r="BC10">
        <v>226</v>
      </c>
      <c r="BD10" t="s">
        <v>74</v>
      </c>
      <c r="BE10" t="s">
        <v>307</v>
      </c>
      <c r="BF10" t="str">
        <f>HYPERLINK("http://dx.doi.org/10.1016/j.palaeo.2009.09.025","http://dx.doi.org/10.1016/j.palaeo.2009.09.025")</f>
        <v>http://dx.doi.org/10.1016/j.palaeo.2009.09.025</v>
      </c>
      <c r="BG10" t="s">
        <v>74</v>
      </c>
      <c r="BH10" t="s">
        <v>74</v>
      </c>
      <c r="BI10">
        <v>36</v>
      </c>
      <c r="BJ10" t="s">
        <v>290</v>
      </c>
      <c r="BK10" t="s">
        <v>98</v>
      </c>
      <c r="BL10" t="s">
        <v>291</v>
      </c>
      <c r="BM10" t="s">
        <v>292</v>
      </c>
      <c r="BN10" t="s">
        <v>74</v>
      </c>
      <c r="BO10" t="s">
        <v>74</v>
      </c>
      <c r="BP10" t="s">
        <v>74</v>
      </c>
      <c r="BQ10" t="s">
        <v>74</v>
      </c>
      <c r="BR10" t="s">
        <v>101</v>
      </c>
      <c r="BS10" t="s">
        <v>308</v>
      </c>
      <c r="BT10" t="str">
        <f>HYPERLINK("https%3A%2F%2Fwww.webofscience.com%2Fwos%2Fwoscc%2Ffull-record%2FWOS:000272960700007","View Full Record in Web of Science")</f>
        <v>View Full Record in Web of Science</v>
      </c>
    </row>
    <row r="11" spans="1:72" x14ac:dyDescent="0.15">
      <c r="A11" t="s">
        <v>72</v>
      </c>
      <c r="B11" t="s">
        <v>309</v>
      </c>
      <c r="C11" t="s">
        <v>74</v>
      </c>
      <c r="D11" t="s">
        <v>74</v>
      </c>
      <c r="E11" t="s">
        <v>74</v>
      </c>
      <c r="F11" t="s">
        <v>310</v>
      </c>
      <c r="G11" t="s">
        <v>74</v>
      </c>
      <c r="H11" t="s">
        <v>74</v>
      </c>
      <c r="I11" t="s">
        <v>311</v>
      </c>
      <c r="J11" t="s">
        <v>268</v>
      </c>
      <c r="K11" t="s">
        <v>74</v>
      </c>
      <c r="L11" t="s">
        <v>74</v>
      </c>
      <c r="M11" t="s">
        <v>78</v>
      </c>
      <c r="N11" t="s">
        <v>79</v>
      </c>
      <c r="O11" t="s">
        <v>74</v>
      </c>
      <c r="P11" t="s">
        <v>74</v>
      </c>
      <c r="Q11" t="s">
        <v>74</v>
      </c>
      <c r="R11" t="s">
        <v>74</v>
      </c>
      <c r="S11" t="s">
        <v>74</v>
      </c>
      <c r="T11" t="s">
        <v>312</v>
      </c>
      <c r="U11" t="s">
        <v>313</v>
      </c>
      <c r="V11" t="s">
        <v>314</v>
      </c>
      <c r="W11" t="s">
        <v>315</v>
      </c>
      <c r="X11" t="s">
        <v>316</v>
      </c>
      <c r="Y11" t="s">
        <v>317</v>
      </c>
      <c r="Z11" t="s">
        <v>318</v>
      </c>
      <c r="AA11" t="s">
        <v>319</v>
      </c>
      <c r="AB11" t="s">
        <v>74</v>
      </c>
      <c r="AC11" t="s">
        <v>320</v>
      </c>
      <c r="AD11" t="s">
        <v>321</v>
      </c>
      <c r="AE11" t="s">
        <v>322</v>
      </c>
      <c r="AF11" t="s">
        <v>74</v>
      </c>
      <c r="AG11">
        <v>56</v>
      </c>
      <c r="AH11">
        <v>32</v>
      </c>
      <c r="AI11">
        <v>39</v>
      </c>
      <c r="AJ11">
        <v>1</v>
      </c>
      <c r="AK11">
        <v>51</v>
      </c>
      <c r="AL11" t="s">
        <v>280</v>
      </c>
      <c r="AM11" t="s">
        <v>281</v>
      </c>
      <c r="AN11" t="s">
        <v>282</v>
      </c>
      <c r="AO11" t="s">
        <v>283</v>
      </c>
      <c r="AP11" t="s">
        <v>74</v>
      </c>
      <c r="AQ11" t="s">
        <v>74</v>
      </c>
      <c r="AR11" t="s">
        <v>285</v>
      </c>
      <c r="AS11" t="s">
        <v>286</v>
      </c>
      <c r="AT11" t="s">
        <v>287</v>
      </c>
      <c r="AU11">
        <v>2009</v>
      </c>
      <c r="AV11">
        <v>284</v>
      </c>
      <c r="AW11" t="s">
        <v>288</v>
      </c>
      <c r="AX11" t="s">
        <v>74</v>
      </c>
      <c r="AY11" t="s">
        <v>74</v>
      </c>
      <c r="AZ11" t="s">
        <v>74</v>
      </c>
      <c r="BA11" t="s">
        <v>74</v>
      </c>
      <c r="BB11">
        <v>375</v>
      </c>
      <c r="BC11">
        <v>382</v>
      </c>
      <c r="BD11" t="s">
        <v>74</v>
      </c>
      <c r="BE11" t="s">
        <v>323</v>
      </c>
      <c r="BF11" t="str">
        <f>HYPERLINK("http://dx.doi.org/10.1016/j.palaeo.2009.10.019","http://dx.doi.org/10.1016/j.palaeo.2009.10.019")</f>
        <v>http://dx.doi.org/10.1016/j.palaeo.2009.10.019</v>
      </c>
      <c r="BG11" t="s">
        <v>74</v>
      </c>
      <c r="BH11" t="s">
        <v>74</v>
      </c>
      <c r="BI11">
        <v>8</v>
      </c>
      <c r="BJ11" t="s">
        <v>290</v>
      </c>
      <c r="BK11" t="s">
        <v>98</v>
      </c>
      <c r="BL11" t="s">
        <v>291</v>
      </c>
      <c r="BM11" t="s">
        <v>292</v>
      </c>
      <c r="BN11" t="s">
        <v>74</v>
      </c>
      <c r="BO11" t="s">
        <v>74</v>
      </c>
      <c r="BP11" t="s">
        <v>74</v>
      </c>
      <c r="BQ11" t="s">
        <v>74</v>
      </c>
      <c r="BR11" t="s">
        <v>101</v>
      </c>
      <c r="BS11" t="s">
        <v>324</v>
      </c>
      <c r="BT11" t="str">
        <f>HYPERLINK("https%3A%2F%2Fwww.webofscience.com%2Fwos%2Fwoscc%2Ffull-record%2FWOS:000272960700019","View Full Record in Web of Science")</f>
        <v>View Full Record in Web of Science</v>
      </c>
    </row>
    <row r="12" spans="1:72" x14ac:dyDescent="0.15">
      <c r="A12" t="s">
        <v>72</v>
      </c>
      <c r="B12" t="s">
        <v>325</v>
      </c>
      <c r="C12" t="s">
        <v>74</v>
      </c>
      <c r="D12" t="s">
        <v>74</v>
      </c>
      <c r="E12" t="s">
        <v>74</v>
      </c>
      <c r="F12" t="s">
        <v>326</v>
      </c>
      <c r="G12" t="s">
        <v>74</v>
      </c>
      <c r="H12" t="s">
        <v>74</v>
      </c>
      <c r="I12" t="s">
        <v>327</v>
      </c>
      <c r="J12" t="s">
        <v>328</v>
      </c>
      <c r="K12" t="s">
        <v>74</v>
      </c>
      <c r="L12" t="s">
        <v>74</v>
      </c>
      <c r="M12" t="s">
        <v>78</v>
      </c>
      <c r="N12" t="s">
        <v>79</v>
      </c>
      <c r="O12" t="s">
        <v>74</v>
      </c>
      <c r="P12" t="s">
        <v>74</v>
      </c>
      <c r="Q12" t="s">
        <v>74</v>
      </c>
      <c r="R12" t="s">
        <v>74</v>
      </c>
      <c r="S12" t="s">
        <v>74</v>
      </c>
      <c r="T12" t="s">
        <v>74</v>
      </c>
      <c r="U12" t="s">
        <v>329</v>
      </c>
      <c r="V12" t="s">
        <v>330</v>
      </c>
      <c r="W12" t="s">
        <v>331</v>
      </c>
      <c r="X12" t="s">
        <v>332</v>
      </c>
      <c r="Y12" t="s">
        <v>333</v>
      </c>
      <c r="Z12" t="s">
        <v>334</v>
      </c>
      <c r="AA12" t="s">
        <v>335</v>
      </c>
      <c r="AB12" t="s">
        <v>336</v>
      </c>
      <c r="AC12" t="s">
        <v>337</v>
      </c>
      <c r="AD12" t="s">
        <v>338</v>
      </c>
      <c r="AE12" t="s">
        <v>339</v>
      </c>
      <c r="AF12" t="s">
        <v>74</v>
      </c>
      <c r="AG12">
        <v>30</v>
      </c>
      <c r="AH12">
        <v>23</v>
      </c>
      <c r="AI12">
        <v>26</v>
      </c>
      <c r="AJ12">
        <v>0</v>
      </c>
      <c r="AK12">
        <v>6</v>
      </c>
      <c r="AL12" t="s">
        <v>340</v>
      </c>
      <c r="AM12" t="s">
        <v>341</v>
      </c>
      <c r="AN12" t="s">
        <v>342</v>
      </c>
      <c r="AO12" t="s">
        <v>343</v>
      </c>
      <c r="AP12" t="s">
        <v>344</v>
      </c>
      <c r="AQ12" t="s">
        <v>74</v>
      </c>
      <c r="AR12" t="s">
        <v>328</v>
      </c>
      <c r="AS12" t="s">
        <v>345</v>
      </c>
      <c r="AT12" t="s">
        <v>346</v>
      </c>
      <c r="AU12">
        <v>2009</v>
      </c>
      <c r="AV12" t="s">
        <v>74</v>
      </c>
      <c r="AW12">
        <v>4</v>
      </c>
      <c r="AX12" t="s">
        <v>74</v>
      </c>
      <c r="AY12" t="s">
        <v>74</v>
      </c>
      <c r="AZ12" t="s">
        <v>74</v>
      </c>
      <c r="BA12" t="s">
        <v>74</v>
      </c>
      <c r="BB12">
        <v>705</v>
      </c>
      <c r="BC12">
        <v>713</v>
      </c>
      <c r="BD12" t="s">
        <v>74</v>
      </c>
      <c r="BE12" t="s">
        <v>347</v>
      </c>
      <c r="BF12" t="str">
        <f>HYPERLINK("http://dx.doi.org/10.1643/CI-09-024","http://dx.doi.org/10.1643/CI-09-024")</f>
        <v>http://dx.doi.org/10.1643/CI-09-024</v>
      </c>
      <c r="BG12" t="s">
        <v>74</v>
      </c>
      <c r="BH12" t="s">
        <v>74</v>
      </c>
      <c r="BI12">
        <v>9</v>
      </c>
      <c r="BJ12" t="s">
        <v>207</v>
      </c>
      <c r="BK12" t="s">
        <v>98</v>
      </c>
      <c r="BL12" t="s">
        <v>207</v>
      </c>
      <c r="BM12" t="s">
        <v>348</v>
      </c>
      <c r="BN12" t="s">
        <v>74</v>
      </c>
      <c r="BO12" t="s">
        <v>74</v>
      </c>
      <c r="BP12" t="s">
        <v>74</v>
      </c>
      <c r="BQ12" t="s">
        <v>74</v>
      </c>
      <c r="BR12" t="s">
        <v>101</v>
      </c>
      <c r="BS12" t="s">
        <v>349</v>
      </c>
      <c r="BT12" t="str">
        <f>HYPERLINK("https%3A%2F%2Fwww.webofscience.com%2Fwos%2Fwoscc%2Ffull-record%2FWOS:000273467400010","View Full Record in Web of Science")</f>
        <v>View Full Record in Web of Science</v>
      </c>
    </row>
    <row r="13" spans="1:72" x14ac:dyDescent="0.15">
      <c r="A13" t="s">
        <v>72</v>
      </c>
      <c r="B13" t="s">
        <v>350</v>
      </c>
      <c r="C13" t="s">
        <v>74</v>
      </c>
      <c r="D13" t="s">
        <v>74</v>
      </c>
      <c r="E13" t="s">
        <v>74</v>
      </c>
      <c r="F13" t="s">
        <v>351</v>
      </c>
      <c r="G13" t="s">
        <v>74</v>
      </c>
      <c r="H13" t="s">
        <v>74</v>
      </c>
      <c r="I13" t="s">
        <v>352</v>
      </c>
      <c r="J13" t="s">
        <v>328</v>
      </c>
      <c r="K13" t="s">
        <v>74</v>
      </c>
      <c r="L13" t="s">
        <v>74</v>
      </c>
      <c r="M13" t="s">
        <v>78</v>
      </c>
      <c r="N13" t="s">
        <v>79</v>
      </c>
      <c r="O13" t="s">
        <v>74</v>
      </c>
      <c r="P13" t="s">
        <v>74</v>
      </c>
      <c r="Q13" t="s">
        <v>74</v>
      </c>
      <c r="R13" t="s">
        <v>74</v>
      </c>
      <c r="S13" t="s">
        <v>74</v>
      </c>
      <c r="T13" t="s">
        <v>74</v>
      </c>
      <c r="U13" t="s">
        <v>353</v>
      </c>
      <c r="V13" t="s">
        <v>354</v>
      </c>
      <c r="W13" t="s">
        <v>355</v>
      </c>
      <c r="X13" t="s">
        <v>356</v>
      </c>
      <c r="Y13" t="s">
        <v>357</v>
      </c>
      <c r="Z13" t="s">
        <v>358</v>
      </c>
      <c r="AA13" t="s">
        <v>359</v>
      </c>
      <c r="AB13" t="s">
        <v>360</v>
      </c>
      <c r="AC13" t="s">
        <v>361</v>
      </c>
      <c r="AD13" t="s">
        <v>362</v>
      </c>
      <c r="AE13" t="s">
        <v>363</v>
      </c>
      <c r="AF13" t="s">
        <v>74</v>
      </c>
      <c r="AG13">
        <v>67</v>
      </c>
      <c r="AH13">
        <v>6</v>
      </c>
      <c r="AI13">
        <v>7</v>
      </c>
      <c r="AJ13">
        <v>1</v>
      </c>
      <c r="AK13">
        <v>14</v>
      </c>
      <c r="AL13" t="s">
        <v>340</v>
      </c>
      <c r="AM13" t="s">
        <v>341</v>
      </c>
      <c r="AN13" t="s">
        <v>342</v>
      </c>
      <c r="AO13" t="s">
        <v>343</v>
      </c>
      <c r="AP13" t="s">
        <v>344</v>
      </c>
      <c r="AQ13" t="s">
        <v>74</v>
      </c>
      <c r="AR13" t="s">
        <v>328</v>
      </c>
      <c r="AS13" t="s">
        <v>345</v>
      </c>
      <c r="AT13" t="s">
        <v>346</v>
      </c>
      <c r="AU13">
        <v>2009</v>
      </c>
      <c r="AV13" t="s">
        <v>74</v>
      </c>
      <c r="AW13">
        <v>4</v>
      </c>
      <c r="AX13" t="s">
        <v>74</v>
      </c>
      <c r="AY13" t="s">
        <v>74</v>
      </c>
      <c r="AZ13" t="s">
        <v>74</v>
      </c>
      <c r="BA13" t="s">
        <v>74</v>
      </c>
      <c r="BB13">
        <v>732</v>
      </c>
      <c r="BC13">
        <v>739</v>
      </c>
      <c r="BD13" t="s">
        <v>74</v>
      </c>
      <c r="BE13" t="s">
        <v>364</v>
      </c>
      <c r="BF13" t="str">
        <f>HYPERLINK("http://dx.doi.org/10.1643/CG-08-157","http://dx.doi.org/10.1643/CG-08-157")</f>
        <v>http://dx.doi.org/10.1643/CG-08-157</v>
      </c>
      <c r="BG13" t="s">
        <v>74</v>
      </c>
      <c r="BH13" t="s">
        <v>74</v>
      </c>
      <c r="BI13">
        <v>8</v>
      </c>
      <c r="BJ13" t="s">
        <v>207</v>
      </c>
      <c r="BK13" t="s">
        <v>98</v>
      </c>
      <c r="BL13" t="s">
        <v>207</v>
      </c>
      <c r="BM13" t="s">
        <v>348</v>
      </c>
      <c r="BN13" t="s">
        <v>74</v>
      </c>
      <c r="BO13" t="s">
        <v>74</v>
      </c>
      <c r="BP13" t="s">
        <v>74</v>
      </c>
      <c r="BQ13" t="s">
        <v>74</v>
      </c>
      <c r="BR13" t="s">
        <v>101</v>
      </c>
      <c r="BS13" t="s">
        <v>365</v>
      </c>
      <c r="BT13" t="str">
        <f>HYPERLINK("https%3A%2F%2Fwww.webofscience.com%2Fwos%2Fwoscc%2Ffull-record%2FWOS:000273467400014","View Full Record in Web of Science")</f>
        <v>View Full Record in Web of Science</v>
      </c>
    </row>
    <row r="14" spans="1:72" x14ac:dyDescent="0.15">
      <c r="A14" t="s">
        <v>72</v>
      </c>
      <c r="B14" t="s">
        <v>366</v>
      </c>
      <c r="C14" t="s">
        <v>74</v>
      </c>
      <c r="D14" t="s">
        <v>74</v>
      </c>
      <c r="E14" t="s">
        <v>74</v>
      </c>
      <c r="F14" t="s">
        <v>367</v>
      </c>
      <c r="G14" t="s">
        <v>74</v>
      </c>
      <c r="H14" t="s">
        <v>74</v>
      </c>
      <c r="I14" t="s">
        <v>368</v>
      </c>
      <c r="J14" t="s">
        <v>369</v>
      </c>
      <c r="K14" t="s">
        <v>74</v>
      </c>
      <c r="L14" t="s">
        <v>74</v>
      </c>
      <c r="M14" t="s">
        <v>78</v>
      </c>
      <c r="N14" t="s">
        <v>297</v>
      </c>
      <c r="O14" t="s">
        <v>74</v>
      </c>
      <c r="P14" t="s">
        <v>74</v>
      </c>
      <c r="Q14" t="s">
        <v>74</v>
      </c>
      <c r="R14" t="s">
        <v>74</v>
      </c>
      <c r="S14" t="s">
        <v>74</v>
      </c>
      <c r="T14" t="s">
        <v>370</v>
      </c>
      <c r="U14" t="s">
        <v>371</v>
      </c>
      <c r="V14" t="s">
        <v>372</v>
      </c>
      <c r="W14" t="s">
        <v>373</v>
      </c>
      <c r="X14" t="s">
        <v>374</v>
      </c>
      <c r="Y14" t="s">
        <v>375</v>
      </c>
      <c r="Z14" t="s">
        <v>376</v>
      </c>
      <c r="AA14" t="s">
        <v>377</v>
      </c>
      <c r="AB14" t="s">
        <v>378</v>
      </c>
      <c r="AC14" t="s">
        <v>379</v>
      </c>
      <c r="AD14" t="s">
        <v>379</v>
      </c>
      <c r="AE14" t="s">
        <v>380</v>
      </c>
      <c r="AF14" t="s">
        <v>74</v>
      </c>
      <c r="AG14">
        <v>131</v>
      </c>
      <c r="AH14">
        <v>5</v>
      </c>
      <c r="AI14">
        <v>6</v>
      </c>
      <c r="AJ14">
        <v>3</v>
      </c>
      <c r="AK14">
        <v>14</v>
      </c>
      <c r="AL14" t="s">
        <v>381</v>
      </c>
      <c r="AM14" t="s">
        <v>382</v>
      </c>
      <c r="AN14" t="s">
        <v>383</v>
      </c>
      <c r="AO14" t="s">
        <v>384</v>
      </c>
      <c r="AP14" t="s">
        <v>74</v>
      </c>
      <c r="AQ14" t="s">
        <v>74</v>
      </c>
      <c r="AR14" t="s">
        <v>385</v>
      </c>
      <c r="AS14" t="s">
        <v>386</v>
      </c>
      <c r="AT14" t="s">
        <v>387</v>
      </c>
      <c r="AU14">
        <v>2009</v>
      </c>
      <c r="AV14">
        <v>97</v>
      </c>
      <c r="AW14">
        <v>12</v>
      </c>
      <c r="AX14" t="s">
        <v>74</v>
      </c>
      <c r="AY14" t="s">
        <v>74</v>
      </c>
      <c r="AZ14" t="s">
        <v>74</v>
      </c>
      <c r="BA14" t="s">
        <v>74</v>
      </c>
      <c r="BB14">
        <v>1726</v>
      </c>
      <c r="BC14">
        <v>1734</v>
      </c>
      <c r="BD14" t="s">
        <v>74</v>
      </c>
      <c r="BE14" t="s">
        <v>74</v>
      </c>
      <c r="BF14" t="s">
        <v>74</v>
      </c>
      <c r="BG14" t="s">
        <v>74</v>
      </c>
      <c r="BH14" t="s">
        <v>74</v>
      </c>
      <c r="BI14">
        <v>9</v>
      </c>
      <c r="BJ14" t="s">
        <v>388</v>
      </c>
      <c r="BK14" t="s">
        <v>98</v>
      </c>
      <c r="BL14" t="s">
        <v>389</v>
      </c>
      <c r="BM14" t="s">
        <v>390</v>
      </c>
      <c r="BN14" t="s">
        <v>74</v>
      </c>
      <c r="BO14" t="s">
        <v>74</v>
      </c>
      <c r="BP14" t="s">
        <v>74</v>
      </c>
      <c r="BQ14" t="s">
        <v>74</v>
      </c>
      <c r="BR14" t="s">
        <v>101</v>
      </c>
      <c r="BS14" t="s">
        <v>391</v>
      </c>
      <c r="BT14" t="str">
        <f>HYPERLINK("https%3A%2F%2Fwww.webofscience.com%2Fwos%2Fwoscc%2Ffull-record%2FWOS:000273045600015","View Full Record in Web of Science")</f>
        <v>View Full Record in Web of Science</v>
      </c>
    </row>
    <row r="15" spans="1:72" x14ac:dyDescent="0.15">
      <c r="A15" t="s">
        <v>72</v>
      </c>
      <c r="B15" t="s">
        <v>392</v>
      </c>
      <c r="C15" t="s">
        <v>74</v>
      </c>
      <c r="D15" t="s">
        <v>74</v>
      </c>
      <c r="E15" t="s">
        <v>74</v>
      </c>
      <c r="F15" t="s">
        <v>393</v>
      </c>
      <c r="G15" t="s">
        <v>74</v>
      </c>
      <c r="H15" t="s">
        <v>74</v>
      </c>
      <c r="I15" t="s">
        <v>394</v>
      </c>
      <c r="J15" t="s">
        <v>395</v>
      </c>
      <c r="K15" t="s">
        <v>74</v>
      </c>
      <c r="L15" t="s">
        <v>74</v>
      </c>
      <c r="M15" t="s">
        <v>78</v>
      </c>
      <c r="N15" t="s">
        <v>79</v>
      </c>
      <c r="O15" t="s">
        <v>74</v>
      </c>
      <c r="P15" t="s">
        <v>74</v>
      </c>
      <c r="Q15" t="s">
        <v>74</v>
      </c>
      <c r="R15" t="s">
        <v>74</v>
      </c>
      <c r="S15" t="s">
        <v>74</v>
      </c>
      <c r="T15" t="s">
        <v>74</v>
      </c>
      <c r="U15" t="s">
        <v>396</v>
      </c>
      <c r="V15" t="s">
        <v>397</v>
      </c>
      <c r="W15" t="s">
        <v>398</v>
      </c>
      <c r="X15" t="s">
        <v>399</v>
      </c>
      <c r="Y15" t="s">
        <v>400</v>
      </c>
      <c r="Z15" t="s">
        <v>401</v>
      </c>
      <c r="AA15" t="s">
        <v>402</v>
      </c>
      <c r="AB15" t="s">
        <v>403</v>
      </c>
      <c r="AC15" t="s">
        <v>404</v>
      </c>
      <c r="AD15" t="s">
        <v>405</v>
      </c>
      <c r="AE15" t="s">
        <v>406</v>
      </c>
      <c r="AF15" t="s">
        <v>74</v>
      </c>
      <c r="AG15">
        <v>60</v>
      </c>
      <c r="AH15">
        <v>21</v>
      </c>
      <c r="AI15">
        <v>23</v>
      </c>
      <c r="AJ15">
        <v>0</v>
      </c>
      <c r="AK15">
        <v>16</v>
      </c>
      <c r="AL15" t="s">
        <v>226</v>
      </c>
      <c r="AM15" t="s">
        <v>227</v>
      </c>
      <c r="AN15" t="s">
        <v>228</v>
      </c>
      <c r="AO15" t="s">
        <v>407</v>
      </c>
      <c r="AP15" t="s">
        <v>408</v>
      </c>
      <c r="AQ15" t="s">
        <v>74</v>
      </c>
      <c r="AR15" t="s">
        <v>409</v>
      </c>
      <c r="AS15" t="s">
        <v>410</v>
      </c>
      <c r="AT15" t="s">
        <v>387</v>
      </c>
      <c r="AU15">
        <v>2009</v>
      </c>
      <c r="AV15">
        <v>114</v>
      </c>
      <c r="AW15" t="s">
        <v>74</v>
      </c>
      <c r="AX15" t="s">
        <v>74</v>
      </c>
      <c r="AY15" t="s">
        <v>74</v>
      </c>
      <c r="AZ15" t="s">
        <v>74</v>
      </c>
      <c r="BA15" t="s">
        <v>74</v>
      </c>
      <c r="BB15" t="s">
        <v>74</v>
      </c>
      <c r="BC15" t="s">
        <v>74</v>
      </c>
      <c r="BD15" t="s">
        <v>411</v>
      </c>
      <c r="BE15" t="s">
        <v>412</v>
      </c>
      <c r="BF15" t="str">
        <f>HYPERLINK("http://dx.doi.org/10.1029/2009JD012204","http://dx.doi.org/10.1029/2009JD012204")</f>
        <v>http://dx.doi.org/10.1029/2009JD012204</v>
      </c>
      <c r="BG15" t="s">
        <v>74</v>
      </c>
      <c r="BH15" t="s">
        <v>74</v>
      </c>
      <c r="BI15">
        <v>13</v>
      </c>
      <c r="BJ15" t="s">
        <v>413</v>
      </c>
      <c r="BK15" t="s">
        <v>98</v>
      </c>
      <c r="BL15" t="s">
        <v>413</v>
      </c>
      <c r="BM15" t="s">
        <v>414</v>
      </c>
      <c r="BN15" t="s">
        <v>74</v>
      </c>
      <c r="BO15" t="s">
        <v>239</v>
      </c>
      <c r="BP15" t="s">
        <v>74</v>
      </c>
      <c r="BQ15" t="s">
        <v>74</v>
      </c>
      <c r="BR15" t="s">
        <v>101</v>
      </c>
      <c r="BS15" t="s">
        <v>415</v>
      </c>
      <c r="BT15" t="str">
        <f>HYPERLINK("https%3A%2F%2Fwww.webofscience.com%2Fwos%2Fwoscc%2Ffull-record%2FWOS:000273046500001","View Full Record in Web of Science")</f>
        <v>View Full Record in Web of Science</v>
      </c>
    </row>
    <row r="16" spans="1:72" x14ac:dyDescent="0.15">
      <c r="A16" t="s">
        <v>72</v>
      </c>
      <c r="B16" t="s">
        <v>416</v>
      </c>
      <c r="C16" t="s">
        <v>74</v>
      </c>
      <c r="D16" t="s">
        <v>74</v>
      </c>
      <c r="E16" t="s">
        <v>74</v>
      </c>
      <c r="F16" t="s">
        <v>417</v>
      </c>
      <c r="G16" t="s">
        <v>74</v>
      </c>
      <c r="H16" t="s">
        <v>74</v>
      </c>
      <c r="I16" t="s">
        <v>418</v>
      </c>
      <c r="J16" t="s">
        <v>419</v>
      </c>
      <c r="K16" t="s">
        <v>74</v>
      </c>
      <c r="L16" t="s">
        <v>74</v>
      </c>
      <c r="M16" t="s">
        <v>78</v>
      </c>
      <c r="N16" t="s">
        <v>79</v>
      </c>
      <c r="O16" t="s">
        <v>74</v>
      </c>
      <c r="P16" t="s">
        <v>74</v>
      </c>
      <c r="Q16" t="s">
        <v>74</v>
      </c>
      <c r="R16" t="s">
        <v>74</v>
      </c>
      <c r="S16" t="s">
        <v>74</v>
      </c>
      <c r="T16" t="s">
        <v>420</v>
      </c>
      <c r="U16" t="s">
        <v>421</v>
      </c>
      <c r="V16" t="s">
        <v>422</v>
      </c>
      <c r="W16" t="s">
        <v>423</v>
      </c>
      <c r="X16" t="s">
        <v>424</v>
      </c>
      <c r="Y16" t="s">
        <v>425</v>
      </c>
      <c r="Z16" t="s">
        <v>426</v>
      </c>
      <c r="AA16" t="s">
        <v>427</v>
      </c>
      <c r="AB16" t="s">
        <v>428</v>
      </c>
      <c r="AC16" t="s">
        <v>429</v>
      </c>
      <c r="AD16" t="s">
        <v>430</v>
      </c>
      <c r="AE16" t="s">
        <v>431</v>
      </c>
      <c r="AF16" t="s">
        <v>74</v>
      </c>
      <c r="AG16">
        <v>14</v>
      </c>
      <c r="AH16">
        <v>133</v>
      </c>
      <c r="AI16">
        <v>153</v>
      </c>
      <c r="AJ16">
        <v>3</v>
      </c>
      <c r="AK16">
        <v>44</v>
      </c>
      <c r="AL16" t="s">
        <v>432</v>
      </c>
      <c r="AM16" t="s">
        <v>433</v>
      </c>
      <c r="AN16" t="s">
        <v>434</v>
      </c>
      <c r="AO16" t="s">
        <v>435</v>
      </c>
      <c r="AP16" t="s">
        <v>74</v>
      </c>
      <c r="AQ16" t="s">
        <v>74</v>
      </c>
      <c r="AR16" t="s">
        <v>436</v>
      </c>
      <c r="AS16" t="s">
        <v>437</v>
      </c>
      <c r="AT16" t="s">
        <v>438</v>
      </c>
      <c r="AU16">
        <v>2009</v>
      </c>
      <c r="AV16">
        <v>5</v>
      </c>
      <c r="AW16">
        <v>6</v>
      </c>
      <c r="AX16" t="s">
        <v>74</v>
      </c>
      <c r="AY16" t="s">
        <v>74</v>
      </c>
      <c r="AZ16" t="s">
        <v>74</v>
      </c>
      <c r="BA16" t="s">
        <v>74</v>
      </c>
      <c r="BB16">
        <v>830</v>
      </c>
      <c r="BC16">
        <v>832</v>
      </c>
      <c r="BD16" t="s">
        <v>74</v>
      </c>
      <c r="BE16" t="s">
        <v>439</v>
      </c>
      <c r="BF16" t="str">
        <f>HYPERLINK("http://dx.doi.org/10.1098/rsbl.2009.0552","http://dx.doi.org/10.1098/rsbl.2009.0552")</f>
        <v>http://dx.doi.org/10.1098/rsbl.2009.0552</v>
      </c>
      <c r="BG16" t="s">
        <v>74</v>
      </c>
      <c r="BH16" t="s">
        <v>74</v>
      </c>
      <c r="BI16">
        <v>3</v>
      </c>
      <c r="BJ16" t="s">
        <v>440</v>
      </c>
      <c r="BK16" t="s">
        <v>98</v>
      </c>
      <c r="BL16" t="s">
        <v>441</v>
      </c>
      <c r="BM16" t="s">
        <v>442</v>
      </c>
      <c r="BN16">
        <v>19793740</v>
      </c>
      <c r="BO16" t="s">
        <v>239</v>
      </c>
      <c r="BP16" t="s">
        <v>74</v>
      </c>
      <c r="BQ16" t="s">
        <v>74</v>
      </c>
      <c r="BR16" t="s">
        <v>101</v>
      </c>
      <c r="BS16" t="s">
        <v>443</v>
      </c>
      <c r="BT16" t="str">
        <f>HYPERLINK("https%3A%2F%2Fwww.webofscience.com%2Fwos%2Fwoscc%2Ffull-record%2FWOS:000271632000033","View Full Record in Web of Science")</f>
        <v>View Full Record in Web of Science</v>
      </c>
    </row>
    <row r="17" spans="1:72" x14ac:dyDescent="0.15">
      <c r="A17" t="s">
        <v>72</v>
      </c>
      <c r="B17" t="s">
        <v>444</v>
      </c>
      <c r="C17" t="s">
        <v>74</v>
      </c>
      <c r="D17" t="s">
        <v>74</v>
      </c>
      <c r="E17" t="s">
        <v>74</v>
      </c>
      <c r="F17" t="s">
        <v>445</v>
      </c>
      <c r="G17" t="s">
        <v>74</v>
      </c>
      <c r="H17" t="s">
        <v>74</v>
      </c>
      <c r="I17" t="s">
        <v>446</v>
      </c>
      <c r="J17" t="s">
        <v>447</v>
      </c>
      <c r="K17" t="s">
        <v>74</v>
      </c>
      <c r="L17" t="s">
        <v>74</v>
      </c>
      <c r="M17" t="s">
        <v>78</v>
      </c>
      <c r="N17" t="s">
        <v>79</v>
      </c>
      <c r="O17" t="s">
        <v>74</v>
      </c>
      <c r="P17" t="s">
        <v>74</v>
      </c>
      <c r="Q17" t="s">
        <v>74</v>
      </c>
      <c r="R17" t="s">
        <v>74</v>
      </c>
      <c r="S17" t="s">
        <v>74</v>
      </c>
      <c r="T17" t="s">
        <v>74</v>
      </c>
      <c r="U17" t="s">
        <v>448</v>
      </c>
      <c r="V17" t="s">
        <v>449</v>
      </c>
      <c r="W17" t="s">
        <v>450</v>
      </c>
      <c r="X17" t="s">
        <v>451</v>
      </c>
      <c r="Y17" t="s">
        <v>452</v>
      </c>
      <c r="Z17" t="s">
        <v>453</v>
      </c>
      <c r="AA17" t="s">
        <v>454</v>
      </c>
      <c r="AB17" t="s">
        <v>74</v>
      </c>
      <c r="AC17" t="s">
        <v>455</v>
      </c>
      <c r="AD17" t="s">
        <v>456</v>
      </c>
      <c r="AE17" t="s">
        <v>457</v>
      </c>
      <c r="AF17" t="s">
        <v>74</v>
      </c>
      <c r="AG17">
        <v>48</v>
      </c>
      <c r="AH17">
        <v>154</v>
      </c>
      <c r="AI17">
        <v>174</v>
      </c>
      <c r="AJ17">
        <v>0</v>
      </c>
      <c r="AK17">
        <v>32</v>
      </c>
      <c r="AL17" t="s">
        <v>226</v>
      </c>
      <c r="AM17" t="s">
        <v>227</v>
      </c>
      <c r="AN17" t="s">
        <v>228</v>
      </c>
      <c r="AO17" t="s">
        <v>458</v>
      </c>
      <c r="AP17" t="s">
        <v>459</v>
      </c>
      <c r="AQ17" t="s">
        <v>74</v>
      </c>
      <c r="AR17" t="s">
        <v>460</v>
      </c>
      <c r="AS17" t="s">
        <v>461</v>
      </c>
      <c r="AT17" t="s">
        <v>438</v>
      </c>
      <c r="AU17">
        <v>2009</v>
      </c>
      <c r="AV17">
        <v>114</v>
      </c>
      <c r="AW17" t="s">
        <v>74</v>
      </c>
      <c r="AX17" t="s">
        <v>74</v>
      </c>
      <c r="AY17" t="s">
        <v>74</v>
      </c>
      <c r="AZ17" t="s">
        <v>74</v>
      </c>
      <c r="BA17" t="s">
        <v>74</v>
      </c>
      <c r="BB17" t="s">
        <v>74</v>
      </c>
      <c r="BC17" t="s">
        <v>74</v>
      </c>
      <c r="BD17" t="s">
        <v>462</v>
      </c>
      <c r="BE17" t="s">
        <v>463</v>
      </c>
      <c r="BF17" t="str">
        <f>HYPERLINK("http://dx.doi.org/10.1029/2008JF001227","http://dx.doi.org/10.1029/2008JF001227")</f>
        <v>http://dx.doi.org/10.1029/2008JF001227</v>
      </c>
      <c r="BG17" t="s">
        <v>74</v>
      </c>
      <c r="BH17" t="s">
        <v>74</v>
      </c>
      <c r="BI17">
        <v>23</v>
      </c>
      <c r="BJ17" t="s">
        <v>464</v>
      </c>
      <c r="BK17" t="s">
        <v>98</v>
      </c>
      <c r="BL17" t="s">
        <v>465</v>
      </c>
      <c r="BM17" t="s">
        <v>466</v>
      </c>
      <c r="BN17" t="s">
        <v>74</v>
      </c>
      <c r="BO17" t="s">
        <v>467</v>
      </c>
      <c r="BP17" t="s">
        <v>74</v>
      </c>
      <c r="BQ17" t="s">
        <v>74</v>
      </c>
      <c r="BR17" t="s">
        <v>101</v>
      </c>
      <c r="BS17" t="s">
        <v>468</v>
      </c>
      <c r="BT17" t="str">
        <f>HYPERLINK("https%3A%2F%2Fwww.webofscience.com%2Fwos%2Fwoscc%2Ffull-record%2FWOS:000273048600001","View Full Record in Web of Science")</f>
        <v>View Full Record in Web of Science</v>
      </c>
    </row>
    <row r="18" spans="1:72" x14ac:dyDescent="0.15">
      <c r="A18" t="s">
        <v>72</v>
      </c>
      <c r="B18" t="s">
        <v>469</v>
      </c>
      <c r="C18" t="s">
        <v>74</v>
      </c>
      <c r="D18" t="s">
        <v>74</v>
      </c>
      <c r="E18" t="s">
        <v>74</v>
      </c>
      <c r="F18" t="s">
        <v>470</v>
      </c>
      <c r="G18" t="s">
        <v>74</v>
      </c>
      <c r="H18" t="s">
        <v>74</v>
      </c>
      <c r="I18" t="s">
        <v>471</v>
      </c>
      <c r="J18" t="s">
        <v>472</v>
      </c>
      <c r="K18" t="s">
        <v>74</v>
      </c>
      <c r="L18" t="s">
        <v>74</v>
      </c>
      <c r="M18" t="s">
        <v>78</v>
      </c>
      <c r="N18" t="s">
        <v>79</v>
      </c>
      <c r="O18" t="s">
        <v>74</v>
      </c>
      <c r="P18" t="s">
        <v>74</v>
      </c>
      <c r="Q18" t="s">
        <v>74</v>
      </c>
      <c r="R18" t="s">
        <v>74</v>
      </c>
      <c r="S18" t="s">
        <v>74</v>
      </c>
      <c r="T18" t="s">
        <v>74</v>
      </c>
      <c r="U18" t="s">
        <v>473</v>
      </c>
      <c r="V18" t="s">
        <v>474</v>
      </c>
      <c r="W18" t="s">
        <v>475</v>
      </c>
      <c r="X18" t="s">
        <v>476</v>
      </c>
      <c r="Y18" t="s">
        <v>477</v>
      </c>
      <c r="Z18" t="s">
        <v>478</v>
      </c>
      <c r="AA18" t="s">
        <v>479</v>
      </c>
      <c r="AB18" t="s">
        <v>480</v>
      </c>
      <c r="AC18" t="s">
        <v>481</v>
      </c>
      <c r="AD18" t="s">
        <v>278</v>
      </c>
      <c r="AE18" t="s">
        <v>482</v>
      </c>
      <c r="AF18" t="s">
        <v>74</v>
      </c>
      <c r="AG18">
        <v>103</v>
      </c>
      <c r="AH18">
        <v>423</v>
      </c>
      <c r="AI18">
        <v>473</v>
      </c>
      <c r="AJ18">
        <v>3</v>
      </c>
      <c r="AK18">
        <v>141</v>
      </c>
      <c r="AL18" t="s">
        <v>226</v>
      </c>
      <c r="AM18" t="s">
        <v>227</v>
      </c>
      <c r="AN18" t="s">
        <v>228</v>
      </c>
      <c r="AO18" t="s">
        <v>483</v>
      </c>
      <c r="AP18" t="s">
        <v>484</v>
      </c>
      <c r="AQ18" t="s">
        <v>74</v>
      </c>
      <c r="AR18" t="s">
        <v>472</v>
      </c>
      <c r="AS18" t="s">
        <v>485</v>
      </c>
      <c r="AT18" t="s">
        <v>438</v>
      </c>
      <c r="AU18">
        <v>2009</v>
      </c>
      <c r="AV18">
        <v>24</v>
      </c>
      <c r="AW18" t="s">
        <v>74</v>
      </c>
      <c r="AX18" t="s">
        <v>74</v>
      </c>
      <c r="AY18" t="s">
        <v>74</v>
      </c>
      <c r="AZ18" t="s">
        <v>74</v>
      </c>
      <c r="BA18" t="s">
        <v>74</v>
      </c>
      <c r="BB18" t="s">
        <v>74</v>
      </c>
      <c r="BC18" t="s">
        <v>74</v>
      </c>
      <c r="BD18" t="s">
        <v>486</v>
      </c>
      <c r="BE18" t="s">
        <v>487</v>
      </c>
      <c r="BF18" t="str">
        <f>HYPERLINK("http://dx.doi.org/10.1029/2008PA001683","http://dx.doi.org/10.1029/2008PA001683")</f>
        <v>http://dx.doi.org/10.1029/2008PA001683</v>
      </c>
      <c r="BG18" t="s">
        <v>74</v>
      </c>
      <c r="BH18" t="s">
        <v>74</v>
      </c>
      <c r="BI18">
        <v>14</v>
      </c>
      <c r="BJ18" t="s">
        <v>488</v>
      </c>
      <c r="BK18" t="s">
        <v>98</v>
      </c>
      <c r="BL18" t="s">
        <v>489</v>
      </c>
      <c r="BM18" t="s">
        <v>490</v>
      </c>
      <c r="BN18" t="s">
        <v>74</v>
      </c>
      <c r="BO18" t="s">
        <v>491</v>
      </c>
      <c r="BP18" t="s">
        <v>74</v>
      </c>
      <c r="BQ18" t="s">
        <v>74</v>
      </c>
      <c r="BR18" t="s">
        <v>101</v>
      </c>
      <c r="BS18" t="s">
        <v>492</v>
      </c>
      <c r="BT18" t="str">
        <f>HYPERLINK("https%3A%2F%2Fwww.webofscience.com%2Fwos%2Fwoscc%2Ffull-record%2FWOS:000273054700001","View Full Record in Web of Science")</f>
        <v>View Full Record in Web of Science</v>
      </c>
    </row>
    <row r="19" spans="1:72" x14ac:dyDescent="0.15">
      <c r="A19" t="s">
        <v>72</v>
      </c>
      <c r="B19" t="s">
        <v>493</v>
      </c>
      <c r="C19" t="s">
        <v>74</v>
      </c>
      <c r="D19" t="s">
        <v>74</v>
      </c>
      <c r="E19" t="s">
        <v>74</v>
      </c>
      <c r="F19" t="s">
        <v>494</v>
      </c>
      <c r="G19" t="s">
        <v>74</v>
      </c>
      <c r="H19" t="s">
        <v>74</v>
      </c>
      <c r="I19" t="s">
        <v>495</v>
      </c>
      <c r="J19" t="s">
        <v>496</v>
      </c>
      <c r="K19" t="s">
        <v>74</v>
      </c>
      <c r="L19" t="s">
        <v>74</v>
      </c>
      <c r="M19" t="s">
        <v>78</v>
      </c>
      <c r="N19" t="s">
        <v>79</v>
      </c>
      <c r="O19" t="s">
        <v>74</v>
      </c>
      <c r="P19" t="s">
        <v>74</v>
      </c>
      <c r="Q19" t="s">
        <v>74</v>
      </c>
      <c r="R19" t="s">
        <v>74</v>
      </c>
      <c r="S19" t="s">
        <v>74</v>
      </c>
      <c r="T19" t="s">
        <v>497</v>
      </c>
      <c r="U19" t="s">
        <v>498</v>
      </c>
      <c r="V19" t="s">
        <v>499</v>
      </c>
      <c r="W19" t="s">
        <v>500</v>
      </c>
      <c r="X19" t="s">
        <v>501</v>
      </c>
      <c r="Y19" t="s">
        <v>502</v>
      </c>
      <c r="Z19" t="s">
        <v>503</v>
      </c>
      <c r="AA19" t="s">
        <v>504</v>
      </c>
      <c r="AB19" t="s">
        <v>505</v>
      </c>
      <c r="AC19" t="s">
        <v>506</v>
      </c>
      <c r="AD19" t="s">
        <v>507</v>
      </c>
      <c r="AE19" t="s">
        <v>508</v>
      </c>
      <c r="AF19" t="s">
        <v>74</v>
      </c>
      <c r="AG19">
        <v>33</v>
      </c>
      <c r="AH19">
        <v>28</v>
      </c>
      <c r="AI19">
        <v>30</v>
      </c>
      <c r="AJ19">
        <v>1</v>
      </c>
      <c r="AK19">
        <v>24</v>
      </c>
      <c r="AL19" t="s">
        <v>305</v>
      </c>
      <c r="AM19" t="s">
        <v>281</v>
      </c>
      <c r="AN19" t="s">
        <v>306</v>
      </c>
      <c r="AO19" t="s">
        <v>509</v>
      </c>
      <c r="AP19" t="s">
        <v>510</v>
      </c>
      <c r="AQ19" t="s">
        <v>74</v>
      </c>
      <c r="AR19" t="s">
        <v>511</v>
      </c>
      <c r="AS19" t="s">
        <v>512</v>
      </c>
      <c r="AT19" t="s">
        <v>513</v>
      </c>
      <c r="AU19">
        <v>2009</v>
      </c>
      <c r="AV19">
        <v>408</v>
      </c>
      <c r="AW19">
        <v>2</v>
      </c>
      <c r="AX19" t="s">
        <v>74</v>
      </c>
      <c r="AY19" t="s">
        <v>74</v>
      </c>
      <c r="AZ19" t="s">
        <v>74</v>
      </c>
      <c r="BA19" t="s">
        <v>74</v>
      </c>
      <c r="BB19">
        <v>382</v>
      </c>
      <c r="BC19">
        <v>389</v>
      </c>
      <c r="BD19" t="s">
        <v>74</v>
      </c>
      <c r="BE19" t="s">
        <v>514</v>
      </c>
      <c r="BF19" t="str">
        <f>HYPERLINK("http://dx.doi.org/10.1016/j.scitotenv.2009.10.014","http://dx.doi.org/10.1016/j.scitotenv.2009.10.014")</f>
        <v>http://dx.doi.org/10.1016/j.scitotenv.2009.10.014</v>
      </c>
      <c r="BG19" t="s">
        <v>74</v>
      </c>
      <c r="BH19" t="s">
        <v>74</v>
      </c>
      <c r="BI19">
        <v>8</v>
      </c>
      <c r="BJ19" t="s">
        <v>515</v>
      </c>
      <c r="BK19" t="s">
        <v>98</v>
      </c>
      <c r="BL19" t="s">
        <v>516</v>
      </c>
      <c r="BM19" t="s">
        <v>517</v>
      </c>
      <c r="BN19">
        <v>19878971</v>
      </c>
      <c r="BO19" t="s">
        <v>74</v>
      </c>
      <c r="BP19" t="s">
        <v>74</v>
      </c>
      <c r="BQ19" t="s">
        <v>74</v>
      </c>
      <c r="BR19" t="s">
        <v>101</v>
      </c>
      <c r="BS19" t="s">
        <v>518</v>
      </c>
      <c r="BT19" t="str">
        <f>HYPERLINK("https%3A%2F%2Fwww.webofscience.com%2Fwos%2Fwoscc%2Ffull-record%2FWOS:000272564500025","View Full Record in Web of Science")</f>
        <v>View Full Record in Web of Science</v>
      </c>
    </row>
    <row r="20" spans="1:72" x14ac:dyDescent="0.15">
      <c r="A20" t="s">
        <v>72</v>
      </c>
      <c r="B20" t="s">
        <v>519</v>
      </c>
      <c r="C20" t="s">
        <v>74</v>
      </c>
      <c r="D20" t="s">
        <v>74</v>
      </c>
      <c r="E20" t="s">
        <v>74</v>
      </c>
      <c r="F20" t="s">
        <v>520</v>
      </c>
      <c r="G20" t="s">
        <v>74</v>
      </c>
      <c r="H20" t="s">
        <v>74</v>
      </c>
      <c r="I20" t="s">
        <v>521</v>
      </c>
      <c r="J20" t="s">
        <v>522</v>
      </c>
      <c r="K20" t="s">
        <v>74</v>
      </c>
      <c r="L20" t="s">
        <v>74</v>
      </c>
      <c r="M20" t="s">
        <v>78</v>
      </c>
      <c r="N20" t="s">
        <v>523</v>
      </c>
      <c r="O20" t="s">
        <v>74</v>
      </c>
      <c r="P20" t="s">
        <v>74</v>
      </c>
      <c r="Q20" t="s">
        <v>74</v>
      </c>
      <c r="R20" t="s">
        <v>74</v>
      </c>
      <c r="S20" t="s">
        <v>74</v>
      </c>
      <c r="T20" t="s">
        <v>74</v>
      </c>
      <c r="U20" t="s">
        <v>524</v>
      </c>
      <c r="V20" t="s">
        <v>74</v>
      </c>
      <c r="W20" t="s">
        <v>525</v>
      </c>
      <c r="X20" t="s">
        <v>526</v>
      </c>
      <c r="Y20" t="s">
        <v>527</v>
      </c>
      <c r="Z20" t="s">
        <v>528</v>
      </c>
      <c r="AA20" t="s">
        <v>74</v>
      </c>
      <c r="AB20" t="s">
        <v>529</v>
      </c>
      <c r="AC20" t="s">
        <v>74</v>
      </c>
      <c r="AD20" t="s">
        <v>74</v>
      </c>
      <c r="AE20" t="s">
        <v>74</v>
      </c>
      <c r="AF20" t="s">
        <v>74</v>
      </c>
      <c r="AG20">
        <v>17</v>
      </c>
      <c r="AH20">
        <v>53</v>
      </c>
      <c r="AI20">
        <v>59</v>
      </c>
      <c r="AJ20">
        <v>4</v>
      </c>
      <c r="AK20">
        <v>44</v>
      </c>
      <c r="AL20" t="s">
        <v>530</v>
      </c>
      <c r="AM20" t="s">
        <v>173</v>
      </c>
      <c r="AN20" t="s">
        <v>531</v>
      </c>
      <c r="AO20" t="s">
        <v>532</v>
      </c>
      <c r="AP20" t="s">
        <v>533</v>
      </c>
      <c r="AQ20" t="s">
        <v>74</v>
      </c>
      <c r="AR20" t="s">
        <v>522</v>
      </c>
      <c r="AS20" t="s">
        <v>534</v>
      </c>
      <c r="AT20" t="s">
        <v>535</v>
      </c>
      <c r="AU20">
        <v>2009</v>
      </c>
      <c r="AV20">
        <v>462</v>
      </c>
      <c r="AW20">
        <v>7275</v>
      </c>
      <c r="AX20" t="s">
        <v>74</v>
      </c>
      <c r="AY20" t="s">
        <v>74</v>
      </c>
      <c r="AZ20" t="s">
        <v>74</v>
      </c>
      <c r="BA20" t="s">
        <v>74</v>
      </c>
      <c r="BB20">
        <v>856</v>
      </c>
      <c r="BC20">
        <v>857</v>
      </c>
      <c r="BD20" t="s">
        <v>74</v>
      </c>
      <c r="BE20" t="s">
        <v>536</v>
      </c>
      <c r="BF20" t="str">
        <f>HYPERLINK("http://dx.doi.org/10.1038/462856a","http://dx.doi.org/10.1038/462856a")</f>
        <v>http://dx.doi.org/10.1038/462856a</v>
      </c>
      <c r="BG20" t="s">
        <v>74</v>
      </c>
      <c r="BH20" t="s">
        <v>74</v>
      </c>
      <c r="BI20">
        <v>2</v>
      </c>
      <c r="BJ20" t="s">
        <v>388</v>
      </c>
      <c r="BK20" t="s">
        <v>98</v>
      </c>
      <c r="BL20" t="s">
        <v>389</v>
      </c>
      <c r="BM20" t="s">
        <v>537</v>
      </c>
      <c r="BN20">
        <v>20016585</v>
      </c>
      <c r="BO20" t="s">
        <v>263</v>
      </c>
      <c r="BP20" t="s">
        <v>74</v>
      </c>
      <c r="BQ20" t="s">
        <v>74</v>
      </c>
      <c r="BR20" t="s">
        <v>101</v>
      </c>
      <c r="BS20" t="s">
        <v>538</v>
      </c>
      <c r="BT20" t="str">
        <f>HYPERLINK("https%3A%2F%2Fwww.webofscience.com%2Fwos%2Fwoscc%2Ffull-record%2FWOS:000272795400025","View Full Record in Web of Science")</f>
        <v>View Full Record in Web of Science</v>
      </c>
    </row>
    <row r="21" spans="1:72" x14ac:dyDescent="0.15">
      <c r="A21" t="s">
        <v>72</v>
      </c>
      <c r="B21" t="s">
        <v>539</v>
      </c>
      <c r="C21" t="s">
        <v>74</v>
      </c>
      <c r="D21" t="s">
        <v>74</v>
      </c>
      <c r="E21" t="s">
        <v>74</v>
      </c>
      <c r="F21" t="s">
        <v>540</v>
      </c>
      <c r="G21" t="s">
        <v>74</v>
      </c>
      <c r="H21" t="s">
        <v>74</v>
      </c>
      <c r="I21" t="s">
        <v>541</v>
      </c>
      <c r="J21" t="s">
        <v>542</v>
      </c>
      <c r="K21" t="s">
        <v>74</v>
      </c>
      <c r="L21" t="s">
        <v>74</v>
      </c>
      <c r="M21" t="s">
        <v>78</v>
      </c>
      <c r="N21" t="s">
        <v>79</v>
      </c>
      <c r="O21" t="s">
        <v>74</v>
      </c>
      <c r="P21" t="s">
        <v>74</v>
      </c>
      <c r="Q21" t="s">
        <v>74</v>
      </c>
      <c r="R21" t="s">
        <v>74</v>
      </c>
      <c r="S21" t="s">
        <v>74</v>
      </c>
      <c r="T21" t="s">
        <v>543</v>
      </c>
      <c r="U21" t="s">
        <v>544</v>
      </c>
      <c r="V21" t="s">
        <v>545</v>
      </c>
      <c r="W21" t="s">
        <v>546</v>
      </c>
      <c r="X21" t="s">
        <v>547</v>
      </c>
      <c r="Y21" t="s">
        <v>548</v>
      </c>
      <c r="Z21" t="s">
        <v>549</v>
      </c>
      <c r="AA21" t="s">
        <v>550</v>
      </c>
      <c r="AB21" t="s">
        <v>74</v>
      </c>
      <c r="AC21" t="s">
        <v>551</v>
      </c>
      <c r="AD21" t="s">
        <v>551</v>
      </c>
      <c r="AE21" t="s">
        <v>552</v>
      </c>
      <c r="AF21" t="s">
        <v>74</v>
      </c>
      <c r="AG21">
        <v>38</v>
      </c>
      <c r="AH21">
        <v>24</v>
      </c>
      <c r="AI21">
        <v>26</v>
      </c>
      <c r="AJ21">
        <v>0</v>
      </c>
      <c r="AK21">
        <v>13</v>
      </c>
      <c r="AL21" t="s">
        <v>226</v>
      </c>
      <c r="AM21" t="s">
        <v>227</v>
      </c>
      <c r="AN21" t="s">
        <v>228</v>
      </c>
      <c r="AO21" t="s">
        <v>553</v>
      </c>
      <c r="AP21" t="s">
        <v>74</v>
      </c>
      <c r="AQ21" t="s">
        <v>74</v>
      </c>
      <c r="AR21" t="s">
        <v>554</v>
      </c>
      <c r="AS21" t="s">
        <v>555</v>
      </c>
      <c r="AT21" t="s">
        <v>556</v>
      </c>
      <c r="AU21">
        <v>2009</v>
      </c>
      <c r="AV21">
        <v>10</v>
      </c>
      <c r="AW21" t="s">
        <v>74</v>
      </c>
      <c r="AX21" t="s">
        <v>74</v>
      </c>
      <c r="AY21" t="s">
        <v>74</v>
      </c>
      <c r="AZ21" t="s">
        <v>74</v>
      </c>
      <c r="BA21" t="s">
        <v>74</v>
      </c>
      <c r="BB21" t="s">
        <v>74</v>
      </c>
      <c r="BC21" t="s">
        <v>74</v>
      </c>
      <c r="BD21" t="s">
        <v>557</v>
      </c>
      <c r="BE21" t="s">
        <v>558</v>
      </c>
      <c r="BF21" t="str">
        <f>HYPERLINK("http://dx.doi.org/10.1029/2009GC002665","http://dx.doi.org/10.1029/2009GC002665")</f>
        <v>http://dx.doi.org/10.1029/2009GC002665</v>
      </c>
      <c r="BG21" t="s">
        <v>74</v>
      </c>
      <c r="BH21" t="s">
        <v>74</v>
      </c>
      <c r="BI21">
        <v>17</v>
      </c>
      <c r="BJ21" t="s">
        <v>261</v>
      </c>
      <c r="BK21" t="s">
        <v>98</v>
      </c>
      <c r="BL21" t="s">
        <v>261</v>
      </c>
      <c r="BM21" t="s">
        <v>559</v>
      </c>
      <c r="BN21" t="s">
        <v>74</v>
      </c>
      <c r="BO21" t="s">
        <v>74</v>
      </c>
      <c r="BP21" t="s">
        <v>74</v>
      </c>
      <c r="BQ21" t="s">
        <v>74</v>
      </c>
      <c r="BR21" t="s">
        <v>101</v>
      </c>
      <c r="BS21" t="s">
        <v>560</v>
      </c>
      <c r="BT21" t="str">
        <f>HYPERLINK("https%3A%2F%2Fwww.webofscience.com%2Fwos%2Fwoscc%2Ffull-record%2FWOS:000272940900001","View Full Record in Web of Science")</f>
        <v>View Full Record in Web of Science</v>
      </c>
    </row>
    <row r="22" spans="1:72" x14ac:dyDescent="0.15">
      <c r="A22" t="s">
        <v>72</v>
      </c>
      <c r="B22" t="s">
        <v>561</v>
      </c>
      <c r="C22" t="s">
        <v>74</v>
      </c>
      <c r="D22" t="s">
        <v>74</v>
      </c>
      <c r="E22" t="s">
        <v>74</v>
      </c>
      <c r="F22" t="s">
        <v>562</v>
      </c>
      <c r="G22" t="s">
        <v>74</v>
      </c>
      <c r="H22" t="s">
        <v>74</v>
      </c>
      <c r="I22" t="s">
        <v>563</v>
      </c>
      <c r="J22" t="s">
        <v>395</v>
      </c>
      <c r="K22" t="s">
        <v>74</v>
      </c>
      <c r="L22" t="s">
        <v>74</v>
      </c>
      <c r="M22" t="s">
        <v>78</v>
      </c>
      <c r="N22" t="s">
        <v>79</v>
      </c>
      <c r="O22" t="s">
        <v>74</v>
      </c>
      <c r="P22" t="s">
        <v>74</v>
      </c>
      <c r="Q22" t="s">
        <v>74</v>
      </c>
      <c r="R22" t="s">
        <v>74</v>
      </c>
      <c r="S22" t="s">
        <v>74</v>
      </c>
      <c r="T22" t="s">
        <v>74</v>
      </c>
      <c r="U22" t="s">
        <v>564</v>
      </c>
      <c r="V22" t="s">
        <v>565</v>
      </c>
      <c r="W22" t="s">
        <v>566</v>
      </c>
      <c r="X22" t="s">
        <v>567</v>
      </c>
      <c r="Y22" t="s">
        <v>568</v>
      </c>
      <c r="Z22" t="s">
        <v>569</v>
      </c>
      <c r="AA22" t="s">
        <v>570</v>
      </c>
      <c r="AB22" t="s">
        <v>571</v>
      </c>
      <c r="AC22" t="s">
        <v>572</v>
      </c>
      <c r="AD22" t="s">
        <v>573</v>
      </c>
      <c r="AE22" t="s">
        <v>74</v>
      </c>
      <c r="AF22" t="s">
        <v>74</v>
      </c>
      <c r="AG22">
        <v>28</v>
      </c>
      <c r="AH22">
        <v>37</v>
      </c>
      <c r="AI22">
        <v>39</v>
      </c>
      <c r="AJ22">
        <v>0</v>
      </c>
      <c r="AK22">
        <v>19</v>
      </c>
      <c r="AL22" t="s">
        <v>226</v>
      </c>
      <c r="AM22" t="s">
        <v>227</v>
      </c>
      <c r="AN22" t="s">
        <v>228</v>
      </c>
      <c r="AO22" t="s">
        <v>407</v>
      </c>
      <c r="AP22" t="s">
        <v>408</v>
      </c>
      <c r="AQ22" t="s">
        <v>74</v>
      </c>
      <c r="AR22" t="s">
        <v>409</v>
      </c>
      <c r="AS22" t="s">
        <v>410</v>
      </c>
      <c r="AT22" t="s">
        <v>556</v>
      </c>
      <c r="AU22">
        <v>2009</v>
      </c>
      <c r="AV22">
        <v>114</v>
      </c>
      <c r="AW22" t="s">
        <v>74</v>
      </c>
      <c r="AX22" t="s">
        <v>74</v>
      </c>
      <c r="AY22" t="s">
        <v>74</v>
      </c>
      <c r="AZ22" t="s">
        <v>74</v>
      </c>
      <c r="BA22" t="s">
        <v>74</v>
      </c>
      <c r="BB22" t="s">
        <v>74</v>
      </c>
      <c r="BC22" t="s">
        <v>74</v>
      </c>
      <c r="BD22" t="s">
        <v>574</v>
      </c>
      <c r="BE22" t="s">
        <v>575</v>
      </c>
      <c r="BF22" t="str">
        <f>HYPERLINK("http://dx.doi.org/10.1029/2009JD012104","http://dx.doi.org/10.1029/2009JD012104")</f>
        <v>http://dx.doi.org/10.1029/2009JD012104</v>
      </c>
      <c r="BG22" t="s">
        <v>74</v>
      </c>
      <c r="BH22" t="s">
        <v>74</v>
      </c>
      <c r="BI22">
        <v>14</v>
      </c>
      <c r="BJ22" t="s">
        <v>413</v>
      </c>
      <c r="BK22" t="s">
        <v>98</v>
      </c>
      <c r="BL22" t="s">
        <v>413</v>
      </c>
      <c r="BM22" t="s">
        <v>576</v>
      </c>
      <c r="BN22" t="s">
        <v>74</v>
      </c>
      <c r="BO22" t="s">
        <v>577</v>
      </c>
      <c r="BP22" t="s">
        <v>74</v>
      </c>
      <c r="BQ22" t="s">
        <v>74</v>
      </c>
      <c r="BR22" t="s">
        <v>101</v>
      </c>
      <c r="BS22" t="s">
        <v>578</v>
      </c>
      <c r="BT22" t="str">
        <f>HYPERLINK("https%3A%2F%2Fwww.webofscience.com%2Fwos%2Fwoscc%2Ffull-record%2FWOS:000272944300002","View Full Record in Web of Science")</f>
        <v>View Full Record in Web of Science</v>
      </c>
    </row>
    <row r="23" spans="1:72" x14ac:dyDescent="0.15">
      <c r="A23" t="s">
        <v>72</v>
      </c>
      <c r="B23" t="s">
        <v>579</v>
      </c>
      <c r="C23" t="s">
        <v>74</v>
      </c>
      <c r="D23" t="s">
        <v>74</v>
      </c>
      <c r="E23" t="s">
        <v>74</v>
      </c>
      <c r="F23" t="s">
        <v>580</v>
      </c>
      <c r="G23" t="s">
        <v>74</v>
      </c>
      <c r="H23" t="s">
        <v>74</v>
      </c>
      <c r="I23" t="s">
        <v>581</v>
      </c>
      <c r="J23" t="s">
        <v>582</v>
      </c>
      <c r="K23" t="s">
        <v>74</v>
      </c>
      <c r="L23" t="s">
        <v>74</v>
      </c>
      <c r="M23" t="s">
        <v>78</v>
      </c>
      <c r="N23" t="s">
        <v>523</v>
      </c>
      <c r="O23" t="s">
        <v>74</v>
      </c>
      <c r="P23" t="s">
        <v>74</v>
      </c>
      <c r="Q23" t="s">
        <v>74</v>
      </c>
      <c r="R23" t="s">
        <v>74</v>
      </c>
      <c r="S23" t="s">
        <v>74</v>
      </c>
      <c r="T23" t="s">
        <v>74</v>
      </c>
      <c r="U23" t="s">
        <v>74</v>
      </c>
      <c r="V23" t="s">
        <v>74</v>
      </c>
      <c r="W23" t="s">
        <v>583</v>
      </c>
      <c r="X23" t="s">
        <v>584</v>
      </c>
      <c r="Y23" t="s">
        <v>585</v>
      </c>
      <c r="Z23" t="s">
        <v>586</v>
      </c>
      <c r="AA23" t="s">
        <v>587</v>
      </c>
      <c r="AB23" t="s">
        <v>588</v>
      </c>
      <c r="AC23" t="s">
        <v>74</v>
      </c>
      <c r="AD23" t="s">
        <v>74</v>
      </c>
      <c r="AE23" t="s">
        <v>74</v>
      </c>
      <c r="AF23" t="s">
        <v>74</v>
      </c>
      <c r="AG23">
        <v>6</v>
      </c>
      <c r="AH23">
        <v>11</v>
      </c>
      <c r="AI23">
        <v>11</v>
      </c>
      <c r="AJ23">
        <v>0</v>
      </c>
      <c r="AK23">
        <v>6</v>
      </c>
      <c r="AL23" t="s">
        <v>589</v>
      </c>
      <c r="AM23" t="s">
        <v>433</v>
      </c>
      <c r="AN23" t="s">
        <v>590</v>
      </c>
      <c r="AO23" t="s">
        <v>591</v>
      </c>
      <c r="AP23" t="s">
        <v>74</v>
      </c>
      <c r="AQ23" t="s">
        <v>74</v>
      </c>
      <c r="AR23" t="s">
        <v>592</v>
      </c>
      <c r="AS23" t="s">
        <v>593</v>
      </c>
      <c r="AT23" t="s">
        <v>594</v>
      </c>
      <c r="AU23">
        <v>2009</v>
      </c>
      <c r="AV23">
        <v>339</v>
      </c>
      <c r="AW23" t="s">
        <v>74</v>
      </c>
      <c r="AX23" t="s">
        <v>74</v>
      </c>
      <c r="AY23" t="s">
        <v>74</v>
      </c>
      <c r="AZ23" t="s">
        <v>74</v>
      </c>
      <c r="BA23" t="s">
        <v>74</v>
      </c>
      <c r="BB23" t="s">
        <v>74</v>
      </c>
      <c r="BC23" t="s">
        <v>74</v>
      </c>
      <c r="BD23" t="s">
        <v>595</v>
      </c>
      <c r="BE23" t="s">
        <v>596</v>
      </c>
      <c r="BF23" t="str">
        <f>HYPERLINK("http://dx.doi.org/10.1136/bmj.b4965","http://dx.doi.org/10.1136/bmj.b4965")</f>
        <v>http://dx.doi.org/10.1136/bmj.b4965</v>
      </c>
      <c r="BG23" t="s">
        <v>74</v>
      </c>
      <c r="BH23" t="s">
        <v>74</v>
      </c>
      <c r="BI23">
        <v>4</v>
      </c>
      <c r="BJ23" t="s">
        <v>597</v>
      </c>
      <c r="BK23" t="s">
        <v>98</v>
      </c>
      <c r="BL23" t="s">
        <v>598</v>
      </c>
      <c r="BM23" t="s">
        <v>599</v>
      </c>
      <c r="BN23">
        <v>20008968</v>
      </c>
      <c r="BO23" t="s">
        <v>74</v>
      </c>
      <c r="BP23" t="s">
        <v>74</v>
      </c>
      <c r="BQ23" t="s">
        <v>74</v>
      </c>
      <c r="BR23" t="s">
        <v>101</v>
      </c>
      <c r="BS23" t="s">
        <v>600</v>
      </c>
      <c r="BT23" t="str">
        <f>HYPERLINK("https%3A%2F%2Fwww.webofscience.com%2Fwos%2Fwoscc%2Ffull-record%2FWOS:000272930200002","View Full Record in Web of Science")</f>
        <v>View Full Record in Web of Science</v>
      </c>
    </row>
    <row r="24" spans="1:72" x14ac:dyDescent="0.15">
      <c r="A24" t="s">
        <v>72</v>
      </c>
      <c r="B24" t="s">
        <v>601</v>
      </c>
      <c r="C24" t="s">
        <v>74</v>
      </c>
      <c r="D24" t="s">
        <v>74</v>
      </c>
      <c r="E24" t="s">
        <v>74</v>
      </c>
      <c r="F24" t="s">
        <v>602</v>
      </c>
      <c r="G24" t="s">
        <v>74</v>
      </c>
      <c r="H24" t="s">
        <v>74</v>
      </c>
      <c r="I24" t="s">
        <v>603</v>
      </c>
      <c r="J24" t="s">
        <v>604</v>
      </c>
      <c r="K24" t="s">
        <v>74</v>
      </c>
      <c r="L24" t="s">
        <v>74</v>
      </c>
      <c r="M24" t="s">
        <v>78</v>
      </c>
      <c r="N24" t="s">
        <v>79</v>
      </c>
      <c r="O24" t="s">
        <v>74</v>
      </c>
      <c r="P24" t="s">
        <v>74</v>
      </c>
      <c r="Q24" t="s">
        <v>74</v>
      </c>
      <c r="R24" t="s">
        <v>74</v>
      </c>
      <c r="S24" t="s">
        <v>74</v>
      </c>
      <c r="T24" t="s">
        <v>605</v>
      </c>
      <c r="U24" t="s">
        <v>606</v>
      </c>
      <c r="V24" t="s">
        <v>607</v>
      </c>
      <c r="W24" t="s">
        <v>608</v>
      </c>
      <c r="X24" t="s">
        <v>609</v>
      </c>
      <c r="Y24" t="s">
        <v>610</v>
      </c>
      <c r="Z24" t="s">
        <v>611</v>
      </c>
      <c r="AA24" t="s">
        <v>612</v>
      </c>
      <c r="AB24" t="s">
        <v>613</v>
      </c>
      <c r="AC24" t="s">
        <v>614</v>
      </c>
      <c r="AD24" t="s">
        <v>615</v>
      </c>
      <c r="AE24" t="s">
        <v>616</v>
      </c>
      <c r="AF24" t="s">
        <v>74</v>
      </c>
      <c r="AG24">
        <v>59</v>
      </c>
      <c r="AH24">
        <v>35</v>
      </c>
      <c r="AI24">
        <v>38</v>
      </c>
      <c r="AJ24">
        <v>2</v>
      </c>
      <c r="AK24">
        <v>48</v>
      </c>
      <c r="AL24" t="s">
        <v>617</v>
      </c>
      <c r="AM24" t="s">
        <v>618</v>
      </c>
      <c r="AN24" t="s">
        <v>619</v>
      </c>
      <c r="AO24" t="s">
        <v>620</v>
      </c>
      <c r="AP24" t="s">
        <v>74</v>
      </c>
      <c r="AQ24" t="s">
        <v>74</v>
      </c>
      <c r="AR24" t="s">
        <v>621</v>
      </c>
      <c r="AS24" t="s">
        <v>622</v>
      </c>
      <c r="AT24" t="s">
        <v>594</v>
      </c>
      <c r="AU24">
        <v>2009</v>
      </c>
      <c r="AV24">
        <v>212</v>
      </c>
      <c r="AW24">
        <v>24</v>
      </c>
      <c r="AX24" t="s">
        <v>74</v>
      </c>
      <c r="AY24" t="s">
        <v>74</v>
      </c>
      <c r="AZ24" t="s">
        <v>74</v>
      </c>
      <c r="BA24" t="s">
        <v>74</v>
      </c>
      <c r="BB24">
        <v>3977</v>
      </c>
      <c r="BC24">
        <v>3984</v>
      </c>
      <c r="BD24" t="s">
        <v>74</v>
      </c>
      <c r="BE24" t="s">
        <v>623</v>
      </c>
      <c r="BF24" t="str">
        <f>HYPERLINK("http://dx.doi.org/10.1242/jeb.033282","http://dx.doi.org/10.1242/jeb.033282")</f>
        <v>http://dx.doi.org/10.1242/jeb.033282</v>
      </c>
      <c r="BG24" t="s">
        <v>74</v>
      </c>
      <c r="BH24" t="s">
        <v>74</v>
      </c>
      <c r="BI24">
        <v>8</v>
      </c>
      <c r="BJ24" t="s">
        <v>624</v>
      </c>
      <c r="BK24" t="s">
        <v>98</v>
      </c>
      <c r="BL24" t="s">
        <v>625</v>
      </c>
      <c r="BM24" t="s">
        <v>626</v>
      </c>
      <c r="BN24">
        <v>19946075</v>
      </c>
      <c r="BO24" t="s">
        <v>627</v>
      </c>
      <c r="BP24" t="s">
        <v>74</v>
      </c>
      <c r="BQ24" t="s">
        <v>74</v>
      </c>
      <c r="BR24" t="s">
        <v>101</v>
      </c>
      <c r="BS24" t="s">
        <v>628</v>
      </c>
      <c r="BT24" t="str">
        <f>HYPERLINK("https%3A%2F%2Fwww.webofscience.com%2Fwos%2Fwoscc%2Ffull-record%2FWOS:000272156500010","View Full Record in Web of Science")</f>
        <v>View Full Record in Web of Science</v>
      </c>
    </row>
    <row r="25" spans="1:72" x14ac:dyDescent="0.15">
      <c r="A25" t="s">
        <v>72</v>
      </c>
      <c r="B25" t="s">
        <v>629</v>
      </c>
      <c r="C25" t="s">
        <v>74</v>
      </c>
      <c r="D25" t="s">
        <v>74</v>
      </c>
      <c r="E25" t="s">
        <v>74</v>
      </c>
      <c r="F25" t="s">
        <v>630</v>
      </c>
      <c r="G25" t="s">
        <v>74</v>
      </c>
      <c r="H25" t="s">
        <v>74</v>
      </c>
      <c r="I25" t="s">
        <v>631</v>
      </c>
      <c r="J25" t="s">
        <v>632</v>
      </c>
      <c r="K25" t="s">
        <v>74</v>
      </c>
      <c r="L25" t="s">
        <v>74</v>
      </c>
      <c r="M25" t="s">
        <v>78</v>
      </c>
      <c r="N25" t="s">
        <v>79</v>
      </c>
      <c r="O25" t="s">
        <v>74</v>
      </c>
      <c r="P25" t="s">
        <v>74</v>
      </c>
      <c r="Q25" t="s">
        <v>74</v>
      </c>
      <c r="R25" t="s">
        <v>74</v>
      </c>
      <c r="S25" t="s">
        <v>74</v>
      </c>
      <c r="T25" t="s">
        <v>633</v>
      </c>
      <c r="U25" t="s">
        <v>634</v>
      </c>
      <c r="V25" t="s">
        <v>635</v>
      </c>
      <c r="W25" t="s">
        <v>636</v>
      </c>
      <c r="X25" t="s">
        <v>637</v>
      </c>
      <c r="Y25" t="s">
        <v>638</v>
      </c>
      <c r="Z25" t="s">
        <v>639</v>
      </c>
      <c r="AA25" t="s">
        <v>74</v>
      </c>
      <c r="AB25" t="s">
        <v>74</v>
      </c>
      <c r="AC25" t="s">
        <v>640</v>
      </c>
      <c r="AD25" t="s">
        <v>640</v>
      </c>
      <c r="AE25" t="s">
        <v>641</v>
      </c>
      <c r="AF25" t="s">
        <v>74</v>
      </c>
      <c r="AG25">
        <v>47</v>
      </c>
      <c r="AH25">
        <v>13</v>
      </c>
      <c r="AI25">
        <v>14</v>
      </c>
      <c r="AJ25">
        <v>0</v>
      </c>
      <c r="AK25">
        <v>28</v>
      </c>
      <c r="AL25" t="s">
        <v>280</v>
      </c>
      <c r="AM25" t="s">
        <v>281</v>
      </c>
      <c r="AN25" t="s">
        <v>282</v>
      </c>
      <c r="AO25" t="s">
        <v>642</v>
      </c>
      <c r="AP25" t="s">
        <v>643</v>
      </c>
      <c r="AQ25" t="s">
        <v>74</v>
      </c>
      <c r="AR25" t="s">
        <v>644</v>
      </c>
      <c r="AS25" t="s">
        <v>645</v>
      </c>
      <c r="AT25" t="s">
        <v>594</v>
      </c>
      <c r="AU25">
        <v>2009</v>
      </c>
      <c r="AV25">
        <v>381</v>
      </c>
      <c r="AW25">
        <v>2</v>
      </c>
      <c r="AX25" t="s">
        <v>74</v>
      </c>
      <c r="AY25" t="s">
        <v>74</v>
      </c>
      <c r="AZ25" t="s">
        <v>74</v>
      </c>
      <c r="BA25" t="s">
        <v>74</v>
      </c>
      <c r="BB25">
        <v>82</v>
      </c>
      <c r="BC25">
        <v>89</v>
      </c>
      <c r="BD25" t="s">
        <v>74</v>
      </c>
      <c r="BE25" t="s">
        <v>646</v>
      </c>
      <c r="BF25" t="str">
        <f>HYPERLINK("http://dx.doi.org/10.1016/j.jembe.2009.09.019","http://dx.doi.org/10.1016/j.jembe.2009.09.019")</f>
        <v>http://dx.doi.org/10.1016/j.jembe.2009.09.019</v>
      </c>
      <c r="BG25" t="s">
        <v>74</v>
      </c>
      <c r="BH25" t="s">
        <v>74</v>
      </c>
      <c r="BI25">
        <v>8</v>
      </c>
      <c r="BJ25" t="s">
        <v>647</v>
      </c>
      <c r="BK25" t="s">
        <v>98</v>
      </c>
      <c r="BL25" t="s">
        <v>648</v>
      </c>
      <c r="BM25" t="s">
        <v>649</v>
      </c>
      <c r="BN25" t="s">
        <v>74</v>
      </c>
      <c r="BO25" t="s">
        <v>74</v>
      </c>
      <c r="BP25" t="s">
        <v>74</v>
      </c>
      <c r="BQ25" t="s">
        <v>74</v>
      </c>
      <c r="BR25" t="s">
        <v>101</v>
      </c>
      <c r="BS25" t="s">
        <v>650</v>
      </c>
      <c r="BT25" t="str">
        <f>HYPERLINK("https%3A%2F%2Fwww.webofscience.com%2Fwos%2Fwoscc%2Ffull-record%2FWOS:000272263500003","View Full Record in Web of Science")</f>
        <v>View Full Record in Web of Science</v>
      </c>
    </row>
    <row r="26" spans="1:72" x14ac:dyDescent="0.15">
      <c r="A26" t="s">
        <v>72</v>
      </c>
      <c r="B26" t="s">
        <v>651</v>
      </c>
      <c r="C26" t="s">
        <v>74</v>
      </c>
      <c r="D26" t="s">
        <v>74</v>
      </c>
      <c r="E26" t="s">
        <v>74</v>
      </c>
      <c r="F26" t="s">
        <v>652</v>
      </c>
      <c r="G26" t="s">
        <v>74</v>
      </c>
      <c r="H26" t="s">
        <v>74</v>
      </c>
      <c r="I26" t="s">
        <v>653</v>
      </c>
      <c r="J26" t="s">
        <v>472</v>
      </c>
      <c r="K26" t="s">
        <v>74</v>
      </c>
      <c r="L26" t="s">
        <v>74</v>
      </c>
      <c r="M26" t="s">
        <v>78</v>
      </c>
      <c r="N26" t="s">
        <v>79</v>
      </c>
      <c r="O26" t="s">
        <v>74</v>
      </c>
      <c r="P26" t="s">
        <v>74</v>
      </c>
      <c r="Q26" t="s">
        <v>74</v>
      </c>
      <c r="R26" t="s">
        <v>74</v>
      </c>
      <c r="S26" t="s">
        <v>74</v>
      </c>
      <c r="T26" t="s">
        <v>74</v>
      </c>
      <c r="U26" t="s">
        <v>654</v>
      </c>
      <c r="V26" t="s">
        <v>655</v>
      </c>
      <c r="W26" t="s">
        <v>656</v>
      </c>
      <c r="X26" t="s">
        <v>657</v>
      </c>
      <c r="Y26" t="s">
        <v>658</v>
      </c>
      <c r="Z26" t="s">
        <v>659</v>
      </c>
      <c r="AA26" t="s">
        <v>74</v>
      </c>
      <c r="AB26" t="s">
        <v>660</v>
      </c>
      <c r="AC26" t="s">
        <v>661</v>
      </c>
      <c r="AD26" t="s">
        <v>662</v>
      </c>
      <c r="AE26" t="s">
        <v>663</v>
      </c>
      <c r="AF26" t="s">
        <v>74</v>
      </c>
      <c r="AG26">
        <v>18</v>
      </c>
      <c r="AH26">
        <v>19</v>
      </c>
      <c r="AI26">
        <v>20</v>
      </c>
      <c r="AJ26">
        <v>1</v>
      </c>
      <c r="AK26">
        <v>12</v>
      </c>
      <c r="AL26" t="s">
        <v>226</v>
      </c>
      <c r="AM26" t="s">
        <v>227</v>
      </c>
      <c r="AN26" t="s">
        <v>228</v>
      </c>
      <c r="AO26" t="s">
        <v>483</v>
      </c>
      <c r="AP26" t="s">
        <v>484</v>
      </c>
      <c r="AQ26" t="s">
        <v>74</v>
      </c>
      <c r="AR26" t="s">
        <v>472</v>
      </c>
      <c r="AS26" t="s">
        <v>485</v>
      </c>
      <c r="AT26" t="s">
        <v>594</v>
      </c>
      <c r="AU26">
        <v>2009</v>
      </c>
      <c r="AV26">
        <v>24</v>
      </c>
      <c r="AW26" t="s">
        <v>74</v>
      </c>
      <c r="AX26" t="s">
        <v>74</v>
      </c>
      <c r="AY26" t="s">
        <v>74</v>
      </c>
      <c r="AZ26" t="s">
        <v>74</v>
      </c>
      <c r="BA26" t="s">
        <v>74</v>
      </c>
      <c r="BB26" t="s">
        <v>74</v>
      </c>
      <c r="BC26" t="s">
        <v>74</v>
      </c>
      <c r="BD26" t="s">
        <v>664</v>
      </c>
      <c r="BE26" t="s">
        <v>665</v>
      </c>
      <c r="BF26" t="str">
        <f>HYPERLINK("http://dx.doi.org/10.1029/2008PA001727","http://dx.doi.org/10.1029/2008PA001727")</f>
        <v>http://dx.doi.org/10.1029/2008PA001727</v>
      </c>
      <c r="BG26" t="s">
        <v>74</v>
      </c>
      <c r="BH26" t="s">
        <v>74</v>
      </c>
      <c r="BI26">
        <v>6</v>
      </c>
      <c r="BJ26" t="s">
        <v>488</v>
      </c>
      <c r="BK26" t="s">
        <v>98</v>
      </c>
      <c r="BL26" t="s">
        <v>489</v>
      </c>
      <c r="BM26" t="s">
        <v>666</v>
      </c>
      <c r="BN26" t="s">
        <v>74</v>
      </c>
      <c r="BO26" t="s">
        <v>467</v>
      </c>
      <c r="BP26" t="s">
        <v>74</v>
      </c>
      <c r="BQ26" t="s">
        <v>74</v>
      </c>
      <c r="BR26" t="s">
        <v>101</v>
      </c>
      <c r="BS26" t="s">
        <v>667</v>
      </c>
      <c r="BT26" t="str">
        <f>HYPERLINK("https%3A%2F%2Fwww.webofscience.com%2Fwos%2Fwoscc%2Ffull-record%2FWOS:000272947400002","View Full Record in Web of Science")</f>
        <v>View Full Record in Web of Science</v>
      </c>
    </row>
    <row r="27" spans="1:72" x14ac:dyDescent="0.15">
      <c r="A27" t="s">
        <v>72</v>
      </c>
      <c r="B27" t="s">
        <v>668</v>
      </c>
      <c r="C27" t="s">
        <v>74</v>
      </c>
      <c r="D27" t="s">
        <v>74</v>
      </c>
      <c r="E27" t="s">
        <v>74</v>
      </c>
      <c r="F27" t="s">
        <v>669</v>
      </c>
      <c r="G27" t="s">
        <v>74</v>
      </c>
      <c r="H27" t="s">
        <v>74</v>
      </c>
      <c r="I27" t="s">
        <v>670</v>
      </c>
      <c r="J27" t="s">
        <v>671</v>
      </c>
      <c r="K27" t="s">
        <v>74</v>
      </c>
      <c r="L27" t="s">
        <v>74</v>
      </c>
      <c r="M27" t="s">
        <v>78</v>
      </c>
      <c r="N27" t="s">
        <v>79</v>
      </c>
      <c r="O27" t="s">
        <v>74</v>
      </c>
      <c r="P27" t="s">
        <v>74</v>
      </c>
      <c r="Q27" t="s">
        <v>74</v>
      </c>
      <c r="R27" t="s">
        <v>74</v>
      </c>
      <c r="S27" t="s">
        <v>74</v>
      </c>
      <c r="T27" t="s">
        <v>672</v>
      </c>
      <c r="U27" t="s">
        <v>673</v>
      </c>
      <c r="V27" t="s">
        <v>674</v>
      </c>
      <c r="W27" t="s">
        <v>675</v>
      </c>
      <c r="X27" t="s">
        <v>676</v>
      </c>
      <c r="Y27" t="s">
        <v>677</v>
      </c>
      <c r="Z27" t="s">
        <v>678</v>
      </c>
      <c r="AA27" t="s">
        <v>679</v>
      </c>
      <c r="AB27" t="s">
        <v>680</v>
      </c>
      <c r="AC27" t="s">
        <v>681</v>
      </c>
      <c r="AD27" t="s">
        <v>681</v>
      </c>
      <c r="AE27" t="s">
        <v>682</v>
      </c>
      <c r="AF27" t="s">
        <v>74</v>
      </c>
      <c r="AG27">
        <v>30</v>
      </c>
      <c r="AH27">
        <v>24</v>
      </c>
      <c r="AI27">
        <v>25</v>
      </c>
      <c r="AJ27">
        <v>0</v>
      </c>
      <c r="AK27">
        <v>13</v>
      </c>
      <c r="AL27" t="s">
        <v>683</v>
      </c>
      <c r="AM27" t="s">
        <v>684</v>
      </c>
      <c r="AN27" t="s">
        <v>685</v>
      </c>
      <c r="AO27" t="s">
        <v>686</v>
      </c>
      <c r="AP27" t="s">
        <v>687</v>
      </c>
      <c r="AQ27" t="s">
        <v>74</v>
      </c>
      <c r="AR27" t="s">
        <v>688</v>
      </c>
      <c r="AS27" t="s">
        <v>689</v>
      </c>
      <c r="AT27" t="s">
        <v>594</v>
      </c>
      <c r="AU27">
        <v>2009</v>
      </c>
      <c r="AV27">
        <v>113</v>
      </c>
      <c r="AW27">
        <v>12</v>
      </c>
      <c r="AX27" t="s">
        <v>74</v>
      </c>
      <c r="AY27" t="s">
        <v>74</v>
      </c>
      <c r="AZ27" t="s">
        <v>74</v>
      </c>
      <c r="BA27" t="s">
        <v>74</v>
      </c>
      <c r="BB27">
        <v>2633</v>
      </c>
      <c r="BC27">
        <v>2641</v>
      </c>
      <c r="BD27" t="s">
        <v>74</v>
      </c>
      <c r="BE27" t="s">
        <v>690</v>
      </c>
      <c r="BF27" t="str">
        <f>HYPERLINK("http://dx.doi.org/10.1016/j.rse.2009.07.019","http://dx.doi.org/10.1016/j.rse.2009.07.019")</f>
        <v>http://dx.doi.org/10.1016/j.rse.2009.07.019</v>
      </c>
      <c r="BG27" t="s">
        <v>74</v>
      </c>
      <c r="BH27" t="s">
        <v>74</v>
      </c>
      <c r="BI27">
        <v>9</v>
      </c>
      <c r="BJ27" t="s">
        <v>691</v>
      </c>
      <c r="BK27" t="s">
        <v>98</v>
      </c>
      <c r="BL27" t="s">
        <v>692</v>
      </c>
      <c r="BM27" t="s">
        <v>693</v>
      </c>
      <c r="BN27" t="s">
        <v>74</v>
      </c>
      <c r="BO27" t="s">
        <v>74</v>
      </c>
      <c r="BP27" t="s">
        <v>74</v>
      </c>
      <c r="BQ27" t="s">
        <v>74</v>
      </c>
      <c r="BR27" t="s">
        <v>101</v>
      </c>
      <c r="BS27" t="s">
        <v>694</v>
      </c>
      <c r="BT27" t="str">
        <f>HYPERLINK("https%3A%2F%2Fwww.webofscience.com%2Fwos%2Fwoscc%2Ffull-record%2FWOS:000271771300008","View Full Record in Web of Science")</f>
        <v>View Full Record in Web of Science</v>
      </c>
    </row>
    <row r="28" spans="1:72" x14ac:dyDescent="0.15">
      <c r="A28" t="s">
        <v>72</v>
      </c>
      <c r="B28" t="s">
        <v>695</v>
      </c>
      <c r="C28" t="s">
        <v>74</v>
      </c>
      <c r="D28" t="s">
        <v>74</v>
      </c>
      <c r="E28" t="s">
        <v>74</v>
      </c>
      <c r="F28" t="s">
        <v>696</v>
      </c>
      <c r="G28" t="s">
        <v>74</v>
      </c>
      <c r="H28" t="s">
        <v>74</v>
      </c>
      <c r="I28" t="s">
        <v>697</v>
      </c>
      <c r="J28" t="s">
        <v>698</v>
      </c>
      <c r="K28" t="s">
        <v>74</v>
      </c>
      <c r="L28" t="s">
        <v>74</v>
      </c>
      <c r="M28" t="s">
        <v>78</v>
      </c>
      <c r="N28" t="s">
        <v>79</v>
      </c>
      <c r="O28" t="s">
        <v>74</v>
      </c>
      <c r="P28" t="s">
        <v>74</v>
      </c>
      <c r="Q28" t="s">
        <v>74</v>
      </c>
      <c r="R28" t="s">
        <v>74</v>
      </c>
      <c r="S28" t="s">
        <v>74</v>
      </c>
      <c r="T28" t="s">
        <v>699</v>
      </c>
      <c r="U28" t="s">
        <v>700</v>
      </c>
      <c r="V28" t="s">
        <v>701</v>
      </c>
      <c r="W28" t="s">
        <v>702</v>
      </c>
      <c r="X28" t="s">
        <v>703</v>
      </c>
      <c r="Y28" t="s">
        <v>704</v>
      </c>
      <c r="Z28" t="s">
        <v>705</v>
      </c>
      <c r="AA28" t="s">
        <v>706</v>
      </c>
      <c r="AB28" t="s">
        <v>74</v>
      </c>
      <c r="AC28" t="s">
        <v>707</v>
      </c>
      <c r="AD28" t="s">
        <v>708</v>
      </c>
      <c r="AE28" t="s">
        <v>709</v>
      </c>
      <c r="AF28" t="s">
        <v>74</v>
      </c>
      <c r="AG28">
        <v>31</v>
      </c>
      <c r="AH28">
        <v>6</v>
      </c>
      <c r="AI28">
        <v>9</v>
      </c>
      <c r="AJ28">
        <v>0</v>
      </c>
      <c r="AK28">
        <v>12</v>
      </c>
      <c r="AL28" t="s">
        <v>305</v>
      </c>
      <c r="AM28" t="s">
        <v>281</v>
      </c>
      <c r="AN28" t="s">
        <v>306</v>
      </c>
      <c r="AO28" t="s">
        <v>710</v>
      </c>
      <c r="AP28" t="s">
        <v>711</v>
      </c>
      <c r="AQ28" t="s">
        <v>74</v>
      </c>
      <c r="AR28" t="s">
        <v>698</v>
      </c>
      <c r="AS28" t="s">
        <v>712</v>
      </c>
      <c r="AT28" t="s">
        <v>594</v>
      </c>
      <c r="AU28">
        <v>2009</v>
      </c>
      <c r="AV28">
        <v>80</v>
      </c>
      <c r="AW28">
        <v>2</v>
      </c>
      <c r="AX28" t="s">
        <v>74</v>
      </c>
      <c r="AY28" t="s">
        <v>74</v>
      </c>
      <c r="AZ28" t="s">
        <v>74</v>
      </c>
      <c r="BA28" t="s">
        <v>74</v>
      </c>
      <c r="BB28">
        <v>959</v>
      </c>
      <c r="BC28">
        <v>966</v>
      </c>
      <c r="BD28" t="s">
        <v>74</v>
      </c>
      <c r="BE28" t="s">
        <v>713</v>
      </c>
      <c r="BF28" t="str">
        <f>HYPERLINK("http://dx.doi.org/10.1016/j.talanta.2009.08.021","http://dx.doi.org/10.1016/j.talanta.2009.08.021")</f>
        <v>http://dx.doi.org/10.1016/j.talanta.2009.08.021</v>
      </c>
      <c r="BG28" t="s">
        <v>74</v>
      </c>
      <c r="BH28" t="s">
        <v>74</v>
      </c>
      <c r="BI28">
        <v>8</v>
      </c>
      <c r="BJ28" t="s">
        <v>714</v>
      </c>
      <c r="BK28" t="s">
        <v>98</v>
      </c>
      <c r="BL28" t="s">
        <v>715</v>
      </c>
      <c r="BM28" t="s">
        <v>716</v>
      </c>
      <c r="BN28">
        <v>19836579</v>
      </c>
      <c r="BO28" t="s">
        <v>74</v>
      </c>
      <c r="BP28" t="s">
        <v>74</v>
      </c>
      <c r="BQ28" t="s">
        <v>74</v>
      </c>
      <c r="BR28" t="s">
        <v>101</v>
      </c>
      <c r="BS28" t="s">
        <v>717</v>
      </c>
      <c r="BT28" t="str">
        <f>HYPERLINK("https%3A%2F%2Fwww.webofscience.com%2Fwos%2Fwoscc%2Ffull-record%2FWOS:000271701900083","View Full Record in Web of Science")</f>
        <v>View Full Record in Web of Science</v>
      </c>
    </row>
    <row r="29" spans="1:72" x14ac:dyDescent="0.15">
      <c r="A29" t="s">
        <v>72</v>
      </c>
      <c r="B29" t="s">
        <v>718</v>
      </c>
      <c r="C29" t="s">
        <v>74</v>
      </c>
      <c r="D29" t="s">
        <v>74</v>
      </c>
      <c r="E29" t="s">
        <v>74</v>
      </c>
      <c r="F29" t="s">
        <v>719</v>
      </c>
      <c r="G29" t="s">
        <v>74</v>
      </c>
      <c r="H29" t="s">
        <v>74</v>
      </c>
      <c r="I29" t="s">
        <v>720</v>
      </c>
      <c r="J29" t="s">
        <v>721</v>
      </c>
      <c r="K29" t="s">
        <v>74</v>
      </c>
      <c r="L29" t="s">
        <v>74</v>
      </c>
      <c r="M29" t="s">
        <v>78</v>
      </c>
      <c r="N29" t="s">
        <v>79</v>
      </c>
      <c r="O29" t="s">
        <v>74</v>
      </c>
      <c r="P29" t="s">
        <v>74</v>
      </c>
      <c r="Q29" t="s">
        <v>74</v>
      </c>
      <c r="R29" t="s">
        <v>74</v>
      </c>
      <c r="S29" t="s">
        <v>74</v>
      </c>
      <c r="T29" t="s">
        <v>74</v>
      </c>
      <c r="U29" t="s">
        <v>722</v>
      </c>
      <c r="V29" t="s">
        <v>723</v>
      </c>
      <c r="W29" t="s">
        <v>724</v>
      </c>
      <c r="X29" t="s">
        <v>725</v>
      </c>
      <c r="Y29" t="s">
        <v>726</v>
      </c>
      <c r="Z29" t="s">
        <v>727</v>
      </c>
      <c r="AA29" t="s">
        <v>74</v>
      </c>
      <c r="AB29" t="s">
        <v>728</v>
      </c>
      <c r="AC29" t="s">
        <v>729</v>
      </c>
      <c r="AD29" t="s">
        <v>730</v>
      </c>
      <c r="AE29" t="s">
        <v>74</v>
      </c>
      <c r="AF29" t="s">
        <v>74</v>
      </c>
      <c r="AG29">
        <v>25</v>
      </c>
      <c r="AH29">
        <v>15</v>
      </c>
      <c r="AI29">
        <v>15</v>
      </c>
      <c r="AJ29">
        <v>0</v>
      </c>
      <c r="AK29">
        <v>5</v>
      </c>
      <c r="AL29" t="s">
        <v>226</v>
      </c>
      <c r="AM29" t="s">
        <v>227</v>
      </c>
      <c r="AN29" t="s">
        <v>228</v>
      </c>
      <c r="AO29" t="s">
        <v>731</v>
      </c>
      <c r="AP29" t="s">
        <v>732</v>
      </c>
      <c r="AQ29" t="s">
        <v>74</v>
      </c>
      <c r="AR29" t="s">
        <v>733</v>
      </c>
      <c r="AS29" t="s">
        <v>734</v>
      </c>
      <c r="AT29" t="s">
        <v>735</v>
      </c>
      <c r="AU29">
        <v>2009</v>
      </c>
      <c r="AV29">
        <v>36</v>
      </c>
      <c r="AW29" t="s">
        <v>74</v>
      </c>
      <c r="AX29" t="s">
        <v>74</v>
      </c>
      <c r="AY29" t="s">
        <v>74</v>
      </c>
      <c r="AZ29" t="s">
        <v>74</v>
      </c>
      <c r="BA29" t="s">
        <v>74</v>
      </c>
      <c r="BB29" t="s">
        <v>74</v>
      </c>
      <c r="BC29" t="s">
        <v>74</v>
      </c>
      <c r="BD29" t="s">
        <v>736</v>
      </c>
      <c r="BE29" t="s">
        <v>737</v>
      </c>
      <c r="BF29" t="str">
        <f>HYPERLINK("http://dx.doi.org/10.1029/2009GL041371","http://dx.doi.org/10.1029/2009GL041371")</f>
        <v>http://dx.doi.org/10.1029/2009GL041371</v>
      </c>
      <c r="BG29" t="s">
        <v>74</v>
      </c>
      <c r="BH29" t="s">
        <v>74</v>
      </c>
      <c r="BI29">
        <v>5</v>
      </c>
      <c r="BJ29" t="s">
        <v>464</v>
      </c>
      <c r="BK29" t="s">
        <v>98</v>
      </c>
      <c r="BL29" t="s">
        <v>465</v>
      </c>
      <c r="BM29" t="s">
        <v>738</v>
      </c>
      <c r="BN29" t="s">
        <v>74</v>
      </c>
      <c r="BO29" t="s">
        <v>577</v>
      </c>
      <c r="BP29" t="s">
        <v>74</v>
      </c>
      <c r="BQ29" t="s">
        <v>74</v>
      </c>
      <c r="BR29" t="s">
        <v>101</v>
      </c>
      <c r="BS29" t="s">
        <v>739</v>
      </c>
      <c r="BT29" t="str">
        <f>HYPERLINK("https%3A%2F%2Fwww.webofscience.com%2Fwos%2Fwoscc%2Ffull-record%2FWOS:000272714100005","View Full Record in Web of Science")</f>
        <v>View Full Record in Web of Science</v>
      </c>
    </row>
    <row r="30" spans="1:72" x14ac:dyDescent="0.15">
      <c r="A30" t="s">
        <v>72</v>
      </c>
      <c r="B30" t="s">
        <v>740</v>
      </c>
      <c r="C30" t="s">
        <v>74</v>
      </c>
      <c r="D30" t="s">
        <v>74</v>
      </c>
      <c r="E30" t="s">
        <v>74</v>
      </c>
      <c r="F30" t="s">
        <v>741</v>
      </c>
      <c r="G30" t="s">
        <v>74</v>
      </c>
      <c r="H30" t="s">
        <v>74</v>
      </c>
      <c r="I30" t="s">
        <v>742</v>
      </c>
      <c r="J30" t="s">
        <v>743</v>
      </c>
      <c r="K30" t="s">
        <v>74</v>
      </c>
      <c r="L30" t="s">
        <v>74</v>
      </c>
      <c r="M30" t="s">
        <v>78</v>
      </c>
      <c r="N30" t="s">
        <v>79</v>
      </c>
      <c r="O30" t="s">
        <v>74</v>
      </c>
      <c r="P30" t="s">
        <v>74</v>
      </c>
      <c r="Q30" t="s">
        <v>74</v>
      </c>
      <c r="R30" t="s">
        <v>74</v>
      </c>
      <c r="S30" t="s">
        <v>74</v>
      </c>
      <c r="T30" t="s">
        <v>744</v>
      </c>
      <c r="U30" t="s">
        <v>745</v>
      </c>
      <c r="V30" t="s">
        <v>746</v>
      </c>
      <c r="W30" t="s">
        <v>747</v>
      </c>
      <c r="X30" t="s">
        <v>748</v>
      </c>
      <c r="Y30" t="s">
        <v>749</v>
      </c>
      <c r="Z30" t="s">
        <v>750</v>
      </c>
      <c r="AA30" t="s">
        <v>751</v>
      </c>
      <c r="AB30" t="s">
        <v>752</v>
      </c>
      <c r="AC30" t="s">
        <v>753</v>
      </c>
      <c r="AD30" t="s">
        <v>754</v>
      </c>
      <c r="AE30" t="s">
        <v>755</v>
      </c>
      <c r="AF30" t="s">
        <v>74</v>
      </c>
      <c r="AG30">
        <v>32</v>
      </c>
      <c r="AH30">
        <v>11</v>
      </c>
      <c r="AI30">
        <v>17</v>
      </c>
      <c r="AJ30">
        <v>0</v>
      </c>
      <c r="AK30">
        <v>11</v>
      </c>
      <c r="AL30" t="s">
        <v>683</v>
      </c>
      <c r="AM30" t="s">
        <v>684</v>
      </c>
      <c r="AN30" t="s">
        <v>685</v>
      </c>
      <c r="AO30" t="s">
        <v>756</v>
      </c>
      <c r="AP30" t="s">
        <v>757</v>
      </c>
      <c r="AQ30" t="s">
        <v>74</v>
      </c>
      <c r="AR30" t="s">
        <v>758</v>
      </c>
      <c r="AS30" t="s">
        <v>759</v>
      </c>
      <c r="AT30" t="s">
        <v>760</v>
      </c>
      <c r="AU30">
        <v>2009</v>
      </c>
      <c r="AV30">
        <v>19</v>
      </c>
      <c r="AW30">
        <v>12</v>
      </c>
      <c r="AX30" t="s">
        <v>74</v>
      </c>
      <c r="AY30" t="s">
        <v>74</v>
      </c>
      <c r="AZ30" t="s">
        <v>74</v>
      </c>
      <c r="BA30" t="s">
        <v>74</v>
      </c>
      <c r="BB30">
        <v>1843</v>
      </c>
      <c r="BC30">
        <v>1849</v>
      </c>
      <c r="BD30" t="s">
        <v>74</v>
      </c>
      <c r="BE30" t="s">
        <v>761</v>
      </c>
      <c r="BF30" t="str">
        <f>HYPERLINK("http://dx.doi.org/10.1016/j.pnsc.2009.07.012","http://dx.doi.org/10.1016/j.pnsc.2009.07.012")</f>
        <v>http://dx.doi.org/10.1016/j.pnsc.2009.07.012</v>
      </c>
      <c r="BG30" t="s">
        <v>74</v>
      </c>
      <c r="BH30" t="s">
        <v>74</v>
      </c>
      <c r="BI30">
        <v>7</v>
      </c>
      <c r="BJ30" t="s">
        <v>762</v>
      </c>
      <c r="BK30" t="s">
        <v>98</v>
      </c>
      <c r="BL30" t="s">
        <v>763</v>
      </c>
      <c r="BM30" t="s">
        <v>764</v>
      </c>
      <c r="BN30" t="s">
        <v>74</v>
      </c>
      <c r="BO30" t="s">
        <v>765</v>
      </c>
      <c r="BP30" t="s">
        <v>74</v>
      </c>
      <c r="BQ30" t="s">
        <v>74</v>
      </c>
      <c r="BR30" t="s">
        <v>101</v>
      </c>
      <c r="BS30" t="s">
        <v>766</v>
      </c>
      <c r="BT30" t="str">
        <f>HYPERLINK("https%3A%2F%2Fwww.webofscience.com%2Fwos%2Fwoscc%2Ffull-record%2FWOS:000271902400023","View Full Record in Web of Science")</f>
        <v>View Full Record in Web of Science</v>
      </c>
    </row>
    <row r="31" spans="1:72" x14ac:dyDescent="0.15">
      <c r="A31" t="s">
        <v>72</v>
      </c>
      <c r="B31" t="s">
        <v>767</v>
      </c>
      <c r="C31" t="s">
        <v>74</v>
      </c>
      <c r="D31" t="s">
        <v>74</v>
      </c>
      <c r="E31" t="s">
        <v>74</v>
      </c>
      <c r="F31" t="s">
        <v>768</v>
      </c>
      <c r="G31" t="s">
        <v>74</v>
      </c>
      <c r="H31" t="s">
        <v>74</v>
      </c>
      <c r="I31" t="s">
        <v>769</v>
      </c>
      <c r="J31" t="s">
        <v>721</v>
      </c>
      <c r="K31" t="s">
        <v>74</v>
      </c>
      <c r="L31" t="s">
        <v>74</v>
      </c>
      <c r="M31" t="s">
        <v>78</v>
      </c>
      <c r="N31" t="s">
        <v>79</v>
      </c>
      <c r="O31" t="s">
        <v>74</v>
      </c>
      <c r="P31" t="s">
        <v>74</v>
      </c>
      <c r="Q31" t="s">
        <v>74</v>
      </c>
      <c r="R31" t="s">
        <v>74</v>
      </c>
      <c r="S31" t="s">
        <v>74</v>
      </c>
      <c r="T31" t="s">
        <v>74</v>
      </c>
      <c r="U31" t="s">
        <v>770</v>
      </c>
      <c r="V31" t="s">
        <v>771</v>
      </c>
      <c r="W31" t="s">
        <v>772</v>
      </c>
      <c r="X31" t="s">
        <v>773</v>
      </c>
      <c r="Y31" t="s">
        <v>774</v>
      </c>
      <c r="Z31" t="s">
        <v>775</v>
      </c>
      <c r="AA31" t="s">
        <v>776</v>
      </c>
      <c r="AB31" t="s">
        <v>777</v>
      </c>
      <c r="AC31" t="s">
        <v>778</v>
      </c>
      <c r="AD31" t="s">
        <v>779</v>
      </c>
      <c r="AE31" t="s">
        <v>780</v>
      </c>
      <c r="AF31" t="s">
        <v>74</v>
      </c>
      <c r="AG31">
        <v>24</v>
      </c>
      <c r="AH31">
        <v>20</v>
      </c>
      <c r="AI31">
        <v>25</v>
      </c>
      <c r="AJ31">
        <v>0</v>
      </c>
      <c r="AK31">
        <v>3</v>
      </c>
      <c r="AL31" t="s">
        <v>226</v>
      </c>
      <c r="AM31" t="s">
        <v>227</v>
      </c>
      <c r="AN31" t="s">
        <v>228</v>
      </c>
      <c r="AO31" t="s">
        <v>731</v>
      </c>
      <c r="AP31" t="s">
        <v>74</v>
      </c>
      <c r="AQ31" t="s">
        <v>74</v>
      </c>
      <c r="AR31" t="s">
        <v>733</v>
      </c>
      <c r="AS31" t="s">
        <v>734</v>
      </c>
      <c r="AT31" t="s">
        <v>781</v>
      </c>
      <c r="AU31">
        <v>2009</v>
      </c>
      <c r="AV31">
        <v>36</v>
      </c>
      <c r="AW31" t="s">
        <v>74</v>
      </c>
      <c r="AX31" t="s">
        <v>74</v>
      </c>
      <c r="AY31" t="s">
        <v>74</v>
      </c>
      <c r="AZ31" t="s">
        <v>74</v>
      </c>
      <c r="BA31" t="s">
        <v>74</v>
      </c>
      <c r="BB31" t="s">
        <v>74</v>
      </c>
      <c r="BC31" t="s">
        <v>74</v>
      </c>
      <c r="BD31" t="s">
        <v>782</v>
      </c>
      <c r="BE31" t="s">
        <v>783</v>
      </c>
      <c r="BF31" t="str">
        <f>HYPERLINK("http://dx.doi.org/10.1029/2009GL041347","http://dx.doi.org/10.1029/2009GL041347")</f>
        <v>http://dx.doi.org/10.1029/2009GL041347</v>
      </c>
      <c r="BG31" t="s">
        <v>74</v>
      </c>
      <c r="BH31" t="s">
        <v>74</v>
      </c>
      <c r="BI31">
        <v>6</v>
      </c>
      <c r="BJ31" t="s">
        <v>464</v>
      </c>
      <c r="BK31" t="s">
        <v>98</v>
      </c>
      <c r="BL31" t="s">
        <v>465</v>
      </c>
      <c r="BM31" t="s">
        <v>784</v>
      </c>
      <c r="BN31" t="s">
        <v>74</v>
      </c>
      <c r="BO31" t="s">
        <v>74</v>
      </c>
      <c r="BP31" t="s">
        <v>74</v>
      </c>
      <c r="BQ31" t="s">
        <v>74</v>
      </c>
      <c r="BR31" t="s">
        <v>101</v>
      </c>
      <c r="BS31" t="s">
        <v>785</v>
      </c>
      <c r="BT31" t="str">
        <f>HYPERLINK("https%3A%2F%2Fwww.webofscience.com%2Fwos%2Fwoscc%2Ffull-record%2FWOS:000272713500007","View Full Record in Web of Science")</f>
        <v>View Full Record in Web of Science</v>
      </c>
    </row>
    <row r="32" spans="1:72" x14ac:dyDescent="0.15">
      <c r="A32" t="s">
        <v>72</v>
      </c>
      <c r="B32" t="s">
        <v>786</v>
      </c>
      <c r="C32" t="s">
        <v>74</v>
      </c>
      <c r="D32" t="s">
        <v>74</v>
      </c>
      <c r="E32" t="s">
        <v>74</v>
      </c>
      <c r="F32" t="s">
        <v>787</v>
      </c>
      <c r="G32" t="s">
        <v>74</v>
      </c>
      <c r="H32" t="s">
        <v>74</v>
      </c>
      <c r="I32" t="s">
        <v>788</v>
      </c>
      <c r="J32" t="s">
        <v>789</v>
      </c>
      <c r="K32" t="s">
        <v>74</v>
      </c>
      <c r="L32" t="s">
        <v>74</v>
      </c>
      <c r="M32" t="s">
        <v>78</v>
      </c>
      <c r="N32" t="s">
        <v>79</v>
      </c>
      <c r="O32" t="s">
        <v>74</v>
      </c>
      <c r="P32" t="s">
        <v>74</v>
      </c>
      <c r="Q32" t="s">
        <v>74</v>
      </c>
      <c r="R32" t="s">
        <v>74</v>
      </c>
      <c r="S32" t="s">
        <v>74</v>
      </c>
      <c r="T32" t="s">
        <v>74</v>
      </c>
      <c r="U32" t="s">
        <v>790</v>
      </c>
      <c r="V32" t="s">
        <v>791</v>
      </c>
      <c r="W32" t="s">
        <v>792</v>
      </c>
      <c r="X32" t="s">
        <v>793</v>
      </c>
      <c r="Y32" t="s">
        <v>794</v>
      </c>
      <c r="Z32" t="s">
        <v>795</v>
      </c>
      <c r="AA32" t="s">
        <v>74</v>
      </c>
      <c r="AB32" t="s">
        <v>796</v>
      </c>
      <c r="AC32" t="s">
        <v>797</v>
      </c>
      <c r="AD32" t="s">
        <v>798</v>
      </c>
      <c r="AE32" t="s">
        <v>799</v>
      </c>
      <c r="AF32" t="s">
        <v>74</v>
      </c>
      <c r="AG32">
        <v>47</v>
      </c>
      <c r="AH32">
        <v>13</v>
      </c>
      <c r="AI32">
        <v>13</v>
      </c>
      <c r="AJ32">
        <v>0</v>
      </c>
      <c r="AK32">
        <v>5</v>
      </c>
      <c r="AL32" t="s">
        <v>226</v>
      </c>
      <c r="AM32" t="s">
        <v>227</v>
      </c>
      <c r="AN32" t="s">
        <v>228</v>
      </c>
      <c r="AO32" t="s">
        <v>800</v>
      </c>
      <c r="AP32" t="s">
        <v>801</v>
      </c>
      <c r="AQ32" t="s">
        <v>74</v>
      </c>
      <c r="AR32" t="s">
        <v>802</v>
      </c>
      <c r="AS32" t="s">
        <v>803</v>
      </c>
      <c r="AT32" t="s">
        <v>781</v>
      </c>
      <c r="AU32">
        <v>2009</v>
      </c>
      <c r="AV32">
        <v>114</v>
      </c>
      <c r="AW32" t="s">
        <v>74</v>
      </c>
      <c r="AX32" t="s">
        <v>74</v>
      </c>
      <c r="AY32" t="s">
        <v>74</v>
      </c>
      <c r="AZ32" t="s">
        <v>74</v>
      </c>
      <c r="BA32" t="s">
        <v>74</v>
      </c>
      <c r="BB32" t="s">
        <v>74</v>
      </c>
      <c r="BC32" t="s">
        <v>74</v>
      </c>
      <c r="BD32" t="s">
        <v>804</v>
      </c>
      <c r="BE32" t="s">
        <v>805</v>
      </c>
      <c r="BF32" t="str">
        <f>HYPERLINK("http://dx.doi.org/10.1029/2008JC005013","http://dx.doi.org/10.1029/2008JC005013")</f>
        <v>http://dx.doi.org/10.1029/2008JC005013</v>
      </c>
      <c r="BG32" t="s">
        <v>74</v>
      </c>
      <c r="BH32" t="s">
        <v>74</v>
      </c>
      <c r="BI32">
        <v>20</v>
      </c>
      <c r="BJ32" t="s">
        <v>806</v>
      </c>
      <c r="BK32" t="s">
        <v>98</v>
      </c>
      <c r="BL32" t="s">
        <v>806</v>
      </c>
      <c r="BM32" t="s">
        <v>807</v>
      </c>
      <c r="BN32" t="s">
        <v>74</v>
      </c>
      <c r="BO32" t="s">
        <v>808</v>
      </c>
      <c r="BP32" t="s">
        <v>74</v>
      </c>
      <c r="BQ32" t="s">
        <v>74</v>
      </c>
      <c r="BR32" t="s">
        <v>101</v>
      </c>
      <c r="BS32" t="s">
        <v>809</v>
      </c>
      <c r="BT32" t="str">
        <f>HYPERLINK("https%3A%2F%2Fwww.webofscience.com%2Fwos%2Fwoscc%2Ffull-record%2FWOS:000272715900001","View Full Record in Web of Science")</f>
        <v>View Full Record in Web of Science</v>
      </c>
    </row>
    <row r="33" spans="1:72" x14ac:dyDescent="0.15">
      <c r="A33" t="s">
        <v>72</v>
      </c>
      <c r="B33" t="s">
        <v>810</v>
      </c>
      <c r="C33" t="s">
        <v>74</v>
      </c>
      <c r="D33" t="s">
        <v>74</v>
      </c>
      <c r="E33" t="s">
        <v>74</v>
      </c>
      <c r="F33" t="s">
        <v>811</v>
      </c>
      <c r="G33" t="s">
        <v>74</v>
      </c>
      <c r="H33" t="s">
        <v>74</v>
      </c>
      <c r="I33" t="s">
        <v>812</v>
      </c>
      <c r="J33" t="s">
        <v>542</v>
      </c>
      <c r="K33" t="s">
        <v>74</v>
      </c>
      <c r="L33" t="s">
        <v>74</v>
      </c>
      <c r="M33" t="s">
        <v>78</v>
      </c>
      <c r="N33" t="s">
        <v>79</v>
      </c>
      <c r="O33" t="s">
        <v>74</v>
      </c>
      <c r="P33" t="s">
        <v>74</v>
      </c>
      <c r="Q33" t="s">
        <v>74</v>
      </c>
      <c r="R33" t="s">
        <v>74</v>
      </c>
      <c r="S33" t="s">
        <v>74</v>
      </c>
      <c r="T33" t="s">
        <v>813</v>
      </c>
      <c r="U33" t="s">
        <v>814</v>
      </c>
      <c r="V33" t="s">
        <v>815</v>
      </c>
      <c r="W33" t="s">
        <v>816</v>
      </c>
      <c r="X33" t="s">
        <v>817</v>
      </c>
      <c r="Y33" t="s">
        <v>818</v>
      </c>
      <c r="Z33" t="s">
        <v>819</v>
      </c>
      <c r="AA33" t="s">
        <v>820</v>
      </c>
      <c r="AB33" t="s">
        <v>821</v>
      </c>
      <c r="AC33" t="s">
        <v>822</v>
      </c>
      <c r="AD33" t="s">
        <v>823</v>
      </c>
      <c r="AE33" t="s">
        <v>824</v>
      </c>
      <c r="AF33" t="s">
        <v>74</v>
      </c>
      <c r="AG33">
        <v>76</v>
      </c>
      <c r="AH33">
        <v>40</v>
      </c>
      <c r="AI33">
        <v>45</v>
      </c>
      <c r="AJ33">
        <v>1</v>
      </c>
      <c r="AK33">
        <v>16</v>
      </c>
      <c r="AL33" t="s">
        <v>226</v>
      </c>
      <c r="AM33" t="s">
        <v>227</v>
      </c>
      <c r="AN33" t="s">
        <v>228</v>
      </c>
      <c r="AO33" t="s">
        <v>74</v>
      </c>
      <c r="AP33" t="s">
        <v>553</v>
      </c>
      <c r="AQ33" t="s">
        <v>74</v>
      </c>
      <c r="AR33" t="s">
        <v>554</v>
      </c>
      <c r="AS33" t="s">
        <v>555</v>
      </c>
      <c r="AT33" t="s">
        <v>825</v>
      </c>
      <c r="AU33">
        <v>2009</v>
      </c>
      <c r="AV33">
        <v>10</v>
      </c>
      <c r="AW33" t="s">
        <v>74</v>
      </c>
      <c r="AX33" t="s">
        <v>74</v>
      </c>
      <c r="AY33" t="s">
        <v>74</v>
      </c>
      <c r="AZ33" t="s">
        <v>74</v>
      </c>
      <c r="BA33" t="s">
        <v>74</v>
      </c>
      <c r="BB33" t="s">
        <v>74</v>
      </c>
      <c r="BC33" t="s">
        <v>74</v>
      </c>
      <c r="BD33" t="s">
        <v>826</v>
      </c>
      <c r="BE33" t="s">
        <v>827</v>
      </c>
      <c r="BF33" t="str">
        <f>HYPERLINK("http://dx.doi.org/10.1029/2009GC002874","http://dx.doi.org/10.1029/2009GC002874")</f>
        <v>http://dx.doi.org/10.1029/2009GC002874</v>
      </c>
      <c r="BG33" t="s">
        <v>74</v>
      </c>
      <c r="BH33" t="s">
        <v>74</v>
      </c>
      <c r="BI33">
        <v>29</v>
      </c>
      <c r="BJ33" t="s">
        <v>261</v>
      </c>
      <c r="BK33" t="s">
        <v>98</v>
      </c>
      <c r="BL33" t="s">
        <v>261</v>
      </c>
      <c r="BM33" t="s">
        <v>828</v>
      </c>
      <c r="BN33" t="s">
        <v>74</v>
      </c>
      <c r="BO33" t="s">
        <v>263</v>
      </c>
      <c r="BP33" t="s">
        <v>74</v>
      </c>
      <c r="BQ33" t="s">
        <v>74</v>
      </c>
      <c r="BR33" t="s">
        <v>101</v>
      </c>
      <c r="BS33" t="s">
        <v>829</v>
      </c>
      <c r="BT33" t="str">
        <f>HYPERLINK("https%3A%2F%2Fwww.webofscience.com%2Fwos%2Fwoscc%2Ffull-record%2FWOS:000272712200001","View Full Record in Web of Science")</f>
        <v>View Full Record in Web of Science</v>
      </c>
    </row>
    <row r="34" spans="1:72" x14ac:dyDescent="0.15">
      <c r="A34" t="s">
        <v>72</v>
      </c>
      <c r="B34" t="s">
        <v>830</v>
      </c>
      <c r="C34" t="s">
        <v>74</v>
      </c>
      <c r="D34" t="s">
        <v>74</v>
      </c>
      <c r="E34" t="s">
        <v>74</v>
      </c>
      <c r="F34" t="s">
        <v>831</v>
      </c>
      <c r="G34" t="s">
        <v>74</v>
      </c>
      <c r="H34" t="s">
        <v>74</v>
      </c>
      <c r="I34" t="s">
        <v>832</v>
      </c>
      <c r="J34" t="s">
        <v>833</v>
      </c>
      <c r="K34" t="s">
        <v>74</v>
      </c>
      <c r="L34" t="s">
        <v>74</v>
      </c>
      <c r="M34" t="s">
        <v>78</v>
      </c>
      <c r="N34" t="s">
        <v>79</v>
      </c>
      <c r="O34" t="s">
        <v>74</v>
      </c>
      <c r="P34" t="s">
        <v>74</v>
      </c>
      <c r="Q34" t="s">
        <v>74</v>
      </c>
      <c r="R34" t="s">
        <v>74</v>
      </c>
      <c r="S34" t="s">
        <v>74</v>
      </c>
      <c r="T34" t="s">
        <v>834</v>
      </c>
      <c r="U34" t="s">
        <v>835</v>
      </c>
      <c r="V34" t="s">
        <v>836</v>
      </c>
      <c r="W34" t="s">
        <v>837</v>
      </c>
      <c r="X34" t="s">
        <v>838</v>
      </c>
      <c r="Y34" t="s">
        <v>839</v>
      </c>
      <c r="Z34" t="s">
        <v>840</v>
      </c>
      <c r="AA34" t="s">
        <v>841</v>
      </c>
      <c r="AB34" t="s">
        <v>842</v>
      </c>
      <c r="AC34" t="s">
        <v>843</v>
      </c>
      <c r="AD34" t="s">
        <v>844</v>
      </c>
      <c r="AE34" t="s">
        <v>845</v>
      </c>
      <c r="AF34" t="s">
        <v>74</v>
      </c>
      <c r="AG34">
        <v>67</v>
      </c>
      <c r="AH34">
        <v>104</v>
      </c>
      <c r="AI34">
        <v>119</v>
      </c>
      <c r="AJ34">
        <v>5</v>
      </c>
      <c r="AK34">
        <v>92</v>
      </c>
      <c r="AL34" t="s">
        <v>846</v>
      </c>
      <c r="AM34" t="s">
        <v>227</v>
      </c>
      <c r="AN34" t="s">
        <v>847</v>
      </c>
      <c r="AO34" t="s">
        <v>848</v>
      </c>
      <c r="AP34" t="s">
        <v>74</v>
      </c>
      <c r="AQ34" t="s">
        <v>74</v>
      </c>
      <c r="AR34" t="s">
        <v>849</v>
      </c>
      <c r="AS34" t="s">
        <v>850</v>
      </c>
      <c r="AT34" t="s">
        <v>825</v>
      </c>
      <c r="AU34">
        <v>2009</v>
      </c>
      <c r="AV34">
        <v>106</v>
      </c>
      <c r="AW34">
        <v>49</v>
      </c>
      <c r="AX34" t="s">
        <v>74</v>
      </c>
      <c r="AY34" t="s">
        <v>74</v>
      </c>
      <c r="AZ34" t="s">
        <v>74</v>
      </c>
      <c r="BA34" t="s">
        <v>74</v>
      </c>
      <c r="BB34">
        <v>20590</v>
      </c>
      <c r="BC34">
        <v>20595</v>
      </c>
      <c r="BD34" t="s">
        <v>74</v>
      </c>
      <c r="BE34" t="s">
        <v>851</v>
      </c>
      <c r="BF34" t="str">
        <f>HYPERLINK("http://dx.doi.org/10.1073/pnas.0902356106","http://dx.doi.org/10.1073/pnas.0902356106")</f>
        <v>http://dx.doi.org/10.1073/pnas.0902356106</v>
      </c>
      <c r="BG34" t="s">
        <v>74</v>
      </c>
      <c r="BH34" t="s">
        <v>74</v>
      </c>
      <c r="BI34">
        <v>6</v>
      </c>
      <c r="BJ34" t="s">
        <v>388</v>
      </c>
      <c r="BK34" t="s">
        <v>98</v>
      </c>
      <c r="BL34" t="s">
        <v>389</v>
      </c>
      <c r="BM34" t="s">
        <v>852</v>
      </c>
      <c r="BN34">
        <v>19884496</v>
      </c>
      <c r="BO34" t="s">
        <v>853</v>
      </c>
      <c r="BP34" t="s">
        <v>74</v>
      </c>
      <c r="BQ34" t="s">
        <v>74</v>
      </c>
      <c r="BR34" t="s">
        <v>101</v>
      </c>
      <c r="BS34" t="s">
        <v>854</v>
      </c>
      <c r="BT34" t="str">
        <f>HYPERLINK("https%3A%2F%2Fwww.webofscience.com%2Fwos%2Fwoscc%2Ffull-record%2FWOS:000272553000010","View Full Record in Web of Science")</f>
        <v>View Full Record in Web of Science</v>
      </c>
    </row>
    <row r="35" spans="1:72" x14ac:dyDescent="0.15">
      <c r="A35" t="s">
        <v>72</v>
      </c>
      <c r="B35" t="s">
        <v>855</v>
      </c>
      <c r="C35" t="s">
        <v>74</v>
      </c>
      <c r="D35" t="s">
        <v>74</v>
      </c>
      <c r="E35" t="s">
        <v>74</v>
      </c>
      <c r="F35" t="s">
        <v>856</v>
      </c>
      <c r="G35" t="s">
        <v>74</v>
      </c>
      <c r="H35" t="s">
        <v>74</v>
      </c>
      <c r="I35" t="s">
        <v>857</v>
      </c>
      <c r="J35" t="s">
        <v>833</v>
      </c>
      <c r="K35" t="s">
        <v>74</v>
      </c>
      <c r="L35" t="s">
        <v>74</v>
      </c>
      <c r="M35" t="s">
        <v>78</v>
      </c>
      <c r="N35" t="s">
        <v>79</v>
      </c>
      <c r="O35" t="s">
        <v>74</v>
      </c>
      <c r="P35" t="s">
        <v>74</v>
      </c>
      <c r="Q35" t="s">
        <v>74</v>
      </c>
      <c r="R35" t="s">
        <v>74</v>
      </c>
      <c r="S35" t="s">
        <v>74</v>
      </c>
      <c r="T35" t="s">
        <v>858</v>
      </c>
      <c r="U35" t="s">
        <v>859</v>
      </c>
      <c r="V35" t="s">
        <v>860</v>
      </c>
      <c r="W35" t="s">
        <v>861</v>
      </c>
      <c r="X35" t="s">
        <v>862</v>
      </c>
      <c r="Y35" t="s">
        <v>863</v>
      </c>
      <c r="Z35" t="s">
        <v>864</v>
      </c>
      <c r="AA35" t="s">
        <v>865</v>
      </c>
      <c r="AB35" t="s">
        <v>866</v>
      </c>
      <c r="AC35" t="s">
        <v>867</v>
      </c>
      <c r="AD35" t="s">
        <v>868</v>
      </c>
      <c r="AE35" t="s">
        <v>869</v>
      </c>
      <c r="AF35" t="s">
        <v>74</v>
      </c>
      <c r="AG35">
        <v>48</v>
      </c>
      <c r="AH35">
        <v>262</v>
      </c>
      <c r="AI35">
        <v>291</v>
      </c>
      <c r="AJ35">
        <v>9</v>
      </c>
      <c r="AK35">
        <v>130</v>
      </c>
      <c r="AL35" t="s">
        <v>846</v>
      </c>
      <c r="AM35" t="s">
        <v>227</v>
      </c>
      <c r="AN35" t="s">
        <v>847</v>
      </c>
      <c r="AO35" t="s">
        <v>848</v>
      </c>
      <c r="AP35" t="s">
        <v>74</v>
      </c>
      <c r="AQ35" t="s">
        <v>74</v>
      </c>
      <c r="AR35" t="s">
        <v>849</v>
      </c>
      <c r="AS35" t="s">
        <v>850</v>
      </c>
      <c r="AT35" t="s">
        <v>825</v>
      </c>
      <c r="AU35">
        <v>2009</v>
      </c>
      <c r="AV35">
        <v>106</v>
      </c>
      <c r="AW35">
        <v>49</v>
      </c>
      <c r="AX35" t="s">
        <v>74</v>
      </c>
      <c r="AY35" t="s">
        <v>74</v>
      </c>
      <c r="AZ35" t="s">
        <v>74</v>
      </c>
      <c r="BA35" t="s">
        <v>74</v>
      </c>
      <c r="BB35">
        <v>20596</v>
      </c>
      <c r="BC35">
        <v>20601</v>
      </c>
      <c r="BD35" t="s">
        <v>74</v>
      </c>
      <c r="BE35" t="s">
        <v>870</v>
      </c>
      <c r="BF35" t="str">
        <f>HYPERLINK("http://dx.doi.org/10.1073/pnas.0800885105","http://dx.doi.org/10.1073/pnas.0800885105")</f>
        <v>http://dx.doi.org/10.1073/pnas.0800885105</v>
      </c>
      <c r="BG35" t="s">
        <v>74</v>
      </c>
      <c r="BH35" t="s">
        <v>74</v>
      </c>
      <c r="BI35">
        <v>6</v>
      </c>
      <c r="BJ35" t="s">
        <v>388</v>
      </c>
      <c r="BK35" t="s">
        <v>98</v>
      </c>
      <c r="BL35" t="s">
        <v>389</v>
      </c>
      <c r="BM35" t="s">
        <v>852</v>
      </c>
      <c r="BN35">
        <v>19017807</v>
      </c>
      <c r="BO35" t="s">
        <v>239</v>
      </c>
      <c r="BP35" t="s">
        <v>74</v>
      </c>
      <c r="BQ35" t="s">
        <v>74</v>
      </c>
      <c r="BR35" t="s">
        <v>101</v>
      </c>
      <c r="BS35" t="s">
        <v>871</v>
      </c>
      <c r="BT35" t="str">
        <f>HYPERLINK("https%3A%2F%2Fwww.webofscience.com%2Fwos%2Fwoscc%2Ffull-record%2FWOS:000272553000011","View Full Record in Web of Science")</f>
        <v>View Full Record in Web of Science</v>
      </c>
    </row>
    <row r="36" spans="1:72" x14ac:dyDescent="0.15">
      <c r="A36" t="s">
        <v>72</v>
      </c>
      <c r="B36" t="s">
        <v>872</v>
      </c>
      <c r="C36" t="s">
        <v>74</v>
      </c>
      <c r="D36" t="s">
        <v>74</v>
      </c>
      <c r="E36" t="s">
        <v>74</v>
      </c>
      <c r="F36" t="s">
        <v>873</v>
      </c>
      <c r="G36" t="s">
        <v>74</v>
      </c>
      <c r="H36" t="s">
        <v>74</v>
      </c>
      <c r="I36" t="s">
        <v>874</v>
      </c>
      <c r="J36" t="s">
        <v>875</v>
      </c>
      <c r="K36" t="s">
        <v>74</v>
      </c>
      <c r="L36" t="s">
        <v>74</v>
      </c>
      <c r="M36" t="s">
        <v>78</v>
      </c>
      <c r="N36" t="s">
        <v>79</v>
      </c>
      <c r="O36" t="s">
        <v>74</v>
      </c>
      <c r="P36" t="s">
        <v>74</v>
      </c>
      <c r="Q36" t="s">
        <v>74</v>
      </c>
      <c r="R36" t="s">
        <v>74</v>
      </c>
      <c r="S36" t="s">
        <v>74</v>
      </c>
      <c r="T36" t="s">
        <v>74</v>
      </c>
      <c r="U36" t="s">
        <v>876</v>
      </c>
      <c r="V36" t="s">
        <v>877</v>
      </c>
      <c r="W36" t="s">
        <v>878</v>
      </c>
      <c r="X36" t="s">
        <v>879</v>
      </c>
      <c r="Y36" t="s">
        <v>880</v>
      </c>
      <c r="Z36" t="s">
        <v>881</v>
      </c>
      <c r="AA36" t="s">
        <v>882</v>
      </c>
      <c r="AB36" t="s">
        <v>883</v>
      </c>
      <c r="AC36" t="s">
        <v>884</v>
      </c>
      <c r="AD36" t="s">
        <v>885</v>
      </c>
      <c r="AE36" t="s">
        <v>886</v>
      </c>
      <c r="AF36" t="s">
        <v>74</v>
      </c>
      <c r="AG36">
        <v>26</v>
      </c>
      <c r="AH36">
        <v>54</v>
      </c>
      <c r="AI36">
        <v>57</v>
      </c>
      <c r="AJ36">
        <v>1</v>
      </c>
      <c r="AK36">
        <v>30</v>
      </c>
      <c r="AL36" t="s">
        <v>887</v>
      </c>
      <c r="AM36" t="s">
        <v>227</v>
      </c>
      <c r="AN36" t="s">
        <v>888</v>
      </c>
      <c r="AO36" t="s">
        <v>889</v>
      </c>
      <c r="AP36" t="s">
        <v>890</v>
      </c>
      <c r="AQ36" t="s">
        <v>74</v>
      </c>
      <c r="AR36" t="s">
        <v>891</v>
      </c>
      <c r="AS36" t="s">
        <v>892</v>
      </c>
      <c r="AT36" t="s">
        <v>893</v>
      </c>
      <c r="AU36">
        <v>2009</v>
      </c>
      <c r="AV36">
        <v>74</v>
      </c>
      <c r="AW36">
        <v>23</v>
      </c>
      <c r="AX36" t="s">
        <v>74</v>
      </c>
      <c r="AY36" t="s">
        <v>74</v>
      </c>
      <c r="AZ36" t="s">
        <v>74</v>
      </c>
      <c r="BA36" t="s">
        <v>74</v>
      </c>
      <c r="BB36">
        <v>9195</v>
      </c>
      <c r="BC36">
        <v>9198</v>
      </c>
      <c r="BD36" t="s">
        <v>74</v>
      </c>
      <c r="BE36" t="s">
        <v>894</v>
      </c>
      <c r="BF36" t="str">
        <f>HYPERLINK("http://dx.doi.org/10.1021/jo901846j","http://dx.doi.org/10.1021/jo901846j")</f>
        <v>http://dx.doi.org/10.1021/jo901846j</v>
      </c>
      <c r="BG36" t="s">
        <v>74</v>
      </c>
      <c r="BH36" t="s">
        <v>74</v>
      </c>
      <c r="BI36">
        <v>4</v>
      </c>
      <c r="BJ36" t="s">
        <v>895</v>
      </c>
      <c r="BK36" t="s">
        <v>896</v>
      </c>
      <c r="BL36" t="s">
        <v>715</v>
      </c>
      <c r="BM36" t="s">
        <v>897</v>
      </c>
      <c r="BN36">
        <v>19863121</v>
      </c>
      <c r="BO36" t="s">
        <v>74</v>
      </c>
      <c r="BP36" t="s">
        <v>74</v>
      </c>
      <c r="BQ36" t="s">
        <v>74</v>
      </c>
      <c r="BR36" t="s">
        <v>101</v>
      </c>
      <c r="BS36" t="s">
        <v>898</v>
      </c>
      <c r="BT36" t="str">
        <f>HYPERLINK("https%3A%2F%2Fwww.webofscience.com%2Fwos%2Fwoscc%2Ffull-record%2FWOS:000272083700034","View Full Record in Web of Science")</f>
        <v>View Full Record in Web of Science</v>
      </c>
    </row>
    <row r="37" spans="1:72" x14ac:dyDescent="0.15">
      <c r="A37" t="s">
        <v>72</v>
      </c>
      <c r="B37" t="s">
        <v>899</v>
      </c>
      <c r="C37" t="s">
        <v>74</v>
      </c>
      <c r="D37" t="s">
        <v>74</v>
      </c>
      <c r="E37" t="s">
        <v>74</v>
      </c>
      <c r="F37" t="s">
        <v>900</v>
      </c>
      <c r="G37" t="s">
        <v>74</v>
      </c>
      <c r="H37" t="s">
        <v>74</v>
      </c>
      <c r="I37" t="s">
        <v>901</v>
      </c>
      <c r="J37" t="s">
        <v>542</v>
      </c>
      <c r="K37" t="s">
        <v>74</v>
      </c>
      <c r="L37" t="s">
        <v>74</v>
      </c>
      <c r="M37" t="s">
        <v>78</v>
      </c>
      <c r="N37" t="s">
        <v>79</v>
      </c>
      <c r="O37" t="s">
        <v>74</v>
      </c>
      <c r="P37" t="s">
        <v>74</v>
      </c>
      <c r="Q37" t="s">
        <v>74</v>
      </c>
      <c r="R37" t="s">
        <v>74</v>
      </c>
      <c r="S37" t="s">
        <v>74</v>
      </c>
      <c r="T37" t="s">
        <v>902</v>
      </c>
      <c r="U37" t="s">
        <v>903</v>
      </c>
      <c r="V37" t="s">
        <v>904</v>
      </c>
      <c r="W37" t="s">
        <v>905</v>
      </c>
      <c r="X37" t="s">
        <v>906</v>
      </c>
      <c r="Y37" t="s">
        <v>907</v>
      </c>
      <c r="Z37" t="s">
        <v>908</v>
      </c>
      <c r="AA37" t="s">
        <v>909</v>
      </c>
      <c r="AB37" t="s">
        <v>910</v>
      </c>
      <c r="AC37" t="s">
        <v>74</v>
      </c>
      <c r="AD37" t="s">
        <v>74</v>
      </c>
      <c r="AE37" t="s">
        <v>74</v>
      </c>
      <c r="AF37" t="s">
        <v>74</v>
      </c>
      <c r="AG37">
        <v>76</v>
      </c>
      <c r="AH37">
        <v>22</v>
      </c>
      <c r="AI37">
        <v>22</v>
      </c>
      <c r="AJ37">
        <v>0</v>
      </c>
      <c r="AK37">
        <v>29</v>
      </c>
      <c r="AL37" t="s">
        <v>226</v>
      </c>
      <c r="AM37" t="s">
        <v>227</v>
      </c>
      <c r="AN37" t="s">
        <v>228</v>
      </c>
      <c r="AO37" t="s">
        <v>74</v>
      </c>
      <c r="AP37" t="s">
        <v>553</v>
      </c>
      <c r="AQ37" t="s">
        <v>74</v>
      </c>
      <c r="AR37" t="s">
        <v>554</v>
      </c>
      <c r="AS37" t="s">
        <v>555</v>
      </c>
      <c r="AT37" t="s">
        <v>911</v>
      </c>
      <c r="AU37">
        <v>2009</v>
      </c>
      <c r="AV37">
        <v>10</v>
      </c>
      <c r="AW37" t="s">
        <v>74</v>
      </c>
      <c r="AX37" t="s">
        <v>74</v>
      </c>
      <c r="AY37" t="s">
        <v>74</v>
      </c>
      <c r="AZ37" t="s">
        <v>74</v>
      </c>
      <c r="BA37" t="s">
        <v>74</v>
      </c>
      <c r="BB37" t="s">
        <v>74</v>
      </c>
      <c r="BC37" t="s">
        <v>74</v>
      </c>
      <c r="BD37" t="s">
        <v>912</v>
      </c>
      <c r="BE37" t="s">
        <v>913</v>
      </c>
      <c r="BF37" t="str">
        <f>HYPERLINK("http://dx.doi.org/10.1029/2009GC002728","http://dx.doi.org/10.1029/2009GC002728")</f>
        <v>http://dx.doi.org/10.1029/2009GC002728</v>
      </c>
      <c r="BG37" t="s">
        <v>74</v>
      </c>
      <c r="BH37" t="s">
        <v>74</v>
      </c>
      <c r="BI37">
        <v>26</v>
      </c>
      <c r="BJ37" t="s">
        <v>261</v>
      </c>
      <c r="BK37" t="s">
        <v>98</v>
      </c>
      <c r="BL37" t="s">
        <v>261</v>
      </c>
      <c r="BM37" t="s">
        <v>914</v>
      </c>
      <c r="BN37" t="s">
        <v>74</v>
      </c>
      <c r="BO37" t="s">
        <v>915</v>
      </c>
      <c r="BP37" t="s">
        <v>74</v>
      </c>
      <c r="BQ37" t="s">
        <v>74</v>
      </c>
      <c r="BR37" t="s">
        <v>101</v>
      </c>
      <c r="BS37" t="s">
        <v>916</v>
      </c>
      <c r="BT37" t="str">
        <f>HYPERLINK("https%3A%2F%2Fwww.webofscience.com%2Fwos%2Fwoscc%2Ffull-record%2FWOS:000272440800002","View Full Record in Web of Science")</f>
        <v>View Full Record in Web of Science</v>
      </c>
    </row>
    <row r="38" spans="1:72" x14ac:dyDescent="0.15">
      <c r="A38" t="s">
        <v>72</v>
      </c>
      <c r="B38" t="s">
        <v>917</v>
      </c>
      <c r="C38" t="s">
        <v>74</v>
      </c>
      <c r="D38" t="s">
        <v>74</v>
      </c>
      <c r="E38" t="s">
        <v>74</v>
      </c>
      <c r="F38" t="s">
        <v>918</v>
      </c>
      <c r="G38" t="s">
        <v>74</v>
      </c>
      <c r="H38" t="s">
        <v>74</v>
      </c>
      <c r="I38" t="s">
        <v>919</v>
      </c>
      <c r="J38" t="s">
        <v>721</v>
      </c>
      <c r="K38" t="s">
        <v>74</v>
      </c>
      <c r="L38" t="s">
        <v>74</v>
      </c>
      <c r="M38" t="s">
        <v>78</v>
      </c>
      <c r="N38" t="s">
        <v>79</v>
      </c>
      <c r="O38" t="s">
        <v>74</v>
      </c>
      <c r="P38" t="s">
        <v>74</v>
      </c>
      <c r="Q38" t="s">
        <v>74</v>
      </c>
      <c r="R38" t="s">
        <v>74</v>
      </c>
      <c r="S38" t="s">
        <v>74</v>
      </c>
      <c r="T38" t="s">
        <v>74</v>
      </c>
      <c r="U38" t="s">
        <v>920</v>
      </c>
      <c r="V38" t="s">
        <v>921</v>
      </c>
      <c r="W38" t="s">
        <v>922</v>
      </c>
      <c r="X38" t="s">
        <v>923</v>
      </c>
      <c r="Y38" t="s">
        <v>924</v>
      </c>
      <c r="Z38" t="s">
        <v>925</v>
      </c>
      <c r="AA38" t="s">
        <v>926</v>
      </c>
      <c r="AB38" t="s">
        <v>927</v>
      </c>
      <c r="AC38" t="s">
        <v>928</v>
      </c>
      <c r="AD38" t="s">
        <v>929</v>
      </c>
      <c r="AE38" t="s">
        <v>930</v>
      </c>
      <c r="AF38" t="s">
        <v>74</v>
      </c>
      <c r="AG38">
        <v>23</v>
      </c>
      <c r="AH38">
        <v>44</v>
      </c>
      <c r="AI38">
        <v>47</v>
      </c>
      <c r="AJ38">
        <v>0</v>
      </c>
      <c r="AK38">
        <v>7</v>
      </c>
      <c r="AL38" t="s">
        <v>226</v>
      </c>
      <c r="AM38" t="s">
        <v>227</v>
      </c>
      <c r="AN38" t="s">
        <v>228</v>
      </c>
      <c r="AO38" t="s">
        <v>731</v>
      </c>
      <c r="AP38" t="s">
        <v>732</v>
      </c>
      <c r="AQ38" t="s">
        <v>74</v>
      </c>
      <c r="AR38" t="s">
        <v>733</v>
      </c>
      <c r="AS38" t="s">
        <v>734</v>
      </c>
      <c r="AT38" t="s">
        <v>931</v>
      </c>
      <c r="AU38">
        <v>2009</v>
      </c>
      <c r="AV38">
        <v>36</v>
      </c>
      <c r="AW38" t="s">
        <v>74</v>
      </c>
      <c r="AX38" t="s">
        <v>74</v>
      </c>
      <c r="AY38" t="s">
        <v>74</v>
      </c>
      <c r="AZ38" t="s">
        <v>74</v>
      </c>
      <c r="BA38" t="s">
        <v>74</v>
      </c>
      <c r="BB38" t="s">
        <v>74</v>
      </c>
      <c r="BC38" t="s">
        <v>74</v>
      </c>
      <c r="BD38" t="s">
        <v>932</v>
      </c>
      <c r="BE38" t="s">
        <v>933</v>
      </c>
      <c r="BF38" t="str">
        <f>HYPERLINK("http://dx.doi.org/10.1029/2009GL040434","http://dx.doi.org/10.1029/2009GL040434")</f>
        <v>http://dx.doi.org/10.1029/2009GL040434</v>
      </c>
      <c r="BG38" t="s">
        <v>74</v>
      </c>
      <c r="BH38" t="s">
        <v>74</v>
      </c>
      <c r="BI38">
        <v>5</v>
      </c>
      <c r="BJ38" t="s">
        <v>464</v>
      </c>
      <c r="BK38" t="s">
        <v>98</v>
      </c>
      <c r="BL38" t="s">
        <v>465</v>
      </c>
      <c r="BM38" t="s">
        <v>934</v>
      </c>
      <c r="BN38" t="s">
        <v>74</v>
      </c>
      <c r="BO38" t="s">
        <v>467</v>
      </c>
      <c r="BP38" t="s">
        <v>74</v>
      </c>
      <c r="BQ38" t="s">
        <v>74</v>
      </c>
      <c r="BR38" t="s">
        <v>101</v>
      </c>
      <c r="BS38" t="s">
        <v>935</v>
      </c>
      <c r="BT38" t="str">
        <f>HYPERLINK("https%3A%2F%2Fwww.webofscience.com%2Fwos%2Fwoscc%2Ffull-record%2FWOS:000272441400002","View Full Record in Web of Science")</f>
        <v>View Full Record in Web of Science</v>
      </c>
    </row>
    <row r="39" spans="1:72" x14ac:dyDescent="0.15">
      <c r="A39" t="s">
        <v>72</v>
      </c>
      <c r="B39" t="s">
        <v>936</v>
      </c>
      <c r="C39" t="s">
        <v>74</v>
      </c>
      <c r="D39" t="s">
        <v>74</v>
      </c>
      <c r="E39" t="s">
        <v>74</v>
      </c>
      <c r="F39" t="s">
        <v>937</v>
      </c>
      <c r="G39" t="s">
        <v>74</v>
      </c>
      <c r="H39" t="s">
        <v>74</v>
      </c>
      <c r="I39" t="s">
        <v>938</v>
      </c>
      <c r="J39" t="s">
        <v>721</v>
      </c>
      <c r="K39" t="s">
        <v>74</v>
      </c>
      <c r="L39" t="s">
        <v>74</v>
      </c>
      <c r="M39" t="s">
        <v>78</v>
      </c>
      <c r="N39" t="s">
        <v>79</v>
      </c>
      <c r="O39" t="s">
        <v>74</v>
      </c>
      <c r="P39" t="s">
        <v>74</v>
      </c>
      <c r="Q39" t="s">
        <v>74</v>
      </c>
      <c r="R39" t="s">
        <v>74</v>
      </c>
      <c r="S39" t="s">
        <v>74</v>
      </c>
      <c r="T39" t="s">
        <v>74</v>
      </c>
      <c r="U39" t="s">
        <v>939</v>
      </c>
      <c r="V39" t="s">
        <v>940</v>
      </c>
      <c r="W39" t="s">
        <v>941</v>
      </c>
      <c r="X39" t="s">
        <v>942</v>
      </c>
      <c r="Y39" t="s">
        <v>943</v>
      </c>
      <c r="Z39" t="s">
        <v>944</v>
      </c>
      <c r="AA39" t="s">
        <v>74</v>
      </c>
      <c r="AB39" t="s">
        <v>945</v>
      </c>
      <c r="AC39" t="s">
        <v>946</v>
      </c>
      <c r="AD39" t="s">
        <v>278</v>
      </c>
      <c r="AE39" t="s">
        <v>947</v>
      </c>
      <c r="AF39" t="s">
        <v>74</v>
      </c>
      <c r="AG39">
        <v>18</v>
      </c>
      <c r="AH39">
        <v>52</v>
      </c>
      <c r="AI39">
        <v>54</v>
      </c>
      <c r="AJ39">
        <v>0</v>
      </c>
      <c r="AK39">
        <v>6</v>
      </c>
      <c r="AL39" t="s">
        <v>226</v>
      </c>
      <c r="AM39" t="s">
        <v>227</v>
      </c>
      <c r="AN39" t="s">
        <v>228</v>
      </c>
      <c r="AO39" t="s">
        <v>731</v>
      </c>
      <c r="AP39" t="s">
        <v>732</v>
      </c>
      <c r="AQ39" t="s">
        <v>74</v>
      </c>
      <c r="AR39" t="s">
        <v>733</v>
      </c>
      <c r="AS39" t="s">
        <v>734</v>
      </c>
      <c r="AT39" t="s">
        <v>931</v>
      </c>
      <c r="AU39">
        <v>2009</v>
      </c>
      <c r="AV39">
        <v>36</v>
      </c>
      <c r="AW39" t="s">
        <v>74</v>
      </c>
      <c r="AX39" t="s">
        <v>74</v>
      </c>
      <c r="AY39" t="s">
        <v>74</v>
      </c>
      <c r="AZ39" t="s">
        <v>74</v>
      </c>
      <c r="BA39" t="s">
        <v>74</v>
      </c>
      <c r="BB39" t="s">
        <v>74</v>
      </c>
      <c r="BC39" t="s">
        <v>74</v>
      </c>
      <c r="BD39" t="s">
        <v>948</v>
      </c>
      <c r="BE39" t="s">
        <v>949</v>
      </c>
      <c r="BF39" t="str">
        <f>HYPERLINK("http://dx.doi.org/10.1029/2009GL040940","http://dx.doi.org/10.1029/2009GL040940")</f>
        <v>http://dx.doi.org/10.1029/2009GL040940</v>
      </c>
      <c r="BG39" t="s">
        <v>74</v>
      </c>
      <c r="BH39" t="s">
        <v>74</v>
      </c>
      <c r="BI39">
        <v>5</v>
      </c>
      <c r="BJ39" t="s">
        <v>464</v>
      </c>
      <c r="BK39" t="s">
        <v>98</v>
      </c>
      <c r="BL39" t="s">
        <v>465</v>
      </c>
      <c r="BM39" t="s">
        <v>934</v>
      </c>
      <c r="BN39" t="s">
        <v>74</v>
      </c>
      <c r="BO39" t="s">
        <v>263</v>
      </c>
      <c r="BP39" t="s">
        <v>74</v>
      </c>
      <c r="BQ39" t="s">
        <v>74</v>
      </c>
      <c r="BR39" t="s">
        <v>101</v>
      </c>
      <c r="BS39" t="s">
        <v>950</v>
      </c>
      <c r="BT39" t="str">
        <f>HYPERLINK("https%3A%2F%2Fwww.webofscience.com%2Fwos%2Fwoscc%2Ffull-record%2FWOS:000272441400007","View Full Record in Web of Science")</f>
        <v>View Full Record in Web of Science</v>
      </c>
    </row>
    <row r="40" spans="1:72" x14ac:dyDescent="0.15">
      <c r="A40" t="s">
        <v>72</v>
      </c>
      <c r="B40" t="s">
        <v>951</v>
      </c>
      <c r="C40" t="s">
        <v>74</v>
      </c>
      <c r="D40" t="s">
        <v>74</v>
      </c>
      <c r="E40" t="s">
        <v>74</v>
      </c>
      <c r="F40" t="s">
        <v>952</v>
      </c>
      <c r="G40" t="s">
        <v>74</v>
      </c>
      <c r="H40" t="s">
        <v>74</v>
      </c>
      <c r="I40" t="s">
        <v>953</v>
      </c>
      <c r="J40" t="s">
        <v>721</v>
      </c>
      <c r="K40" t="s">
        <v>74</v>
      </c>
      <c r="L40" t="s">
        <v>74</v>
      </c>
      <c r="M40" t="s">
        <v>78</v>
      </c>
      <c r="N40" t="s">
        <v>79</v>
      </c>
      <c r="O40" t="s">
        <v>74</v>
      </c>
      <c r="P40" t="s">
        <v>74</v>
      </c>
      <c r="Q40" t="s">
        <v>74</v>
      </c>
      <c r="R40" t="s">
        <v>74</v>
      </c>
      <c r="S40" t="s">
        <v>74</v>
      </c>
      <c r="T40" t="s">
        <v>74</v>
      </c>
      <c r="U40" t="s">
        <v>954</v>
      </c>
      <c r="V40" t="s">
        <v>955</v>
      </c>
      <c r="W40" t="s">
        <v>956</v>
      </c>
      <c r="X40" t="s">
        <v>957</v>
      </c>
      <c r="Y40" t="s">
        <v>958</v>
      </c>
      <c r="Z40" t="s">
        <v>959</v>
      </c>
      <c r="AA40" t="s">
        <v>960</v>
      </c>
      <c r="AB40" t="s">
        <v>961</v>
      </c>
      <c r="AC40" t="s">
        <v>962</v>
      </c>
      <c r="AD40" t="s">
        <v>963</v>
      </c>
      <c r="AE40" t="s">
        <v>964</v>
      </c>
      <c r="AF40" t="s">
        <v>74</v>
      </c>
      <c r="AG40">
        <v>30</v>
      </c>
      <c r="AH40">
        <v>15</v>
      </c>
      <c r="AI40">
        <v>16</v>
      </c>
      <c r="AJ40">
        <v>3</v>
      </c>
      <c r="AK40">
        <v>11</v>
      </c>
      <c r="AL40" t="s">
        <v>226</v>
      </c>
      <c r="AM40" t="s">
        <v>227</v>
      </c>
      <c r="AN40" t="s">
        <v>228</v>
      </c>
      <c r="AO40" t="s">
        <v>731</v>
      </c>
      <c r="AP40" t="s">
        <v>732</v>
      </c>
      <c r="AQ40" t="s">
        <v>74</v>
      </c>
      <c r="AR40" t="s">
        <v>733</v>
      </c>
      <c r="AS40" t="s">
        <v>734</v>
      </c>
      <c r="AT40" t="s">
        <v>931</v>
      </c>
      <c r="AU40">
        <v>2009</v>
      </c>
      <c r="AV40">
        <v>36</v>
      </c>
      <c r="AW40" t="s">
        <v>74</v>
      </c>
      <c r="AX40" t="s">
        <v>74</v>
      </c>
      <c r="AY40" t="s">
        <v>74</v>
      </c>
      <c r="AZ40" t="s">
        <v>74</v>
      </c>
      <c r="BA40" t="s">
        <v>74</v>
      </c>
      <c r="BB40" t="s">
        <v>74</v>
      </c>
      <c r="BC40" t="s">
        <v>74</v>
      </c>
      <c r="BD40" t="s">
        <v>965</v>
      </c>
      <c r="BE40" t="s">
        <v>966</v>
      </c>
      <c r="BF40" t="str">
        <f>HYPERLINK("http://dx.doi.org/10.1029/2009GL040732","http://dx.doi.org/10.1029/2009GL040732")</f>
        <v>http://dx.doi.org/10.1029/2009GL040732</v>
      </c>
      <c r="BG40" t="s">
        <v>74</v>
      </c>
      <c r="BH40" t="s">
        <v>74</v>
      </c>
      <c r="BI40">
        <v>5</v>
      </c>
      <c r="BJ40" t="s">
        <v>464</v>
      </c>
      <c r="BK40" t="s">
        <v>98</v>
      </c>
      <c r="BL40" t="s">
        <v>465</v>
      </c>
      <c r="BM40" t="s">
        <v>934</v>
      </c>
      <c r="BN40" t="s">
        <v>74</v>
      </c>
      <c r="BO40" t="s">
        <v>263</v>
      </c>
      <c r="BP40" t="s">
        <v>74</v>
      </c>
      <c r="BQ40" t="s">
        <v>74</v>
      </c>
      <c r="BR40" t="s">
        <v>101</v>
      </c>
      <c r="BS40" t="s">
        <v>967</v>
      </c>
      <c r="BT40" t="str">
        <f>HYPERLINK("https%3A%2F%2Fwww.webofscience.com%2Fwos%2Fwoscc%2Ffull-record%2FWOS:000272441400005","View Full Record in Web of Science")</f>
        <v>View Full Record in Web of Science</v>
      </c>
    </row>
    <row r="41" spans="1:72" x14ac:dyDescent="0.15">
      <c r="A41" t="s">
        <v>72</v>
      </c>
      <c r="B41" t="s">
        <v>968</v>
      </c>
      <c r="C41" t="s">
        <v>74</v>
      </c>
      <c r="D41" t="s">
        <v>74</v>
      </c>
      <c r="E41" t="s">
        <v>74</v>
      </c>
      <c r="F41" t="s">
        <v>969</v>
      </c>
      <c r="G41" t="s">
        <v>74</v>
      </c>
      <c r="H41" t="s">
        <v>74</v>
      </c>
      <c r="I41" t="s">
        <v>970</v>
      </c>
      <c r="J41" t="s">
        <v>789</v>
      </c>
      <c r="K41" t="s">
        <v>74</v>
      </c>
      <c r="L41" t="s">
        <v>74</v>
      </c>
      <c r="M41" t="s">
        <v>78</v>
      </c>
      <c r="N41" t="s">
        <v>79</v>
      </c>
      <c r="O41" t="s">
        <v>74</v>
      </c>
      <c r="P41" t="s">
        <v>74</v>
      </c>
      <c r="Q41" t="s">
        <v>74</v>
      </c>
      <c r="R41" t="s">
        <v>74</v>
      </c>
      <c r="S41" t="s">
        <v>74</v>
      </c>
      <c r="T41" t="s">
        <v>74</v>
      </c>
      <c r="U41" t="s">
        <v>971</v>
      </c>
      <c r="V41" t="s">
        <v>972</v>
      </c>
      <c r="W41" t="s">
        <v>973</v>
      </c>
      <c r="X41" t="s">
        <v>974</v>
      </c>
      <c r="Y41" t="s">
        <v>975</v>
      </c>
      <c r="Z41" t="s">
        <v>976</v>
      </c>
      <c r="AA41" t="s">
        <v>74</v>
      </c>
      <c r="AB41" t="s">
        <v>74</v>
      </c>
      <c r="AC41" t="s">
        <v>977</v>
      </c>
      <c r="AD41" t="s">
        <v>978</v>
      </c>
      <c r="AE41" t="s">
        <v>979</v>
      </c>
      <c r="AF41" t="s">
        <v>74</v>
      </c>
      <c r="AG41">
        <v>57</v>
      </c>
      <c r="AH41">
        <v>2</v>
      </c>
      <c r="AI41">
        <v>2</v>
      </c>
      <c r="AJ41">
        <v>0</v>
      </c>
      <c r="AK41">
        <v>4</v>
      </c>
      <c r="AL41" t="s">
        <v>226</v>
      </c>
      <c r="AM41" t="s">
        <v>227</v>
      </c>
      <c r="AN41" t="s">
        <v>228</v>
      </c>
      <c r="AO41" t="s">
        <v>800</v>
      </c>
      <c r="AP41" t="s">
        <v>801</v>
      </c>
      <c r="AQ41" t="s">
        <v>74</v>
      </c>
      <c r="AR41" t="s">
        <v>802</v>
      </c>
      <c r="AS41" t="s">
        <v>803</v>
      </c>
      <c r="AT41" t="s">
        <v>931</v>
      </c>
      <c r="AU41">
        <v>2009</v>
      </c>
      <c r="AV41">
        <v>114</v>
      </c>
      <c r="AW41" t="s">
        <v>74</v>
      </c>
      <c r="AX41" t="s">
        <v>74</v>
      </c>
      <c r="AY41" t="s">
        <v>74</v>
      </c>
      <c r="AZ41" t="s">
        <v>74</v>
      </c>
      <c r="BA41" t="s">
        <v>74</v>
      </c>
      <c r="BB41" t="s">
        <v>74</v>
      </c>
      <c r="BC41" t="s">
        <v>74</v>
      </c>
      <c r="BD41" t="s">
        <v>980</v>
      </c>
      <c r="BE41" t="s">
        <v>981</v>
      </c>
      <c r="BF41" t="str">
        <f>HYPERLINK("http://dx.doi.org/10.1029/2008JC005068","http://dx.doi.org/10.1029/2008JC005068")</f>
        <v>http://dx.doi.org/10.1029/2008JC005068</v>
      </c>
      <c r="BG41" t="s">
        <v>74</v>
      </c>
      <c r="BH41" t="s">
        <v>74</v>
      </c>
      <c r="BI41">
        <v>21</v>
      </c>
      <c r="BJ41" t="s">
        <v>806</v>
      </c>
      <c r="BK41" t="s">
        <v>98</v>
      </c>
      <c r="BL41" t="s">
        <v>806</v>
      </c>
      <c r="BM41" t="s">
        <v>982</v>
      </c>
      <c r="BN41" t="s">
        <v>74</v>
      </c>
      <c r="BO41" t="s">
        <v>765</v>
      </c>
      <c r="BP41" t="s">
        <v>74</v>
      </c>
      <c r="BQ41" t="s">
        <v>74</v>
      </c>
      <c r="BR41" t="s">
        <v>101</v>
      </c>
      <c r="BS41" t="s">
        <v>983</v>
      </c>
      <c r="BT41" t="str">
        <f>HYPERLINK("https%3A%2F%2Fwww.webofscience.com%2Fwos%2Fwoscc%2Ffull-record%2FWOS:000272445900001","View Full Record in Web of Science")</f>
        <v>View Full Record in Web of Science</v>
      </c>
    </row>
    <row r="42" spans="1:72" x14ac:dyDescent="0.15">
      <c r="A42" t="s">
        <v>72</v>
      </c>
      <c r="B42" t="s">
        <v>984</v>
      </c>
      <c r="C42" t="s">
        <v>74</v>
      </c>
      <c r="D42" t="s">
        <v>74</v>
      </c>
      <c r="E42" t="s">
        <v>74</v>
      </c>
      <c r="F42" t="s">
        <v>985</v>
      </c>
      <c r="G42" t="s">
        <v>74</v>
      </c>
      <c r="H42" t="s">
        <v>74</v>
      </c>
      <c r="I42" t="s">
        <v>986</v>
      </c>
      <c r="J42" t="s">
        <v>987</v>
      </c>
      <c r="K42" t="s">
        <v>74</v>
      </c>
      <c r="L42" t="s">
        <v>74</v>
      </c>
      <c r="M42" t="s">
        <v>78</v>
      </c>
      <c r="N42" t="s">
        <v>79</v>
      </c>
      <c r="O42" t="s">
        <v>74</v>
      </c>
      <c r="P42" t="s">
        <v>74</v>
      </c>
      <c r="Q42" t="s">
        <v>74</v>
      </c>
      <c r="R42" t="s">
        <v>74</v>
      </c>
      <c r="S42" t="s">
        <v>74</v>
      </c>
      <c r="T42" t="s">
        <v>74</v>
      </c>
      <c r="U42" t="s">
        <v>988</v>
      </c>
      <c r="V42" t="s">
        <v>989</v>
      </c>
      <c r="W42" t="s">
        <v>990</v>
      </c>
      <c r="X42" t="s">
        <v>991</v>
      </c>
      <c r="Y42" t="s">
        <v>992</v>
      </c>
      <c r="Z42" t="s">
        <v>993</v>
      </c>
      <c r="AA42" t="s">
        <v>74</v>
      </c>
      <c r="AB42" t="s">
        <v>74</v>
      </c>
      <c r="AC42" t="s">
        <v>994</v>
      </c>
      <c r="AD42" t="s">
        <v>995</v>
      </c>
      <c r="AE42" t="s">
        <v>996</v>
      </c>
      <c r="AF42" t="s">
        <v>74</v>
      </c>
      <c r="AG42">
        <v>29</v>
      </c>
      <c r="AH42">
        <v>9</v>
      </c>
      <c r="AI42">
        <v>9</v>
      </c>
      <c r="AJ42">
        <v>0</v>
      </c>
      <c r="AK42">
        <v>6</v>
      </c>
      <c r="AL42" t="s">
        <v>226</v>
      </c>
      <c r="AM42" t="s">
        <v>227</v>
      </c>
      <c r="AN42" t="s">
        <v>228</v>
      </c>
      <c r="AO42" t="s">
        <v>997</v>
      </c>
      <c r="AP42" t="s">
        <v>998</v>
      </c>
      <c r="AQ42" t="s">
        <v>74</v>
      </c>
      <c r="AR42" t="s">
        <v>999</v>
      </c>
      <c r="AS42" t="s">
        <v>1000</v>
      </c>
      <c r="AT42" t="s">
        <v>931</v>
      </c>
      <c r="AU42">
        <v>2009</v>
      </c>
      <c r="AV42">
        <v>114</v>
      </c>
      <c r="AW42" t="s">
        <v>74</v>
      </c>
      <c r="AX42" t="s">
        <v>74</v>
      </c>
      <c r="AY42" t="s">
        <v>74</v>
      </c>
      <c r="AZ42" t="s">
        <v>74</v>
      </c>
      <c r="BA42" t="s">
        <v>74</v>
      </c>
      <c r="BB42" t="s">
        <v>74</v>
      </c>
      <c r="BC42" t="s">
        <v>74</v>
      </c>
      <c r="BD42" t="s">
        <v>1001</v>
      </c>
      <c r="BE42" t="s">
        <v>1002</v>
      </c>
      <c r="BF42" t="str">
        <f>HYPERLINK("http://dx.doi.org/10.1029/2009JA014576","http://dx.doi.org/10.1029/2009JA014576")</f>
        <v>http://dx.doi.org/10.1029/2009JA014576</v>
      </c>
      <c r="BG42" t="s">
        <v>74</v>
      </c>
      <c r="BH42" t="s">
        <v>74</v>
      </c>
      <c r="BI42">
        <v>10</v>
      </c>
      <c r="BJ42" t="s">
        <v>1003</v>
      </c>
      <c r="BK42" t="s">
        <v>98</v>
      </c>
      <c r="BL42" t="s">
        <v>1003</v>
      </c>
      <c r="BM42" t="s">
        <v>1004</v>
      </c>
      <c r="BN42" t="s">
        <v>74</v>
      </c>
      <c r="BO42" t="s">
        <v>263</v>
      </c>
      <c r="BP42" t="s">
        <v>74</v>
      </c>
      <c r="BQ42" t="s">
        <v>74</v>
      </c>
      <c r="BR42" t="s">
        <v>101</v>
      </c>
      <c r="BS42" t="s">
        <v>1005</v>
      </c>
      <c r="BT42" t="str">
        <f>HYPERLINK("https%3A%2F%2Fwww.webofscience.com%2Fwos%2Fwoscc%2Ffull-record%2FWOS:000272446800004","View Full Record in Web of Science")</f>
        <v>View Full Record in Web of Science</v>
      </c>
    </row>
    <row r="43" spans="1:72" x14ac:dyDescent="0.15">
      <c r="A43" t="s">
        <v>72</v>
      </c>
      <c r="B43" t="s">
        <v>1006</v>
      </c>
      <c r="C43" t="s">
        <v>74</v>
      </c>
      <c r="D43" t="s">
        <v>74</v>
      </c>
      <c r="E43" t="s">
        <v>74</v>
      </c>
      <c r="F43" t="s">
        <v>1007</v>
      </c>
      <c r="G43" t="s">
        <v>74</v>
      </c>
      <c r="H43" t="s">
        <v>74</v>
      </c>
      <c r="I43" t="s">
        <v>1008</v>
      </c>
      <c r="J43" t="s">
        <v>1009</v>
      </c>
      <c r="K43" t="s">
        <v>74</v>
      </c>
      <c r="L43" t="s">
        <v>74</v>
      </c>
      <c r="M43" t="s">
        <v>78</v>
      </c>
      <c r="N43" t="s">
        <v>79</v>
      </c>
      <c r="O43" t="s">
        <v>74</v>
      </c>
      <c r="P43" t="s">
        <v>74</v>
      </c>
      <c r="Q43" t="s">
        <v>74</v>
      </c>
      <c r="R43" t="s">
        <v>74</v>
      </c>
      <c r="S43" t="s">
        <v>74</v>
      </c>
      <c r="T43" t="s">
        <v>1010</v>
      </c>
      <c r="U43" t="s">
        <v>74</v>
      </c>
      <c r="V43" t="s">
        <v>1011</v>
      </c>
      <c r="W43" t="s">
        <v>1012</v>
      </c>
      <c r="X43" t="s">
        <v>1013</v>
      </c>
      <c r="Y43" t="s">
        <v>1014</v>
      </c>
      <c r="Z43" t="s">
        <v>1015</v>
      </c>
      <c r="AA43" t="s">
        <v>74</v>
      </c>
      <c r="AB43" t="s">
        <v>1016</v>
      </c>
      <c r="AC43" t="s">
        <v>1017</v>
      </c>
      <c r="AD43" t="s">
        <v>1017</v>
      </c>
      <c r="AE43" t="s">
        <v>1018</v>
      </c>
      <c r="AF43" t="s">
        <v>74</v>
      </c>
      <c r="AG43">
        <v>40</v>
      </c>
      <c r="AH43">
        <v>1</v>
      </c>
      <c r="AI43">
        <v>1</v>
      </c>
      <c r="AJ43">
        <v>0</v>
      </c>
      <c r="AK43">
        <v>1</v>
      </c>
      <c r="AL43" t="s">
        <v>1019</v>
      </c>
      <c r="AM43" t="s">
        <v>1020</v>
      </c>
      <c r="AN43" t="s">
        <v>1021</v>
      </c>
      <c r="AO43" t="s">
        <v>1022</v>
      </c>
      <c r="AP43" t="s">
        <v>1023</v>
      </c>
      <c r="AQ43" t="s">
        <v>74</v>
      </c>
      <c r="AR43" t="s">
        <v>1024</v>
      </c>
      <c r="AS43" t="s">
        <v>1025</v>
      </c>
      <c r="AT43" t="s">
        <v>1026</v>
      </c>
      <c r="AU43">
        <v>2009</v>
      </c>
      <c r="AV43">
        <v>28</v>
      </c>
      <c r="AW43">
        <v>4</v>
      </c>
      <c r="AX43" t="s">
        <v>74</v>
      </c>
      <c r="AY43" t="s">
        <v>74</v>
      </c>
      <c r="AZ43" t="s">
        <v>74</v>
      </c>
      <c r="BA43" t="s">
        <v>74</v>
      </c>
      <c r="BB43">
        <v>340</v>
      </c>
      <c r="BC43">
        <v>350</v>
      </c>
      <c r="BD43" t="s">
        <v>74</v>
      </c>
      <c r="BE43" t="s">
        <v>1027</v>
      </c>
      <c r="BF43" t="str">
        <f>HYPERLINK("http://dx.doi.org/10.1007/s11631-009-0340-2","http://dx.doi.org/10.1007/s11631-009-0340-2")</f>
        <v>http://dx.doi.org/10.1007/s11631-009-0340-2</v>
      </c>
      <c r="BG43" t="s">
        <v>74</v>
      </c>
      <c r="BH43" t="s">
        <v>74</v>
      </c>
      <c r="BI43">
        <v>11</v>
      </c>
      <c r="BJ43" t="s">
        <v>261</v>
      </c>
      <c r="BK43" t="s">
        <v>1028</v>
      </c>
      <c r="BL43" t="s">
        <v>261</v>
      </c>
      <c r="BM43" t="s">
        <v>1029</v>
      </c>
      <c r="BN43" t="s">
        <v>74</v>
      </c>
      <c r="BO43" t="s">
        <v>74</v>
      </c>
      <c r="BP43" t="s">
        <v>74</v>
      </c>
      <c r="BQ43" t="s">
        <v>74</v>
      </c>
      <c r="BR43" t="s">
        <v>101</v>
      </c>
      <c r="BS43" t="s">
        <v>1030</v>
      </c>
      <c r="BT43" t="str">
        <f>HYPERLINK("https%3A%2F%2Fwww.webofscience.com%2Fwos%2Fwoscc%2Ffull-record%2FWOS:000218307900002","View Full Record in Web of Science")</f>
        <v>View Full Record in Web of Science</v>
      </c>
    </row>
    <row r="44" spans="1:72" x14ac:dyDescent="0.15">
      <c r="A44" t="s">
        <v>72</v>
      </c>
      <c r="B44" t="s">
        <v>1031</v>
      </c>
      <c r="C44" t="s">
        <v>74</v>
      </c>
      <c r="D44" t="s">
        <v>74</v>
      </c>
      <c r="E44" t="s">
        <v>74</v>
      </c>
      <c r="F44" t="s">
        <v>1032</v>
      </c>
      <c r="G44" t="s">
        <v>74</v>
      </c>
      <c r="H44" t="s">
        <v>74</v>
      </c>
      <c r="I44" t="s">
        <v>1033</v>
      </c>
      <c r="J44" t="s">
        <v>1034</v>
      </c>
      <c r="K44" t="s">
        <v>74</v>
      </c>
      <c r="L44" t="s">
        <v>74</v>
      </c>
      <c r="M44" t="s">
        <v>78</v>
      </c>
      <c r="N44" t="s">
        <v>79</v>
      </c>
      <c r="O44" t="s">
        <v>74</v>
      </c>
      <c r="P44" t="s">
        <v>74</v>
      </c>
      <c r="Q44" t="s">
        <v>74</v>
      </c>
      <c r="R44" t="s">
        <v>74</v>
      </c>
      <c r="S44" t="s">
        <v>74</v>
      </c>
      <c r="T44" t="s">
        <v>1035</v>
      </c>
      <c r="U44" t="s">
        <v>1036</v>
      </c>
      <c r="V44" t="s">
        <v>1037</v>
      </c>
      <c r="W44" t="s">
        <v>1038</v>
      </c>
      <c r="X44" t="s">
        <v>1039</v>
      </c>
      <c r="Y44" t="s">
        <v>1040</v>
      </c>
      <c r="Z44" t="s">
        <v>1041</v>
      </c>
      <c r="AA44" t="s">
        <v>74</v>
      </c>
      <c r="AB44" t="s">
        <v>86</v>
      </c>
      <c r="AC44" t="s">
        <v>1042</v>
      </c>
      <c r="AD44" t="s">
        <v>1042</v>
      </c>
      <c r="AE44" t="s">
        <v>1043</v>
      </c>
      <c r="AF44" t="s">
        <v>74</v>
      </c>
      <c r="AG44">
        <v>27</v>
      </c>
      <c r="AH44">
        <v>43</v>
      </c>
      <c r="AI44">
        <v>44</v>
      </c>
      <c r="AJ44">
        <v>0</v>
      </c>
      <c r="AK44">
        <v>14</v>
      </c>
      <c r="AL44" t="s">
        <v>1044</v>
      </c>
      <c r="AM44" t="s">
        <v>1045</v>
      </c>
      <c r="AN44" t="s">
        <v>1046</v>
      </c>
      <c r="AO44" t="s">
        <v>1047</v>
      </c>
      <c r="AP44" t="s">
        <v>1048</v>
      </c>
      <c r="AQ44" t="s">
        <v>74</v>
      </c>
      <c r="AR44" t="s">
        <v>1049</v>
      </c>
      <c r="AS44" t="s">
        <v>1050</v>
      </c>
      <c r="AT44" t="s">
        <v>1026</v>
      </c>
      <c r="AU44">
        <v>2009</v>
      </c>
      <c r="AV44">
        <v>31</v>
      </c>
      <c r="AW44">
        <v>3</v>
      </c>
      <c r="AX44" t="s">
        <v>74</v>
      </c>
      <c r="AY44" t="s">
        <v>74</v>
      </c>
      <c r="AZ44" t="s">
        <v>74</v>
      </c>
      <c r="BA44" t="s">
        <v>74</v>
      </c>
      <c r="BB44">
        <v>409</v>
      </c>
      <c r="BC44">
        <v>417</v>
      </c>
      <c r="BD44" t="s">
        <v>74</v>
      </c>
      <c r="BE44" t="s">
        <v>1051</v>
      </c>
      <c r="BF44" t="str">
        <f>HYPERLINK("http://dx.doi.org/10.2989/AJMS.2009.31.3.13.1001","http://dx.doi.org/10.2989/AJMS.2009.31.3.13.1001")</f>
        <v>http://dx.doi.org/10.2989/AJMS.2009.31.3.13.1001</v>
      </c>
      <c r="BG44" t="s">
        <v>74</v>
      </c>
      <c r="BH44" t="s">
        <v>74</v>
      </c>
      <c r="BI44">
        <v>9</v>
      </c>
      <c r="BJ44" t="s">
        <v>1052</v>
      </c>
      <c r="BK44" t="s">
        <v>98</v>
      </c>
      <c r="BL44" t="s">
        <v>1052</v>
      </c>
      <c r="BM44" t="s">
        <v>1053</v>
      </c>
      <c r="BN44" t="s">
        <v>74</v>
      </c>
      <c r="BO44" t="s">
        <v>74</v>
      </c>
      <c r="BP44" t="s">
        <v>74</v>
      </c>
      <c r="BQ44" t="s">
        <v>74</v>
      </c>
      <c r="BR44" t="s">
        <v>101</v>
      </c>
      <c r="BS44" t="s">
        <v>1054</v>
      </c>
      <c r="BT44" t="str">
        <f>HYPERLINK("https%3A%2F%2Fwww.webofscience.com%2Fwos%2Fwoscc%2Ffull-record%2FWOS:000273131900013","View Full Record in Web of Science")</f>
        <v>View Full Record in Web of Science</v>
      </c>
    </row>
    <row r="45" spans="1:72" x14ac:dyDescent="0.15">
      <c r="A45" t="s">
        <v>72</v>
      </c>
      <c r="B45" t="s">
        <v>1055</v>
      </c>
      <c r="C45" t="s">
        <v>74</v>
      </c>
      <c r="D45" t="s">
        <v>74</v>
      </c>
      <c r="E45" t="s">
        <v>74</v>
      </c>
      <c r="F45" t="s">
        <v>1056</v>
      </c>
      <c r="G45" t="s">
        <v>74</v>
      </c>
      <c r="H45" t="s">
        <v>74</v>
      </c>
      <c r="I45" t="s">
        <v>1057</v>
      </c>
      <c r="J45" t="s">
        <v>1034</v>
      </c>
      <c r="K45" t="s">
        <v>74</v>
      </c>
      <c r="L45" t="s">
        <v>74</v>
      </c>
      <c r="M45" t="s">
        <v>78</v>
      </c>
      <c r="N45" t="s">
        <v>79</v>
      </c>
      <c r="O45" t="s">
        <v>74</v>
      </c>
      <c r="P45" t="s">
        <v>74</v>
      </c>
      <c r="Q45" t="s">
        <v>74</v>
      </c>
      <c r="R45" t="s">
        <v>74</v>
      </c>
      <c r="S45" t="s">
        <v>74</v>
      </c>
      <c r="T45" t="s">
        <v>1058</v>
      </c>
      <c r="U45" t="s">
        <v>1059</v>
      </c>
      <c r="V45" t="s">
        <v>1060</v>
      </c>
      <c r="W45" t="s">
        <v>1061</v>
      </c>
      <c r="X45" t="s">
        <v>1062</v>
      </c>
      <c r="Y45" t="s">
        <v>1063</v>
      </c>
      <c r="Z45" t="s">
        <v>1064</v>
      </c>
      <c r="AA45" t="s">
        <v>74</v>
      </c>
      <c r="AB45" t="s">
        <v>86</v>
      </c>
      <c r="AC45" t="s">
        <v>1065</v>
      </c>
      <c r="AD45" t="s">
        <v>1065</v>
      </c>
      <c r="AE45" t="s">
        <v>1066</v>
      </c>
      <c r="AF45" t="s">
        <v>74</v>
      </c>
      <c r="AG45">
        <v>23</v>
      </c>
      <c r="AH45">
        <v>42</v>
      </c>
      <c r="AI45">
        <v>46</v>
      </c>
      <c r="AJ45">
        <v>1</v>
      </c>
      <c r="AK45">
        <v>34</v>
      </c>
      <c r="AL45" t="s">
        <v>1044</v>
      </c>
      <c r="AM45" t="s">
        <v>1045</v>
      </c>
      <c r="AN45" t="s">
        <v>1046</v>
      </c>
      <c r="AO45" t="s">
        <v>1047</v>
      </c>
      <c r="AP45" t="s">
        <v>1048</v>
      </c>
      <c r="AQ45" t="s">
        <v>74</v>
      </c>
      <c r="AR45" t="s">
        <v>1049</v>
      </c>
      <c r="AS45" t="s">
        <v>1050</v>
      </c>
      <c r="AT45" t="s">
        <v>1026</v>
      </c>
      <c r="AU45">
        <v>2009</v>
      </c>
      <c r="AV45">
        <v>31</v>
      </c>
      <c r="AW45">
        <v>3</v>
      </c>
      <c r="AX45" t="s">
        <v>74</v>
      </c>
      <c r="AY45" t="s">
        <v>74</v>
      </c>
      <c r="AZ45" t="s">
        <v>74</v>
      </c>
      <c r="BA45" t="s">
        <v>74</v>
      </c>
      <c r="BB45">
        <v>419</v>
      </c>
      <c r="BC45">
        <v>426</v>
      </c>
      <c r="BD45" t="s">
        <v>74</v>
      </c>
      <c r="BE45" t="s">
        <v>1067</v>
      </c>
      <c r="BF45" t="str">
        <f>HYPERLINK("http://dx.doi.org/10.2989/AJMS.2009.31.3.14.1002","http://dx.doi.org/10.2989/AJMS.2009.31.3.14.1002")</f>
        <v>http://dx.doi.org/10.2989/AJMS.2009.31.3.14.1002</v>
      </c>
      <c r="BG45" t="s">
        <v>74</v>
      </c>
      <c r="BH45" t="s">
        <v>74</v>
      </c>
      <c r="BI45">
        <v>8</v>
      </c>
      <c r="BJ45" t="s">
        <v>1052</v>
      </c>
      <c r="BK45" t="s">
        <v>98</v>
      </c>
      <c r="BL45" t="s">
        <v>1052</v>
      </c>
      <c r="BM45" t="s">
        <v>1053</v>
      </c>
      <c r="BN45" t="s">
        <v>74</v>
      </c>
      <c r="BO45" t="s">
        <v>74</v>
      </c>
      <c r="BP45" t="s">
        <v>74</v>
      </c>
      <c r="BQ45" t="s">
        <v>74</v>
      </c>
      <c r="BR45" t="s">
        <v>101</v>
      </c>
      <c r="BS45" t="s">
        <v>1068</v>
      </c>
      <c r="BT45" t="str">
        <f>HYPERLINK("https%3A%2F%2Fwww.webofscience.com%2Fwos%2Fwoscc%2Ffull-record%2FWOS:000273131900014","View Full Record in Web of Science")</f>
        <v>View Full Record in Web of Science</v>
      </c>
    </row>
    <row r="46" spans="1:72" x14ac:dyDescent="0.15">
      <c r="A46" t="s">
        <v>72</v>
      </c>
      <c r="B46" t="s">
        <v>1069</v>
      </c>
      <c r="C46" t="s">
        <v>74</v>
      </c>
      <c r="D46" t="s">
        <v>74</v>
      </c>
      <c r="E46" t="s">
        <v>74</v>
      </c>
      <c r="F46" t="s">
        <v>1070</v>
      </c>
      <c r="G46" t="s">
        <v>74</v>
      </c>
      <c r="H46" t="s">
        <v>74</v>
      </c>
      <c r="I46" t="s">
        <v>1071</v>
      </c>
      <c r="J46" t="s">
        <v>1034</v>
      </c>
      <c r="K46" t="s">
        <v>74</v>
      </c>
      <c r="L46" t="s">
        <v>74</v>
      </c>
      <c r="M46" t="s">
        <v>78</v>
      </c>
      <c r="N46" t="s">
        <v>79</v>
      </c>
      <c r="O46" t="s">
        <v>74</v>
      </c>
      <c r="P46" t="s">
        <v>74</v>
      </c>
      <c r="Q46" t="s">
        <v>74</v>
      </c>
      <c r="R46" t="s">
        <v>74</v>
      </c>
      <c r="S46" t="s">
        <v>74</v>
      </c>
      <c r="T46" t="s">
        <v>1072</v>
      </c>
      <c r="U46" t="s">
        <v>1073</v>
      </c>
      <c r="V46" t="s">
        <v>1074</v>
      </c>
      <c r="W46" t="s">
        <v>1075</v>
      </c>
      <c r="X46" t="s">
        <v>1076</v>
      </c>
      <c r="Y46" t="s">
        <v>1063</v>
      </c>
      <c r="Z46" t="s">
        <v>1064</v>
      </c>
      <c r="AA46" t="s">
        <v>74</v>
      </c>
      <c r="AB46" t="s">
        <v>86</v>
      </c>
      <c r="AC46" t="s">
        <v>1065</v>
      </c>
      <c r="AD46" t="s">
        <v>1065</v>
      </c>
      <c r="AE46" t="s">
        <v>1077</v>
      </c>
      <c r="AF46" t="s">
        <v>74</v>
      </c>
      <c r="AG46">
        <v>19</v>
      </c>
      <c r="AH46">
        <v>4</v>
      </c>
      <c r="AI46">
        <v>5</v>
      </c>
      <c r="AJ46">
        <v>0</v>
      </c>
      <c r="AK46">
        <v>2</v>
      </c>
      <c r="AL46" t="s">
        <v>1044</v>
      </c>
      <c r="AM46" t="s">
        <v>1045</v>
      </c>
      <c r="AN46" t="s">
        <v>1046</v>
      </c>
      <c r="AO46" t="s">
        <v>1047</v>
      </c>
      <c r="AP46" t="s">
        <v>74</v>
      </c>
      <c r="AQ46" t="s">
        <v>74</v>
      </c>
      <c r="AR46" t="s">
        <v>1049</v>
      </c>
      <c r="AS46" t="s">
        <v>1050</v>
      </c>
      <c r="AT46" t="s">
        <v>1026</v>
      </c>
      <c r="AU46">
        <v>2009</v>
      </c>
      <c r="AV46">
        <v>31</v>
      </c>
      <c r="AW46">
        <v>3</v>
      </c>
      <c r="AX46" t="s">
        <v>74</v>
      </c>
      <c r="AY46" t="s">
        <v>74</v>
      </c>
      <c r="AZ46" t="s">
        <v>74</v>
      </c>
      <c r="BA46" t="s">
        <v>74</v>
      </c>
      <c r="BB46">
        <v>427</v>
      </c>
      <c r="BC46">
        <v>430</v>
      </c>
      <c r="BD46" t="s">
        <v>74</v>
      </c>
      <c r="BE46" t="s">
        <v>1078</v>
      </c>
      <c r="BF46" t="str">
        <f>HYPERLINK("http://dx.doi.org/10.2989/AJMS.2009.31.3.15.1003","http://dx.doi.org/10.2989/AJMS.2009.31.3.15.1003")</f>
        <v>http://dx.doi.org/10.2989/AJMS.2009.31.3.15.1003</v>
      </c>
      <c r="BG46" t="s">
        <v>74</v>
      </c>
      <c r="BH46" t="s">
        <v>74</v>
      </c>
      <c r="BI46">
        <v>4</v>
      </c>
      <c r="BJ46" t="s">
        <v>1052</v>
      </c>
      <c r="BK46" t="s">
        <v>98</v>
      </c>
      <c r="BL46" t="s">
        <v>1052</v>
      </c>
      <c r="BM46" t="s">
        <v>1053</v>
      </c>
      <c r="BN46" t="s">
        <v>74</v>
      </c>
      <c r="BO46" t="s">
        <v>74</v>
      </c>
      <c r="BP46" t="s">
        <v>74</v>
      </c>
      <c r="BQ46" t="s">
        <v>74</v>
      </c>
      <c r="BR46" t="s">
        <v>101</v>
      </c>
      <c r="BS46" t="s">
        <v>1079</v>
      </c>
      <c r="BT46" t="str">
        <f>HYPERLINK("https%3A%2F%2Fwww.webofscience.com%2Fwos%2Fwoscc%2Ffull-record%2FWOS:000273131900015","View Full Record in Web of Science")</f>
        <v>View Full Record in Web of Science</v>
      </c>
    </row>
    <row r="47" spans="1:72" x14ac:dyDescent="0.15">
      <c r="A47" t="s">
        <v>72</v>
      </c>
      <c r="B47" t="s">
        <v>1080</v>
      </c>
      <c r="C47" t="s">
        <v>74</v>
      </c>
      <c r="D47" t="s">
        <v>74</v>
      </c>
      <c r="E47" t="s">
        <v>74</v>
      </c>
      <c r="F47" t="s">
        <v>1081</v>
      </c>
      <c r="G47" t="s">
        <v>74</v>
      </c>
      <c r="H47" t="s">
        <v>74</v>
      </c>
      <c r="I47" t="s">
        <v>1082</v>
      </c>
      <c r="J47" t="s">
        <v>1034</v>
      </c>
      <c r="K47" t="s">
        <v>74</v>
      </c>
      <c r="L47" t="s">
        <v>74</v>
      </c>
      <c r="M47" t="s">
        <v>78</v>
      </c>
      <c r="N47" t="s">
        <v>79</v>
      </c>
      <c r="O47" t="s">
        <v>74</v>
      </c>
      <c r="P47" t="s">
        <v>74</v>
      </c>
      <c r="Q47" t="s">
        <v>74</v>
      </c>
      <c r="R47" t="s">
        <v>74</v>
      </c>
      <c r="S47" t="s">
        <v>74</v>
      </c>
      <c r="T47" t="s">
        <v>1083</v>
      </c>
      <c r="U47" t="s">
        <v>1084</v>
      </c>
      <c r="V47" t="s">
        <v>1085</v>
      </c>
      <c r="W47" t="s">
        <v>1086</v>
      </c>
      <c r="X47" t="s">
        <v>1087</v>
      </c>
      <c r="Y47" t="s">
        <v>1088</v>
      </c>
      <c r="Z47" t="s">
        <v>1041</v>
      </c>
      <c r="AA47" t="s">
        <v>74</v>
      </c>
      <c r="AB47" t="s">
        <v>86</v>
      </c>
      <c r="AC47" t="s">
        <v>1042</v>
      </c>
      <c r="AD47" t="s">
        <v>1042</v>
      </c>
      <c r="AE47" t="s">
        <v>1089</v>
      </c>
      <c r="AF47" t="s">
        <v>74</v>
      </c>
      <c r="AG47">
        <v>28</v>
      </c>
      <c r="AH47">
        <v>14</v>
      </c>
      <c r="AI47">
        <v>14</v>
      </c>
      <c r="AJ47">
        <v>0</v>
      </c>
      <c r="AK47">
        <v>11</v>
      </c>
      <c r="AL47" t="s">
        <v>1044</v>
      </c>
      <c r="AM47" t="s">
        <v>1045</v>
      </c>
      <c r="AN47" t="s">
        <v>1046</v>
      </c>
      <c r="AO47" t="s">
        <v>1047</v>
      </c>
      <c r="AP47" t="s">
        <v>74</v>
      </c>
      <c r="AQ47" t="s">
        <v>74</v>
      </c>
      <c r="AR47" t="s">
        <v>1049</v>
      </c>
      <c r="AS47" t="s">
        <v>1050</v>
      </c>
      <c r="AT47" t="s">
        <v>1026</v>
      </c>
      <c r="AU47">
        <v>2009</v>
      </c>
      <c r="AV47">
        <v>31</v>
      </c>
      <c r="AW47">
        <v>3</v>
      </c>
      <c r="AX47" t="s">
        <v>74</v>
      </c>
      <c r="AY47" t="s">
        <v>74</v>
      </c>
      <c r="AZ47" t="s">
        <v>74</v>
      </c>
      <c r="BA47" t="s">
        <v>74</v>
      </c>
      <c r="BB47">
        <v>431</v>
      </c>
      <c r="BC47">
        <v>437</v>
      </c>
      <c r="BD47" t="s">
        <v>74</v>
      </c>
      <c r="BE47" t="s">
        <v>1090</v>
      </c>
      <c r="BF47" t="str">
        <f>HYPERLINK("http://dx.doi.org/10.2989/AJMS.2009.31.3.16.1004","http://dx.doi.org/10.2989/AJMS.2009.31.3.16.1004")</f>
        <v>http://dx.doi.org/10.2989/AJMS.2009.31.3.16.1004</v>
      </c>
      <c r="BG47" t="s">
        <v>74</v>
      </c>
      <c r="BH47" t="s">
        <v>74</v>
      </c>
      <c r="BI47">
        <v>7</v>
      </c>
      <c r="BJ47" t="s">
        <v>1052</v>
      </c>
      <c r="BK47" t="s">
        <v>98</v>
      </c>
      <c r="BL47" t="s">
        <v>1052</v>
      </c>
      <c r="BM47" t="s">
        <v>1053</v>
      </c>
      <c r="BN47" t="s">
        <v>74</v>
      </c>
      <c r="BO47" t="s">
        <v>74</v>
      </c>
      <c r="BP47" t="s">
        <v>74</v>
      </c>
      <c r="BQ47" t="s">
        <v>74</v>
      </c>
      <c r="BR47" t="s">
        <v>101</v>
      </c>
      <c r="BS47" t="s">
        <v>1091</v>
      </c>
      <c r="BT47" t="str">
        <f>HYPERLINK("https%3A%2F%2Fwww.webofscience.com%2Fwos%2Fwoscc%2Ffull-record%2FWOS:000273131900016","View Full Record in Web of Science")</f>
        <v>View Full Record in Web of Science</v>
      </c>
    </row>
    <row r="48" spans="1:72" x14ac:dyDescent="0.15">
      <c r="A48" t="s">
        <v>72</v>
      </c>
      <c r="B48" t="s">
        <v>1092</v>
      </c>
      <c r="C48" t="s">
        <v>74</v>
      </c>
      <c r="D48" t="s">
        <v>74</v>
      </c>
      <c r="E48" t="s">
        <v>74</v>
      </c>
      <c r="F48" t="s">
        <v>1093</v>
      </c>
      <c r="G48" t="s">
        <v>74</v>
      </c>
      <c r="H48" t="s">
        <v>74</v>
      </c>
      <c r="I48" t="s">
        <v>1094</v>
      </c>
      <c r="J48" t="s">
        <v>1034</v>
      </c>
      <c r="K48" t="s">
        <v>74</v>
      </c>
      <c r="L48" t="s">
        <v>74</v>
      </c>
      <c r="M48" t="s">
        <v>78</v>
      </c>
      <c r="N48" t="s">
        <v>79</v>
      </c>
      <c r="O48" t="s">
        <v>74</v>
      </c>
      <c r="P48" t="s">
        <v>74</v>
      </c>
      <c r="Q48" t="s">
        <v>74</v>
      </c>
      <c r="R48" t="s">
        <v>74</v>
      </c>
      <c r="S48" t="s">
        <v>74</v>
      </c>
      <c r="T48" t="s">
        <v>1095</v>
      </c>
      <c r="U48" t="s">
        <v>1096</v>
      </c>
      <c r="V48" t="s">
        <v>1097</v>
      </c>
      <c r="W48" t="s">
        <v>1098</v>
      </c>
      <c r="X48" t="s">
        <v>1099</v>
      </c>
      <c r="Y48" t="s">
        <v>1100</v>
      </c>
      <c r="Z48" t="s">
        <v>1101</v>
      </c>
      <c r="AA48" t="s">
        <v>74</v>
      </c>
      <c r="AB48" t="s">
        <v>86</v>
      </c>
      <c r="AC48" t="s">
        <v>1065</v>
      </c>
      <c r="AD48" t="s">
        <v>1065</v>
      </c>
      <c r="AE48" t="s">
        <v>1102</v>
      </c>
      <c r="AF48" t="s">
        <v>74</v>
      </c>
      <c r="AG48">
        <v>29</v>
      </c>
      <c r="AH48">
        <v>0</v>
      </c>
      <c r="AI48">
        <v>0</v>
      </c>
      <c r="AJ48">
        <v>0</v>
      </c>
      <c r="AK48">
        <v>4</v>
      </c>
      <c r="AL48" t="s">
        <v>1044</v>
      </c>
      <c r="AM48" t="s">
        <v>1045</v>
      </c>
      <c r="AN48" t="s">
        <v>1046</v>
      </c>
      <c r="AO48" t="s">
        <v>1047</v>
      </c>
      <c r="AP48" t="s">
        <v>1048</v>
      </c>
      <c r="AQ48" t="s">
        <v>74</v>
      </c>
      <c r="AR48" t="s">
        <v>1049</v>
      </c>
      <c r="AS48" t="s">
        <v>1050</v>
      </c>
      <c r="AT48" t="s">
        <v>1026</v>
      </c>
      <c r="AU48">
        <v>2009</v>
      </c>
      <c r="AV48">
        <v>31</v>
      </c>
      <c r="AW48">
        <v>3</v>
      </c>
      <c r="AX48" t="s">
        <v>74</v>
      </c>
      <c r="AY48" t="s">
        <v>74</v>
      </c>
      <c r="AZ48" t="s">
        <v>74</v>
      </c>
      <c r="BA48" t="s">
        <v>74</v>
      </c>
      <c r="BB48">
        <v>439</v>
      </c>
      <c r="BC48">
        <v>444</v>
      </c>
      <c r="BD48" t="s">
        <v>74</v>
      </c>
      <c r="BE48" t="s">
        <v>1103</v>
      </c>
      <c r="BF48" t="str">
        <f>HYPERLINK("http://dx.doi.org/10.2989/AJMS.2009.31.3.17.1005","http://dx.doi.org/10.2989/AJMS.2009.31.3.17.1005")</f>
        <v>http://dx.doi.org/10.2989/AJMS.2009.31.3.17.1005</v>
      </c>
      <c r="BG48" t="s">
        <v>74</v>
      </c>
      <c r="BH48" t="s">
        <v>74</v>
      </c>
      <c r="BI48">
        <v>6</v>
      </c>
      <c r="BJ48" t="s">
        <v>1052</v>
      </c>
      <c r="BK48" t="s">
        <v>98</v>
      </c>
      <c r="BL48" t="s">
        <v>1052</v>
      </c>
      <c r="BM48" t="s">
        <v>1053</v>
      </c>
      <c r="BN48" t="s">
        <v>74</v>
      </c>
      <c r="BO48" t="s">
        <v>74</v>
      </c>
      <c r="BP48" t="s">
        <v>74</v>
      </c>
      <c r="BQ48" t="s">
        <v>74</v>
      </c>
      <c r="BR48" t="s">
        <v>101</v>
      </c>
      <c r="BS48" t="s">
        <v>1104</v>
      </c>
      <c r="BT48" t="str">
        <f>HYPERLINK("https%3A%2F%2Fwww.webofscience.com%2Fwos%2Fwoscc%2Ffull-record%2FWOS:000273131900017","View Full Record in Web of Science")</f>
        <v>View Full Record in Web of Science</v>
      </c>
    </row>
    <row r="49" spans="1:72" x14ac:dyDescent="0.15">
      <c r="A49" t="s">
        <v>72</v>
      </c>
      <c r="B49" t="s">
        <v>1105</v>
      </c>
      <c r="C49" t="s">
        <v>74</v>
      </c>
      <c r="D49" t="s">
        <v>74</v>
      </c>
      <c r="E49" t="s">
        <v>74</v>
      </c>
      <c r="F49" t="s">
        <v>1106</v>
      </c>
      <c r="G49" t="s">
        <v>74</v>
      </c>
      <c r="H49" t="s">
        <v>74</v>
      </c>
      <c r="I49" t="s">
        <v>1107</v>
      </c>
      <c r="J49" t="s">
        <v>1034</v>
      </c>
      <c r="K49" t="s">
        <v>74</v>
      </c>
      <c r="L49" t="s">
        <v>74</v>
      </c>
      <c r="M49" t="s">
        <v>78</v>
      </c>
      <c r="N49" t="s">
        <v>79</v>
      </c>
      <c r="O49" t="s">
        <v>74</v>
      </c>
      <c r="P49" t="s">
        <v>74</v>
      </c>
      <c r="Q49" t="s">
        <v>74</v>
      </c>
      <c r="R49" t="s">
        <v>74</v>
      </c>
      <c r="S49" t="s">
        <v>74</v>
      </c>
      <c r="T49" t="s">
        <v>1108</v>
      </c>
      <c r="U49" t="s">
        <v>74</v>
      </c>
      <c r="V49" t="s">
        <v>1109</v>
      </c>
      <c r="W49" t="s">
        <v>1110</v>
      </c>
      <c r="X49" t="s">
        <v>1111</v>
      </c>
      <c r="Y49" t="s">
        <v>1112</v>
      </c>
      <c r="Z49" t="s">
        <v>1113</v>
      </c>
      <c r="AA49" t="s">
        <v>1114</v>
      </c>
      <c r="AB49" t="s">
        <v>1115</v>
      </c>
      <c r="AC49" t="s">
        <v>1116</v>
      </c>
      <c r="AD49" t="s">
        <v>1116</v>
      </c>
      <c r="AE49" t="s">
        <v>1117</v>
      </c>
      <c r="AF49" t="s">
        <v>74</v>
      </c>
      <c r="AG49">
        <v>17</v>
      </c>
      <c r="AH49">
        <v>4</v>
      </c>
      <c r="AI49">
        <v>5</v>
      </c>
      <c r="AJ49">
        <v>0</v>
      </c>
      <c r="AK49">
        <v>4</v>
      </c>
      <c r="AL49" t="s">
        <v>1044</v>
      </c>
      <c r="AM49" t="s">
        <v>1045</v>
      </c>
      <c r="AN49" t="s">
        <v>1046</v>
      </c>
      <c r="AO49" t="s">
        <v>1047</v>
      </c>
      <c r="AP49" t="s">
        <v>1048</v>
      </c>
      <c r="AQ49" t="s">
        <v>74</v>
      </c>
      <c r="AR49" t="s">
        <v>1049</v>
      </c>
      <c r="AS49" t="s">
        <v>1050</v>
      </c>
      <c r="AT49" t="s">
        <v>1026</v>
      </c>
      <c r="AU49">
        <v>2009</v>
      </c>
      <c r="AV49">
        <v>31</v>
      </c>
      <c r="AW49">
        <v>3</v>
      </c>
      <c r="AX49" t="s">
        <v>74</v>
      </c>
      <c r="AY49" t="s">
        <v>74</v>
      </c>
      <c r="AZ49" t="s">
        <v>74</v>
      </c>
      <c r="BA49" t="s">
        <v>74</v>
      </c>
      <c r="BB49">
        <v>445</v>
      </c>
      <c r="BC49">
        <v>450</v>
      </c>
      <c r="BD49" t="s">
        <v>74</v>
      </c>
      <c r="BE49" t="s">
        <v>1118</v>
      </c>
      <c r="BF49" t="str">
        <f>HYPERLINK("http://dx.doi.org/10.2989/AJMS.2009.31.3.18.1006","http://dx.doi.org/10.2989/AJMS.2009.31.3.18.1006")</f>
        <v>http://dx.doi.org/10.2989/AJMS.2009.31.3.18.1006</v>
      </c>
      <c r="BG49" t="s">
        <v>74</v>
      </c>
      <c r="BH49" t="s">
        <v>74</v>
      </c>
      <c r="BI49">
        <v>6</v>
      </c>
      <c r="BJ49" t="s">
        <v>1052</v>
      </c>
      <c r="BK49" t="s">
        <v>98</v>
      </c>
      <c r="BL49" t="s">
        <v>1052</v>
      </c>
      <c r="BM49" t="s">
        <v>1053</v>
      </c>
      <c r="BN49" t="s">
        <v>74</v>
      </c>
      <c r="BO49" t="s">
        <v>1119</v>
      </c>
      <c r="BP49" t="s">
        <v>74</v>
      </c>
      <c r="BQ49" t="s">
        <v>74</v>
      </c>
      <c r="BR49" t="s">
        <v>101</v>
      </c>
      <c r="BS49" t="s">
        <v>1120</v>
      </c>
      <c r="BT49" t="str">
        <f>HYPERLINK("https%3A%2F%2Fwww.webofscience.com%2Fwos%2Fwoscc%2Ffull-record%2FWOS:000273131900018","View Full Record in Web of Science")</f>
        <v>View Full Record in Web of Science</v>
      </c>
    </row>
    <row r="50" spans="1:72" x14ac:dyDescent="0.15">
      <c r="A50" t="s">
        <v>72</v>
      </c>
      <c r="B50" t="s">
        <v>1121</v>
      </c>
      <c r="C50" t="s">
        <v>74</v>
      </c>
      <c r="D50" t="s">
        <v>74</v>
      </c>
      <c r="E50" t="s">
        <v>74</v>
      </c>
      <c r="F50" t="s">
        <v>1122</v>
      </c>
      <c r="G50" t="s">
        <v>74</v>
      </c>
      <c r="H50" t="s">
        <v>74</v>
      </c>
      <c r="I50" t="s">
        <v>1123</v>
      </c>
      <c r="J50" t="s">
        <v>1034</v>
      </c>
      <c r="K50" t="s">
        <v>74</v>
      </c>
      <c r="L50" t="s">
        <v>74</v>
      </c>
      <c r="M50" t="s">
        <v>78</v>
      </c>
      <c r="N50" t="s">
        <v>79</v>
      </c>
      <c r="O50" t="s">
        <v>74</v>
      </c>
      <c r="P50" t="s">
        <v>74</v>
      </c>
      <c r="Q50" t="s">
        <v>74</v>
      </c>
      <c r="R50" t="s">
        <v>74</v>
      </c>
      <c r="S50" t="s">
        <v>74</v>
      </c>
      <c r="T50" t="s">
        <v>1124</v>
      </c>
      <c r="U50" t="s">
        <v>1125</v>
      </c>
      <c r="V50" t="s">
        <v>1126</v>
      </c>
      <c r="W50" t="s">
        <v>1127</v>
      </c>
      <c r="X50" t="s">
        <v>1128</v>
      </c>
      <c r="Y50" t="s">
        <v>1129</v>
      </c>
      <c r="Z50" t="s">
        <v>1130</v>
      </c>
      <c r="AA50" t="s">
        <v>1131</v>
      </c>
      <c r="AB50" t="s">
        <v>86</v>
      </c>
      <c r="AC50" t="s">
        <v>74</v>
      </c>
      <c r="AD50" t="s">
        <v>74</v>
      </c>
      <c r="AE50" t="s">
        <v>74</v>
      </c>
      <c r="AF50" t="s">
        <v>74</v>
      </c>
      <c r="AG50">
        <v>22</v>
      </c>
      <c r="AH50">
        <v>9</v>
      </c>
      <c r="AI50">
        <v>10</v>
      </c>
      <c r="AJ50">
        <v>0</v>
      </c>
      <c r="AK50">
        <v>9</v>
      </c>
      <c r="AL50" t="s">
        <v>1044</v>
      </c>
      <c r="AM50" t="s">
        <v>1045</v>
      </c>
      <c r="AN50" t="s">
        <v>1046</v>
      </c>
      <c r="AO50" t="s">
        <v>1047</v>
      </c>
      <c r="AP50" t="s">
        <v>74</v>
      </c>
      <c r="AQ50" t="s">
        <v>74</v>
      </c>
      <c r="AR50" t="s">
        <v>1049</v>
      </c>
      <c r="AS50" t="s">
        <v>1050</v>
      </c>
      <c r="AT50" t="s">
        <v>1026</v>
      </c>
      <c r="AU50">
        <v>2009</v>
      </c>
      <c r="AV50">
        <v>31</v>
      </c>
      <c r="AW50">
        <v>3</v>
      </c>
      <c r="AX50" t="s">
        <v>74</v>
      </c>
      <c r="AY50" t="s">
        <v>74</v>
      </c>
      <c r="AZ50" t="s">
        <v>74</v>
      </c>
      <c r="BA50" t="s">
        <v>74</v>
      </c>
      <c r="BB50">
        <v>451</v>
      </c>
      <c r="BC50">
        <v>455</v>
      </c>
      <c r="BD50" t="s">
        <v>74</v>
      </c>
      <c r="BE50" t="s">
        <v>1132</v>
      </c>
      <c r="BF50" t="str">
        <f>HYPERLINK("http://dx.doi.org/10.2989/AJMS.2009.31.3.19.1007","http://dx.doi.org/10.2989/AJMS.2009.31.3.19.1007")</f>
        <v>http://dx.doi.org/10.2989/AJMS.2009.31.3.19.1007</v>
      </c>
      <c r="BG50" t="s">
        <v>74</v>
      </c>
      <c r="BH50" t="s">
        <v>74</v>
      </c>
      <c r="BI50">
        <v>5</v>
      </c>
      <c r="BJ50" t="s">
        <v>1052</v>
      </c>
      <c r="BK50" t="s">
        <v>98</v>
      </c>
      <c r="BL50" t="s">
        <v>1052</v>
      </c>
      <c r="BM50" t="s">
        <v>1053</v>
      </c>
      <c r="BN50" t="s">
        <v>74</v>
      </c>
      <c r="BO50" t="s">
        <v>1119</v>
      </c>
      <c r="BP50" t="s">
        <v>74</v>
      </c>
      <c r="BQ50" t="s">
        <v>74</v>
      </c>
      <c r="BR50" t="s">
        <v>101</v>
      </c>
      <c r="BS50" t="s">
        <v>1133</v>
      </c>
      <c r="BT50" t="str">
        <f>HYPERLINK("https%3A%2F%2Fwww.webofscience.com%2Fwos%2Fwoscc%2Ffull-record%2FWOS:000273131900019","View Full Record in Web of Science")</f>
        <v>View Full Record in Web of Science</v>
      </c>
    </row>
    <row r="51" spans="1:72" x14ac:dyDescent="0.15">
      <c r="A51" t="s">
        <v>72</v>
      </c>
      <c r="B51" t="s">
        <v>1134</v>
      </c>
      <c r="C51" t="s">
        <v>74</v>
      </c>
      <c r="D51" t="s">
        <v>74</v>
      </c>
      <c r="E51" t="s">
        <v>74</v>
      </c>
      <c r="F51" t="s">
        <v>1135</v>
      </c>
      <c r="G51" t="s">
        <v>74</v>
      </c>
      <c r="H51" t="s">
        <v>74</v>
      </c>
      <c r="I51" t="s">
        <v>1136</v>
      </c>
      <c r="J51" t="s">
        <v>1034</v>
      </c>
      <c r="K51" t="s">
        <v>74</v>
      </c>
      <c r="L51" t="s">
        <v>74</v>
      </c>
      <c r="M51" t="s">
        <v>78</v>
      </c>
      <c r="N51" t="s">
        <v>79</v>
      </c>
      <c r="O51" t="s">
        <v>74</v>
      </c>
      <c r="P51" t="s">
        <v>74</v>
      </c>
      <c r="Q51" t="s">
        <v>74</v>
      </c>
      <c r="R51" t="s">
        <v>74</v>
      </c>
      <c r="S51" t="s">
        <v>74</v>
      </c>
      <c r="T51" t="s">
        <v>1137</v>
      </c>
      <c r="U51" t="s">
        <v>1138</v>
      </c>
      <c r="V51" t="s">
        <v>1139</v>
      </c>
      <c r="W51" t="s">
        <v>1140</v>
      </c>
      <c r="X51" t="s">
        <v>1141</v>
      </c>
      <c r="Y51" t="s">
        <v>1142</v>
      </c>
      <c r="Z51" t="s">
        <v>1113</v>
      </c>
      <c r="AA51" t="s">
        <v>1143</v>
      </c>
      <c r="AB51" t="s">
        <v>1144</v>
      </c>
      <c r="AC51" t="s">
        <v>1145</v>
      </c>
      <c r="AD51" t="s">
        <v>1145</v>
      </c>
      <c r="AE51" t="s">
        <v>1146</v>
      </c>
      <c r="AF51" t="s">
        <v>74</v>
      </c>
      <c r="AG51">
        <v>23</v>
      </c>
      <c r="AH51">
        <v>9</v>
      </c>
      <c r="AI51">
        <v>10</v>
      </c>
      <c r="AJ51">
        <v>0</v>
      </c>
      <c r="AK51">
        <v>3</v>
      </c>
      <c r="AL51" t="s">
        <v>1044</v>
      </c>
      <c r="AM51" t="s">
        <v>1045</v>
      </c>
      <c r="AN51" t="s">
        <v>1046</v>
      </c>
      <c r="AO51" t="s">
        <v>1047</v>
      </c>
      <c r="AP51" t="s">
        <v>74</v>
      </c>
      <c r="AQ51" t="s">
        <v>74</v>
      </c>
      <c r="AR51" t="s">
        <v>1049</v>
      </c>
      <c r="AS51" t="s">
        <v>1050</v>
      </c>
      <c r="AT51" t="s">
        <v>1026</v>
      </c>
      <c r="AU51">
        <v>2009</v>
      </c>
      <c r="AV51">
        <v>31</v>
      </c>
      <c r="AW51">
        <v>3</v>
      </c>
      <c r="AX51" t="s">
        <v>74</v>
      </c>
      <c r="AY51" t="s">
        <v>74</v>
      </c>
      <c r="AZ51" t="s">
        <v>74</v>
      </c>
      <c r="BA51" t="s">
        <v>74</v>
      </c>
      <c r="BB51">
        <v>457</v>
      </c>
      <c r="BC51">
        <v>462</v>
      </c>
      <c r="BD51" t="s">
        <v>74</v>
      </c>
      <c r="BE51" t="s">
        <v>1147</v>
      </c>
      <c r="BF51" t="str">
        <f>HYPERLINK("http://dx.doi.org/10.2989/AJMS.2009.31.3.20.1008","http://dx.doi.org/10.2989/AJMS.2009.31.3.20.1008")</f>
        <v>http://dx.doi.org/10.2989/AJMS.2009.31.3.20.1008</v>
      </c>
      <c r="BG51" t="s">
        <v>74</v>
      </c>
      <c r="BH51" t="s">
        <v>74</v>
      </c>
      <c r="BI51">
        <v>6</v>
      </c>
      <c r="BJ51" t="s">
        <v>1052</v>
      </c>
      <c r="BK51" t="s">
        <v>98</v>
      </c>
      <c r="BL51" t="s">
        <v>1052</v>
      </c>
      <c r="BM51" t="s">
        <v>1053</v>
      </c>
      <c r="BN51" t="s">
        <v>74</v>
      </c>
      <c r="BO51" t="s">
        <v>1119</v>
      </c>
      <c r="BP51" t="s">
        <v>74</v>
      </c>
      <c r="BQ51" t="s">
        <v>74</v>
      </c>
      <c r="BR51" t="s">
        <v>101</v>
      </c>
      <c r="BS51" t="s">
        <v>1148</v>
      </c>
      <c r="BT51" t="str">
        <f>HYPERLINK("https%3A%2F%2Fwww.webofscience.com%2Fwos%2Fwoscc%2Ffull-record%2FWOS:000273131900020","View Full Record in Web of Science")</f>
        <v>View Full Record in Web of Science</v>
      </c>
    </row>
    <row r="52" spans="1:72" x14ac:dyDescent="0.15">
      <c r="A52" t="s">
        <v>72</v>
      </c>
      <c r="B52" t="s">
        <v>1149</v>
      </c>
      <c r="C52" t="s">
        <v>74</v>
      </c>
      <c r="D52" t="s">
        <v>74</v>
      </c>
      <c r="E52" t="s">
        <v>74</v>
      </c>
      <c r="F52" t="s">
        <v>1150</v>
      </c>
      <c r="G52" t="s">
        <v>74</v>
      </c>
      <c r="H52" t="s">
        <v>74</v>
      </c>
      <c r="I52" t="s">
        <v>1151</v>
      </c>
      <c r="J52" t="s">
        <v>1152</v>
      </c>
      <c r="K52" t="s">
        <v>74</v>
      </c>
      <c r="L52" t="s">
        <v>74</v>
      </c>
      <c r="M52" t="s">
        <v>1153</v>
      </c>
      <c r="N52" t="s">
        <v>79</v>
      </c>
      <c r="O52" t="s">
        <v>74</v>
      </c>
      <c r="P52" t="s">
        <v>74</v>
      </c>
      <c r="Q52" t="s">
        <v>74</v>
      </c>
      <c r="R52" t="s">
        <v>74</v>
      </c>
      <c r="S52" t="s">
        <v>74</v>
      </c>
      <c r="T52" t="s">
        <v>1154</v>
      </c>
      <c r="U52" t="s">
        <v>74</v>
      </c>
      <c r="V52" t="s">
        <v>1155</v>
      </c>
      <c r="W52" t="s">
        <v>1156</v>
      </c>
      <c r="X52" t="s">
        <v>1157</v>
      </c>
      <c r="Y52" t="s">
        <v>1158</v>
      </c>
      <c r="Z52" t="s">
        <v>74</v>
      </c>
      <c r="AA52" t="s">
        <v>1159</v>
      </c>
      <c r="AB52" t="s">
        <v>74</v>
      </c>
      <c r="AC52" t="s">
        <v>74</v>
      </c>
      <c r="AD52" t="s">
        <v>74</v>
      </c>
      <c r="AE52" t="s">
        <v>74</v>
      </c>
      <c r="AF52" t="s">
        <v>74</v>
      </c>
      <c r="AG52">
        <v>8</v>
      </c>
      <c r="AH52">
        <v>4</v>
      </c>
      <c r="AI52">
        <v>8</v>
      </c>
      <c r="AJ52">
        <v>0</v>
      </c>
      <c r="AK52">
        <v>0</v>
      </c>
      <c r="AL52" t="s">
        <v>1160</v>
      </c>
      <c r="AM52" t="s">
        <v>1161</v>
      </c>
      <c r="AN52" t="s">
        <v>1162</v>
      </c>
      <c r="AO52" t="s">
        <v>1163</v>
      </c>
      <c r="AP52" t="s">
        <v>1164</v>
      </c>
      <c r="AQ52" t="s">
        <v>74</v>
      </c>
      <c r="AR52" t="s">
        <v>1165</v>
      </c>
      <c r="AS52" t="s">
        <v>1166</v>
      </c>
      <c r="AT52" t="s">
        <v>1026</v>
      </c>
      <c r="AU52">
        <v>2009</v>
      </c>
      <c r="AV52" t="s">
        <v>74</v>
      </c>
      <c r="AW52" t="s">
        <v>1167</v>
      </c>
      <c r="AX52" t="s">
        <v>74</v>
      </c>
      <c r="AY52" t="s">
        <v>74</v>
      </c>
      <c r="AZ52" t="s">
        <v>74</v>
      </c>
      <c r="BA52" t="s">
        <v>74</v>
      </c>
      <c r="BB52">
        <v>15</v>
      </c>
      <c r="BC52" t="s">
        <v>128</v>
      </c>
      <c r="BD52" t="s">
        <v>74</v>
      </c>
      <c r="BE52" t="s">
        <v>1168</v>
      </c>
      <c r="BF52" t="str">
        <f>HYPERLINK("http://dx.doi.org/10.14198/AMESN2009.13-14.04","http://dx.doi.org/10.14198/AMESN2009.13-14.04")</f>
        <v>http://dx.doi.org/10.14198/AMESN2009.13-14.04</v>
      </c>
      <c r="BG52" t="s">
        <v>74</v>
      </c>
      <c r="BH52" t="s">
        <v>74</v>
      </c>
      <c r="BI52">
        <v>8</v>
      </c>
      <c r="BJ52" t="s">
        <v>1169</v>
      </c>
      <c r="BK52" t="s">
        <v>1028</v>
      </c>
      <c r="BL52" t="s">
        <v>1170</v>
      </c>
      <c r="BM52" t="s">
        <v>1171</v>
      </c>
      <c r="BN52" t="s">
        <v>74</v>
      </c>
      <c r="BO52" t="s">
        <v>1172</v>
      </c>
      <c r="BP52" t="s">
        <v>74</v>
      </c>
      <c r="BQ52" t="s">
        <v>74</v>
      </c>
      <c r="BR52" t="s">
        <v>101</v>
      </c>
      <c r="BS52" t="s">
        <v>1173</v>
      </c>
      <c r="BT52" t="str">
        <f>HYPERLINK("https%3A%2F%2Fwww.webofscience.com%2Fwos%2Fwoscc%2Ffull-record%2FWOS:000421450200004","View Full Record in Web of Science")</f>
        <v>View Full Record in Web of Science</v>
      </c>
    </row>
    <row r="53" spans="1:72" x14ac:dyDescent="0.15">
      <c r="A53" t="s">
        <v>72</v>
      </c>
      <c r="B53" t="s">
        <v>1174</v>
      </c>
      <c r="C53" t="s">
        <v>74</v>
      </c>
      <c r="D53" t="s">
        <v>74</v>
      </c>
      <c r="E53" t="s">
        <v>74</v>
      </c>
      <c r="F53" t="s">
        <v>1175</v>
      </c>
      <c r="G53" t="s">
        <v>74</v>
      </c>
      <c r="H53" t="s">
        <v>74</v>
      </c>
      <c r="I53" t="s">
        <v>1176</v>
      </c>
      <c r="J53" t="s">
        <v>1177</v>
      </c>
      <c r="K53" t="s">
        <v>74</v>
      </c>
      <c r="L53" t="s">
        <v>74</v>
      </c>
      <c r="M53" t="s">
        <v>78</v>
      </c>
      <c r="N53" t="s">
        <v>79</v>
      </c>
      <c r="O53" t="s">
        <v>74</v>
      </c>
      <c r="P53" t="s">
        <v>74</v>
      </c>
      <c r="Q53" t="s">
        <v>74</v>
      </c>
      <c r="R53" t="s">
        <v>74</v>
      </c>
      <c r="S53" t="s">
        <v>74</v>
      </c>
      <c r="T53" t="s">
        <v>74</v>
      </c>
      <c r="U53" t="s">
        <v>1178</v>
      </c>
      <c r="V53" t="s">
        <v>1179</v>
      </c>
      <c r="W53" t="s">
        <v>1180</v>
      </c>
      <c r="X53" t="s">
        <v>1181</v>
      </c>
      <c r="Y53" t="s">
        <v>1182</v>
      </c>
      <c r="Z53" t="s">
        <v>1183</v>
      </c>
      <c r="AA53" t="s">
        <v>74</v>
      </c>
      <c r="AB53" t="s">
        <v>74</v>
      </c>
      <c r="AC53" t="s">
        <v>74</v>
      </c>
      <c r="AD53" t="s">
        <v>74</v>
      </c>
      <c r="AE53" t="s">
        <v>74</v>
      </c>
      <c r="AF53" t="s">
        <v>74</v>
      </c>
      <c r="AG53">
        <v>25</v>
      </c>
      <c r="AH53">
        <v>9</v>
      </c>
      <c r="AI53">
        <v>9</v>
      </c>
      <c r="AJ53">
        <v>1</v>
      </c>
      <c r="AK53">
        <v>13</v>
      </c>
      <c r="AL53" t="s">
        <v>1184</v>
      </c>
      <c r="AM53" t="s">
        <v>1185</v>
      </c>
      <c r="AN53" t="s">
        <v>1186</v>
      </c>
      <c r="AO53" t="s">
        <v>1187</v>
      </c>
      <c r="AP53" t="s">
        <v>1188</v>
      </c>
      <c r="AQ53" t="s">
        <v>74</v>
      </c>
      <c r="AR53" t="s">
        <v>1189</v>
      </c>
      <c r="AS53" t="s">
        <v>1190</v>
      </c>
      <c r="AT53" t="s">
        <v>1026</v>
      </c>
      <c r="AU53">
        <v>2009</v>
      </c>
      <c r="AV53">
        <v>38</v>
      </c>
      <c r="AW53">
        <v>6</v>
      </c>
      <c r="AX53" t="s">
        <v>74</v>
      </c>
      <c r="AY53" t="s">
        <v>74</v>
      </c>
      <c r="AZ53" t="s">
        <v>74</v>
      </c>
      <c r="BA53" t="s">
        <v>74</v>
      </c>
      <c r="BB53">
        <v>424</v>
      </c>
      <c r="BC53">
        <v>428</v>
      </c>
      <c r="BD53" t="s">
        <v>74</v>
      </c>
      <c r="BE53" t="s">
        <v>1191</v>
      </c>
      <c r="BF53" t="str">
        <f>HYPERLINK("http://dx.doi.org/10.1111/j.1439-0264.2009.00963.x","http://dx.doi.org/10.1111/j.1439-0264.2009.00963.x")</f>
        <v>http://dx.doi.org/10.1111/j.1439-0264.2009.00963.x</v>
      </c>
      <c r="BG53" t="s">
        <v>74</v>
      </c>
      <c r="BH53" t="s">
        <v>74</v>
      </c>
      <c r="BI53">
        <v>5</v>
      </c>
      <c r="BJ53" t="s">
        <v>1192</v>
      </c>
      <c r="BK53" t="s">
        <v>98</v>
      </c>
      <c r="BL53" t="s">
        <v>1192</v>
      </c>
      <c r="BM53" t="s">
        <v>1193</v>
      </c>
      <c r="BN53">
        <v>19793090</v>
      </c>
      <c r="BO53" t="s">
        <v>74</v>
      </c>
      <c r="BP53" t="s">
        <v>74</v>
      </c>
      <c r="BQ53" t="s">
        <v>74</v>
      </c>
      <c r="BR53" t="s">
        <v>101</v>
      </c>
      <c r="BS53" t="s">
        <v>1194</v>
      </c>
      <c r="BT53" t="str">
        <f>HYPERLINK("https%3A%2F%2Fwww.webofscience.com%2Fwos%2Fwoscc%2Ffull-record%2FWOS:000271758400005","View Full Record in Web of Science")</f>
        <v>View Full Record in Web of Science</v>
      </c>
    </row>
    <row r="54" spans="1:72" x14ac:dyDescent="0.15">
      <c r="A54" t="s">
        <v>72</v>
      </c>
      <c r="B54" t="s">
        <v>1195</v>
      </c>
      <c r="C54" t="s">
        <v>74</v>
      </c>
      <c r="D54" t="s">
        <v>74</v>
      </c>
      <c r="E54" t="s">
        <v>74</v>
      </c>
      <c r="F54" t="s">
        <v>1196</v>
      </c>
      <c r="G54" t="s">
        <v>74</v>
      </c>
      <c r="H54" t="s">
        <v>74</v>
      </c>
      <c r="I54" t="s">
        <v>1197</v>
      </c>
      <c r="J54" t="s">
        <v>1198</v>
      </c>
      <c r="K54" t="s">
        <v>74</v>
      </c>
      <c r="L54" t="s">
        <v>74</v>
      </c>
      <c r="M54" t="s">
        <v>78</v>
      </c>
      <c r="N54" t="s">
        <v>79</v>
      </c>
      <c r="O54" t="s">
        <v>74</v>
      </c>
      <c r="P54" t="s">
        <v>74</v>
      </c>
      <c r="Q54" t="s">
        <v>74</v>
      </c>
      <c r="R54" t="s">
        <v>74</v>
      </c>
      <c r="S54" t="s">
        <v>74</v>
      </c>
      <c r="T54" t="s">
        <v>1199</v>
      </c>
      <c r="U54" t="s">
        <v>1200</v>
      </c>
      <c r="V54" t="s">
        <v>1201</v>
      </c>
      <c r="W54" t="s">
        <v>1202</v>
      </c>
      <c r="X54" t="s">
        <v>1203</v>
      </c>
      <c r="Y54" t="s">
        <v>1204</v>
      </c>
      <c r="Z54" t="s">
        <v>1205</v>
      </c>
      <c r="AA54" t="s">
        <v>1206</v>
      </c>
      <c r="AB54" t="s">
        <v>1207</v>
      </c>
      <c r="AC54" t="s">
        <v>1208</v>
      </c>
      <c r="AD54" t="s">
        <v>1209</v>
      </c>
      <c r="AE54" t="s">
        <v>1210</v>
      </c>
      <c r="AF54" t="s">
        <v>74</v>
      </c>
      <c r="AG54">
        <v>39</v>
      </c>
      <c r="AH54">
        <v>15</v>
      </c>
      <c r="AI54">
        <v>17</v>
      </c>
      <c r="AJ54">
        <v>0</v>
      </c>
      <c r="AK54">
        <v>21</v>
      </c>
      <c r="AL54" t="s">
        <v>1211</v>
      </c>
      <c r="AM54" t="s">
        <v>433</v>
      </c>
      <c r="AN54" t="s">
        <v>1212</v>
      </c>
      <c r="AO54" t="s">
        <v>1213</v>
      </c>
      <c r="AP54" t="s">
        <v>1214</v>
      </c>
      <c r="AQ54" t="s">
        <v>74</v>
      </c>
      <c r="AR54" t="s">
        <v>1215</v>
      </c>
      <c r="AS54" t="s">
        <v>1216</v>
      </c>
      <c r="AT54" t="s">
        <v>1026</v>
      </c>
      <c r="AU54">
        <v>2009</v>
      </c>
      <c r="AV54">
        <v>78</v>
      </c>
      <c r="AW54">
        <v>6</v>
      </c>
      <c r="AX54" t="s">
        <v>74</v>
      </c>
      <c r="AY54" t="s">
        <v>74</v>
      </c>
      <c r="AZ54" t="s">
        <v>74</v>
      </c>
      <c r="BA54" t="s">
        <v>74</v>
      </c>
      <c r="BB54">
        <v>1455</v>
      </c>
      <c r="BC54">
        <v>1462</v>
      </c>
      <c r="BD54" t="s">
        <v>74</v>
      </c>
      <c r="BE54" t="s">
        <v>1217</v>
      </c>
      <c r="BF54" t="str">
        <f>HYPERLINK("http://dx.doi.org/10.1016/j.anbehav.2009.09.029","http://dx.doi.org/10.1016/j.anbehav.2009.09.029")</f>
        <v>http://dx.doi.org/10.1016/j.anbehav.2009.09.029</v>
      </c>
      <c r="BG54" t="s">
        <v>74</v>
      </c>
      <c r="BH54" t="s">
        <v>74</v>
      </c>
      <c r="BI54">
        <v>8</v>
      </c>
      <c r="BJ54" t="s">
        <v>1218</v>
      </c>
      <c r="BK54" t="s">
        <v>98</v>
      </c>
      <c r="BL54" t="s">
        <v>1218</v>
      </c>
      <c r="BM54" t="s">
        <v>1219</v>
      </c>
      <c r="BN54" t="s">
        <v>74</v>
      </c>
      <c r="BO54" t="s">
        <v>239</v>
      </c>
      <c r="BP54" t="s">
        <v>74</v>
      </c>
      <c r="BQ54" t="s">
        <v>74</v>
      </c>
      <c r="BR54" t="s">
        <v>101</v>
      </c>
      <c r="BS54" t="s">
        <v>1220</v>
      </c>
      <c r="BT54" t="str">
        <f>HYPERLINK("https%3A%2F%2Fwww.webofscience.com%2Fwos%2Fwoscc%2Ffull-record%2FWOS:000272204500024","View Full Record in Web of Science")</f>
        <v>View Full Record in Web of Science</v>
      </c>
    </row>
    <row r="55" spans="1:72" x14ac:dyDescent="0.15">
      <c r="A55" t="s">
        <v>72</v>
      </c>
      <c r="B55" t="s">
        <v>1221</v>
      </c>
      <c r="C55" t="s">
        <v>74</v>
      </c>
      <c r="D55" t="s">
        <v>74</v>
      </c>
      <c r="E55" t="s">
        <v>74</v>
      </c>
      <c r="F55" t="s">
        <v>1222</v>
      </c>
      <c r="G55" t="s">
        <v>74</v>
      </c>
      <c r="H55" t="s">
        <v>74</v>
      </c>
      <c r="I55" t="s">
        <v>1223</v>
      </c>
      <c r="J55" t="s">
        <v>1224</v>
      </c>
      <c r="K55" t="s">
        <v>74</v>
      </c>
      <c r="L55" t="s">
        <v>74</v>
      </c>
      <c r="M55" t="s">
        <v>78</v>
      </c>
      <c r="N55" t="s">
        <v>523</v>
      </c>
      <c r="O55" t="s">
        <v>74</v>
      </c>
      <c r="P55" t="s">
        <v>74</v>
      </c>
      <c r="Q55" t="s">
        <v>74</v>
      </c>
      <c r="R55" t="s">
        <v>74</v>
      </c>
      <c r="S55" t="s">
        <v>74</v>
      </c>
      <c r="T55" t="s">
        <v>74</v>
      </c>
      <c r="U55" t="s">
        <v>74</v>
      </c>
      <c r="V55" t="s">
        <v>74</v>
      </c>
      <c r="W55" t="s">
        <v>74</v>
      </c>
      <c r="X55" t="s">
        <v>74</v>
      </c>
      <c r="Y55" t="s">
        <v>74</v>
      </c>
      <c r="Z55" t="s">
        <v>74</v>
      </c>
      <c r="AA55" t="s">
        <v>74</v>
      </c>
      <c r="AB55" t="s">
        <v>1225</v>
      </c>
      <c r="AC55" t="s">
        <v>74</v>
      </c>
      <c r="AD55" t="s">
        <v>74</v>
      </c>
      <c r="AE55" t="s">
        <v>74</v>
      </c>
      <c r="AF55" t="s">
        <v>74</v>
      </c>
      <c r="AG55">
        <v>0</v>
      </c>
      <c r="AH55">
        <v>0</v>
      </c>
      <c r="AI55">
        <v>0</v>
      </c>
      <c r="AJ55">
        <v>0</v>
      </c>
      <c r="AK55">
        <v>3</v>
      </c>
      <c r="AL55" t="s">
        <v>1226</v>
      </c>
      <c r="AM55" t="s">
        <v>684</v>
      </c>
      <c r="AN55" t="s">
        <v>1227</v>
      </c>
      <c r="AO55" t="s">
        <v>1228</v>
      </c>
      <c r="AP55" t="s">
        <v>74</v>
      </c>
      <c r="AQ55" t="s">
        <v>74</v>
      </c>
      <c r="AR55" t="s">
        <v>1229</v>
      </c>
      <c r="AS55" t="s">
        <v>1230</v>
      </c>
      <c r="AT55" t="s">
        <v>1026</v>
      </c>
      <c r="AU55">
        <v>2009</v>
      </c>
      <c r="AV55">
        <v>21</v>
      </c>
      <c r="AW55">
        <v>6</v>
      </c>
      <c r="AX55" t="s">
        <v>74</v>
      </c>
      <c r="AY55" t="s">
        <v>74</v>
      </c>
      <c r="AZ55" t="s">
        <v>74</v>
      </c>
      <c r="BA55" t="s">
        <v>74</v>
      </c>
      <c r="BB55">
        <v>539</v>
      </c>
      <c r="BC55">
        <v>539</v>
      </c>
      <c r="BD55" t="s">
        <v>74</v>
      </c>
      <c r="BE55" t="s">
        <v>1231</v>
      </c>
      <c r="BF55" t="str">
        <f>HYPERLINK("http://dx.doi.org/10.1017/S0954102009990575","http://dx.doi.org/10.1017/S0954102009990575")</f>
        <v>http://dx.doi.org/10.1017/S0954102009990575</v>
      </c>
      <c r="BG55" t="s">
        <v>74</v>
      </c>
      <c r="BH55" t="s">
        <v>74</v>
      </c>
      <c r="BI55">
        <v>1</v>
      </c>
      <c r="BJ55" t="s">
        <v>1232</v>
      </c>
      <c r="BK55" t="s">
        <v>98</v>
      </c>
      <c r="BL55" t="s">
        <v>1233</v>
      </c>
      <c r="BM55" t="s">
        <v>1234</v>
      </c>
      <c r="BN55" t="s">
        <v>74</v>
      </c>
      <c r="BO55" t="s">
        <v>263</v>
      </c>
      <c r="BP55" t="s">
        <v>74</v>
      </c>
      <c r="BQ55" t="s">
        <v>74</v>
      </c>
      <c r="BR55" t="s">
        <v>101</v>
      </c>
      <c r="BS55" t="s">
        <v>1235</v>
      </c>
      <c r="BT55" t="str">
        <f>HYPERLINK("https%3A%2F%2Fwww.webofscience.com%2Fwos%2Fwoscc%2Ffull-record%2FWOS:000273077900001","View Full Record in Web of Science")</f>
        <v>View Full Record in Web of Science</v>
      </c>
    </row>
    <row r="56" spans="1:72" x14ac:dyDescent="0.15">
      <c r="A56" t="s">
        <v>72</v>
      </c>
      <c r="B56" t="s">
        <v>1236</v>
      </c>
      <c r="C56" t="s">
        <v>74</v>
      </c>
      <c r="D56" t="s">
        <v>74</v>
      </c>
      <c r="E56" t="s">
        <v>74</v>
      </c>
      <c r="F56" t="s">
        <v>1237</v>
      </c>
      <c r="G56" t="s">
        <v>74</v>
      </c>
      <c r="H56" t="s">
        <v>1238</v>
      </c>
      <c r="I56" t="s">
        <v>1239</v>
      </c>
      <c r="J56" t="s">
        <v>1224</v>
      </c>
      <c r="K56" t="s">
        <v>74</v>
      </c>
      <c r="L56" t="s">
        <v>74</v>
      </c>
      <c r="M56" t="s">
        <v>78</v>
      </c>
      <c r="N56" t="s">
        <v>297</v>
      </c>
      <c r="O56" t="s">
        <v>74</v>
      </c>
      <c r="P56" t="s">
        <v>74</v>
      </c>
      <c r="Q56" t="s">
        <v>74</v>
      </c>
      <c r="R56" t="s">
        <v>74</v>
      </c>
      <c r="S56" t="s">
        <v>74</v>
      </c>
      <c r="T56" t="s">
        <v>1240</v>
      </c>
      <c r="U56" t="s">
        <v>1241</v>
      </c>
      <c r="V56" t="s">
        <v>1242</v>
      </c>
      <c r="W56" t="s">
        <v>1243</v>
      </c>
      <c r="X56" t="s">
        <v>1244</v>
      </c>
      <c r="Y56" t="s">
        <v>1245</v>
      </c>
      <c r="Z56" t="s">
        <v>1246</v>
      </c>
      <c r="AA56" t="s">
        <v>1247</v>
      </c>
      <c r="AB56" t="s">
        <v>1248</v>
      </c>
      <c r="AC56" t="s">
        <v>1249</v>
      </c>
      <c r="AD56" t="s">
        <v>730</v>
      </c>
      <c r="AE56" t="s">
        <v>74</v>
      </c>
      <c r="AF56" t="s">
        <v>74</v>
      </c>
      <c r="AG56">
        <v>151</v>
      </c>
      <c r="AH56">
        <v>210</v>
      </c>
      <c r="AI56">
        <v>244</v>
      </c>
      <c r="AJ56">
        <v>6</v>
      </c>
      <c r="AK56">
        <v>141</v>
      </c>
      <c r="AL56" t="s">
        <v>1226</v>
      </c>
      <c r="AM56" t="s">
        <v>684</v>
      </c>
      <c r="AN56" t="s">
        <v>1227</v>
      </c>
      <c r="AO56" t="s">
        <v>1228</v>
      </c>
      <c r="AP56" t="s">
        <v>1250</v>
      </c>
      <c r="AQ56" t="s">
        <v>74</v>
      </c>
      <c r="AR56" t="s">
        <v>1229</v>
      </c>
      <c r="AS56" t="s">
        <v>1230</v>
      </c>
      <c r="AT56" t="s">
        <v>1026</v>
      </c>
      <c r="AU56">
        <v>2009</v>
      </c>
      <c r="AV56">
        <v>21</v>
      </c>
      <c r="AW56">
        <v>6</v>
      </c>
      <c r="AX56" t="s">
        <v>74</v>
      </c>
      <c r="AY56" t="s">
        <v>74</v>
      </c>
      <c r="AZ56" t="s">
        <v>74</v>
      </c>
      <c r="BA56" t="s">
        <v>74</v>
      </c>
      <c r="BB56">
        <v>541</v>
      </c>
      <c r="BC56">
        <v>563</v>
      </c>
      <c r="BD56" t="s">
        <v>74</v>
      </c>
      <c r="BE56" t="s">
        <v>1251</v>
      </c>
      <c r="BF56" t="str">
        <f>HYPERLINK("http://dx.doi.org/10.1017/S0954102009990642","http://dx.doi.org/10.1017/S0954102009990642")</f>
        <v>http://dx.doi.org/10.1017/S0954102009990642</v>
      </c>
      <c r="BG56" t="s">
        <v>74</v>
      </c>
      <c r="BH56" t="s">
        <v>74</v>
      </c>
      <c r="BI56">
        <v>23</v>
      </c>
      <c r="BJ56" t="s">
        <v>1232</v>
      </c>
      <c r="BK56" t="s">
        <v>98</v>
      </c>
      <c r="BL56" t="s">
        <v>1233</v>
      </c>
      <c r="BM56" t="s">
        <v>1234</v>
      </c>
      <c r="BN56" t="s">
        <v>74</v>
      </c>
      <c r="BO56" t="s">
        <v>1252</v>
      </c>
      <c r="BP56" t="s">
        <v>74</v>
      </c>
      <c r="BQ56" t="s">
        <v>74</v>
      </c>
      <c r="BR56" t="s">
        <v>101</v>
      </c>
      <c r="BS56" t="s">
        <v>1253</v>
      </c>
      <c r="BT56" t="str">
        <f>HYPERLINK("https%3A%2F%2Fwww.webofscience.com%2Fwos%2Fwoscc%2Ffull-record%2FWOS:000273077900002","View Full Record in Web of Science")</f>
        <v>View Full Record in Web of Science</v>
      </c>
    </row>
    <row r="57" spans="1:72" x14ac:dyDescent="0.15">
      <c r="A57" t="s">
        <v>72</v>
      </c>
      <c r="B57" t="s">
        <v>1254</v>
      </c>
      <c r="C57" t="s">
        <v>74</v>
      </c>
      <c r="D57" t="s">
        <v>74</v>
      </c>
      <c r="E57" t="s">
        <v>74</v>
      </c>
      <c r="F57" t="s">
        <v>1255</v>
      </c>
      <c r="G57" t="s">
        <v>74</v>
      </c>
      <c r="H57" t="s">
        <v>74</v>
      </c>
      <c r="I57" t="s">
        <v>1256</v>
      </c>
      <c r="J57" t="s">
        <v>1224</v>
      </c>
      <c r="K57" t="s">
        <v>74</v>
      </c>
      <c r="L57" t="s">
        <v>74</v>
      </c>
      <c r="M57" t="s">
        <v>78</v>
      </c>
      <c r="N57" t="s">
        <v>297</v>
      </c>
      <c r="O57" t="s">
        <v>74</v>
      </c>
      <c r="P57" t="s">
        <v>74</v>
      </c>
      <c r="Q57" t="s">
        <v>74</v>
      </c>
      <c r="R57" t="s">
        <v>74</v>
      </c>
      <c r="S57" t="s">
        <v>74</v>
      </c>
      <c r="T57" t="s">
        <v>1257</v>
      </c>
      <c r="U57" t="s">
        <v>1258</v>
      </c>
      <c r="V57" t="s">
        <v>1259</v>
      </c>
      <c r="W57" t="s">
        <v>1260</v>
      </c>
      <c r="X57" t="s">
        <v>1261</v>
      </c>
      <c r="Y57" t="s">
        <v>1262</v>
      </c>
      <c r="Z57" t="s">
        <v>1263</v>
      </c>
      <c r="AA57" t="s">
        <v>1264</v>
      </c>
      <c r="AB57" t="s">
        <v>1265</v>
      </c>
      <c r="AC57" t="s">
        <v>1266</v>
      </c>
      <c r="AD57" t="s">
        <v>1267</v>
      </c>
      <c r="AE57" t="s">
        <v>1268</v>
      </c>
      <c r="AF57" t="s">
        <v>74</v>
      </c>
      <c r="AG57">
        <v>35</v>
      </c>
      <c r="AH57">
        <v>16</v>
      </c>
      <c r="AI57">
        <v>19</v>
      </c>
      <c r="AJ57">
        <v>0</v>
      </c>
      <c r="AK57">
        <v>12</v>
      </c>
      <c r="AL57" t="s">
        <v>1226</v>
      </c>
      <c r="AM57" t="s">
        <v>684</v>
      </c>
      <c r="AN57" t="s">
        <v>1227</v>
      </c>
      <c r="AO57" t="s">
        <v>1228</v>
      </c>
      <c r="AP57" t="s">
        <v>1250</v>
      </c>
      <c r="AQ57" t="s">
        <v>74</v>
      </c>
      <c r="AR57" t="s">
        <v>1229</v>
      </c>
      <c r="AS57" t="s">
        <v>1230</v>
      </c>
      <c r="AT57" t="s">
        <v>1026</v>
      </c>
      <c r="AU57">
        <v>2009</v>
      </c>
      <c r="AV57">
        <v>21</v>
      </c>
      <c r="AW57">
        <v>6</v>
      </c>
      <c r="AX57" t="s">
        <v>74</v>
      </c>
      <c r="AY57" t="s">
        <v>74</v>
      </c>
      <c r="AZ57" t="s">
        <v>74</v>
      </c>
      <c r="BA57" t="s">
        <v>74</v>
      </c>
      <c r="BB57">
        <v>565</v>
      </c>
      <c r="BC57">
        <v>570</v>
      </c>
      <c r="BD57" t="s">
        <v>74</v>
      </c>
      <c r="BE57" t="s">
        <v>1269</v>
      </c>
      <c r="BF57" t="str">
        <f>HYPERLINK("http://dx.doi.org/10.1017/S0954102009990253","http://dx.doi.org/10.1017/S0954102009990253")</f>
        <v>http://dx.doi.org/10.1017/S0954102009990253</v>
      </c>
      <c r="BG57" t="s">
        <v>74</v>
      </c>
      <c r="BH57" t="s">
        <v>74</v>
      </c>
      <c r="BI57">
        <v>6</v>
      </c>
      <c r="BJ57" t="s">
        <v>1232</v>
      </c>
      <c r="BK57" t="s">
        <v>98</v>
      </c>
      <c r="BL57" t="s">
        <v>1233</v>
      </c>
      <c r="BM57" t="s">
        <v>1234</v>
      </c>
      <c r="BN57" t="s">
        <v>74</v>
      </c>
      <c r="BO57" t="s">
        <v>74</v>
      </c>
      <c r="BP57" t="s">
        <v>74</v>
      </c>
      <c r="BQ57" t="s">
        <v>74</v>
      </c>
      <c r="BR57" t="s">
        <v>101</v>
      </c>
      <c r="BS57" t="s">
        <v>1270</v>
      </c>
      <c r="BT57" t="str">
        <f>HYPERLINK("https%3A%2F%2Fwww.webofscience.com%2Fwos%2Fwoscc%2Ffull-record%2FWOS:000273077900003","View Full Record in Web of Science")</f>
        <v>View Full Record in Web of Science</v>
      </c>
    </row>
    <row r="58" spans="1:72" x14ac:dyDescent="0.15">
      <c r="A58" t="s">
        <v>72</v>
      </c>
      <c r="B58" t="s">
        <v>1271</v>
      </c>
      <c r="C58" t="s">
        <v>74</v>
      </c>
      <c r="D58" t="s">
        <v>74</v>
      </c>
      <c r="E58" t="s">
        <v>74</v>
      </c>
      <c r="F58" t="s">
        <v>1272</v>
      </c>
      <c r="G58" t="s">
        <v>74</v>
      </c>
      <c r="H58" t="s">
        <v>74</v>
      </c>
      <c r="I58" t="s">
        <v>1273</v>
      </c>
      <c r="J58" t="s">
        <v>1224</v>
      </c>
      <c r="K58" t="s">
        <v>74</v>
      </c>
      <c r="L58" t="s">
        <v>74</v>
      </c>
      <c r="M58" t="s">
        <v>78</v>
      </c>
      <c r="N58" t="s">
        <v>79</v>
      </c>
      <c r="O58" t="s">
        <v>74</v>
      </c>
      <c r="P58" t="s">
        <v>74</v>
      </c>
      <c r="Q58" t="s">
        <v>74</v>
      </c>
      <c r="R58" t="s">
        <v>74</v>
      </c>
      <c r="S58" t="s">
        <v>74</v>
      </c>
      <c r="T58" t="s">
        <v>1274</v>
      </c>
      <c r="U58" t="s">
        <v>1275</v>
      </c>
      <c r="V58" t="s">
        <v>1276</v>
      </c>
      <c r="W58" t="s">
        <v>1277</v>
      </c>
      <c r="X58" t="s">
        <v>1278</v>
      </c>
      <c r="Y58" t="s">
        <v>1279</v>
      </c>
      <c r="Z58" t="s">
        <v>1280</v>
      </c>
      <c r="AA58" t="s">
        <v>1281</v>
      </c>
      <c r="AB58" t="s">
        <v>1282</v>
      </c>
      <c r="AC58" t="s">
        <v>1283</v>
      </c>
      <c r="AD58" t="s">
        <v>1284</v>
      </c>
      <c r="AE58" t="s">
        <v>1285</v>
      </c>
      <c r="AF58" t="s">
        <v>74</v>
      </c>
      <c r="AG58">
        <v>33</v>
      </c>
      <c r="AH58">
        <v>43</v>
      </c>
      <c r="AI58">
        <v>50</v>
      </c>
      <c r="AJ58">
        <v>0</v>
      </c>
      <c r="AK58">
        <v>11</v>
      </c>
      <c r="AL58" t="s">
        <v>1226</v>
      </c>
      <c r="AM58" t="s">
        <v>684</v>
      </c>
      <c r="AN58" t="s">
        <v>1227</v>
      </c>
      <c r="AO58" t="s">
        <v>1228</v>
      </c>
      <c r="AP58" t="s">
        <v>1250</v>
      </c>
      <c r="AQ58" t="s">
        <v>74</v>
      </c>
      <c r="AR58" t="s">
        <v>1229</v>
      </c>
      <c r="AS58" t="s">
        <v>1230</v>
      </c>
      <c r="AT58" t="s">
        <v>1026</v>
      </c>
      <c r="AU58">
        <v>2009</v>
      </c>
      <c r="AV58">
        <v>21</v>
      </c>
      <c r="AW58">
        <v>6</v>
      </c>
      <c r="AX58" t="s">
        <v>74</v>
      </c>
      <c r="AY58" t="s">
        <v>74</v>
      </c>
      <c r="AZ58" t="s">
        <v>74</v>
      </c>
      <c r="BA58" t="s">
        <v>74</v>
      </c>
      <c r="BB58">
        <v>571</v>
      </c>
      <c r="BC58">
        <v>578</v>
      </c>
      <c r="BD58" t="s">
        <v>74</v>
      </c>
      <c r="BE58" t="s">
        <v>1286</v>
      </c>
      <c r="BF58" t="str">
        <f>HYPERLINK("http://dx.doi.org/10.1017/S0954102009990332","http://dx.doi.org/10.1017/S0954102009990332")</f>
        <v>http://dx.doi.org/10.1017/S0954102009990332</v>
      </c>
      <c r="BG58" t="s">
        <v>74</v>
      </c>
      <c r="BH58" t="s">
        <v>74</v>
      </c>
      <c r="BI58">
        <v>8</v>
      </c>
      <c r="BJ58" t="s">
        <v>1232</v>
      </c>
      <c r="BK58" t="s">
        <v>98</v>
      </c>
      <c r="BL58" t="s">
        <v>1233</v>
      </c>
      <c r="BM58" t="s">
        <v>1234</v>
      </c>
      <c r="BN58" t="s">
        <v>74</v>
      </c>
      <c r="BO58" t="s">
        <v>74</v>
      </c>
      <c r="BP58" t="s">
        <v>74</v>
      </c>
      <c r="BQ58" t="s">
        <v>74</v>
      </c>
      <c r="BR58" t="s">
        <v>101</v>
      </c>
      <c r="BS58" t="s">
        <v>1287</v>
      </c>
      <c r="BT58" t="str">
        <f>HYPERLINK("https%3A%2F%2Fwww.webofscience.com%2Fwos%2Fwoscc%2Ffull-record%2FWOS:000273077900004","View Full Record in Web of Science")</f>
        <v>View Full Record in Web of Science</v>
      </c>
    </row>
    <row r="59" spans="1:72" x14ac:dyDescent="0.15">
      <c r="A59" t="s">
        <v>72</v>
      </c>
      <c r="B59" t="s">
        <v>1288</v>
      </c>
      <c r="C59" t="s">
        <v>74</v>
      </c>
      <c r="D59" t="s">
        <v>74</v>
      </c>
      <c r="E59" t="s">
        <v>74</v>
      </c>
      <c r="F59" t="s">
        <v>1289</v>
      </c>
      <c r="G59" t="s">
        <v>74</v>
      </c>
      <c r="H59" t="s">
        <v>74</v>
      </c>
      <c r="I59" t="s">
        <v>1290</v>
      </c>
      <c r="J59" t="s">
        <v>1224</v>
      </c>
      <c r="K59" t="s">
        <v>74</v>
      </c>
      <c r="L59" t="s">
        <v>74</v>
      </c>
      <c r="M59" t="s">
        <v>78</v>
      </c>
      <c r="N59" t="s">
        <v>79</v>
      </c>
      <c r="O59" t="s">
        <v>74</v>
      </c>
      <c r="P59" t="s">
        <v>74</v>
      </c>
      <c r="Q59" t="s">
        <v>74</v>
      </c>
      <c r="R59" t="s">
        <v>74</v>
      </c>
      <c r="S59" t="s">
        <v>74</v>
      </c>
      <c r="T59" t="s">
        <v>1291</v>
      </c>
      <c r="U59" t="s">
        <v>1292</v>
      </c>
      <c r="V59" t="s">
        <v>1293</v>
      </c>
      <c r="W59" t="s">
        <v>1294</v>
      </c>
      <c r="X59" t="s">
        <v>1295</v>
      </c>
      <c r="Y59" t="s">
        <v>1296</v>
      </c>
      <c r="Z59" t="s">
        <v>1297</v>
      </c>
      <c r="AA59" t="s">
        <v>1298</v>
      </c>
      <c r="AB59" t="s">
        <v>1299</v>
      </c>
      <c r="AC59" t="s">
        <v>1300</v>
      </c>
      <c r="AD59" t="s">
        <v>1301</v>
      </c>
      <c r="AE59" t="s">
        <v>1302</v>
      </c>
      <c r="AF59" t="s">
        <v>74</v>
      </c>
      <c r="AG59">
        <v>56</v>
      </c>
      <c r="AH59">
        <v>42</v>
      </c>
      <c r="AI59">
        <v>48</v>
      </c>
      <c r="AJ59">
        <v>0</v>
      </c>
      <c r="AK59">
        <v>16</v>
      </c>
      <c r="AL59" t="s">
        <v>1226</v>
      </c>
      <c r="AM59" t="s">
        <v>684</v>
      </c>
      <c r="AN59" t="s">
        <v>1227</v>
      </c>
      <c r="AO59" t="s">
        <v>1228</v>
      </c>
      <c r="AP59" t="s">
        <v>1250</v>
      </c>
      <c r="AQ59" t="s">
        <v>74</v>
      </c>
      <c r="AR59" t="s">
        <v>1229</v>
      </c>
      <c r="AS59" t="s">
        <v>1230</v>
      </c>
      <c r="AT59" t="s">
        <v>1026</v>
      </c>
      <c r="AU59">
        <v>2009</v>
      </c>
      <c r="AV59">
        <v>21</v>
      </c>
      <c r="AW59">
        <v>6</v>
      </c>
      <c r="AX59" t="s">
        <v>74</v>
      </c>
      <c r="AY59" t="s">
        <v>74</v>
      </c>
      <c r="AZ59" t="s">
        <v>74</v>
      </c>
      <c r="BA59" t="s">
        <v>74</v>
      </c>
      <c r="BB59">
        <v>579</v>
      </c>
      <c r="BC59">
        <v>589</v>
      </c>
      <c r="BD59" t="s">
        <v>74</v>
      </c>
      <c r="BE59" t="s">
        <v>1303</v>
      </c>
      <c r="BF59" t="str">
        <f>HYPERLINK("http://dx.doi.org/10.1017/S0954102009990356","http://dx.doi.org/10.1017/S0954102009990356")</f>
        <v>http://dx.doi.org/10.1017/S0954102009990356</v>
      </c>
      <c r="BG59" t="s">
        <v>74</v>
      </c>
      <c r="BH59" t="s">
        <v>74</v>
      </c>
      <c r="BI59">
        <v>11</v>
      </c>
      <c r="BJ59" t="s">
        <v>1232</v>
      </c>
      <c r="BK59" t="s">
        <v>98</v>
      </c>
      <c r="BL59" t="s">
        <v>1233</v>
      </c>
      <c r="BM59" t="s">
        <v>1234</v>
      </c>
      <c r="BN59" t="s">
        <v>74</v>
      </c>
      <c r="BO59" t="s">
        <v>74</v>
      </c>
      <c r="BP59" t="s">
        <v>74</v>
      </c>
      <c r="BQ59" t="s">
        <v>74</v>
      </c>
      <c r="BR59" t="s">
        <v>101</v>
      </c>
      <c r="BS59" t="s">
        <v>1304</v>
      </c>
      <c r="BT59" t="str">
        <f>HYPERLINK("https%3A%2F%2Fwww.webofscience.com%2Fwos%2Fwoscc%2Ffull-record%2FWOS:000273077900005","View Full Record in Web of Science")</f>
        <v>View Full Record in Web of Science</v>
      </c>
    </row>
    <row r="60" spans="1:72" x14ac:dyDescent="0.15">
      <c r="A60" t="s">
        <v>72</v>
      </c>
      <c r="B60" t="s">
        <v>1305</v>
      </c>
      <c r="C60" t="s">
        <v>74</v>
      </c>
      <c r="D60" t="s">
        <v>74</v>
      </c>
      <c r="E60" t="s">
        <v>74</v>
      </c>
      <c r="F60" t="s">
        <v>1306</v>
      </c>
      <c r="G60" t="s">
        <v>74</v>
      </c>
      <c r="H60" t="s">
        <v>74</v>
      </c>
      <c r="I60" t="s">
        <v>1307</v>
      </c>
      <c r="J60" t="s">
        <v>1224</v>
      </c>
      <c r="K60" t="s">
        <v>74</v>
      </c>
      <c r="L60" t="s">
        <v>74</v>
      </c>
      <c r="M60" t="s">
        <v>78</v>
      </c>
      <c r="N60" t="s">
        <v>79</v>
      </c>
      <c r="O60" t="s">
        <v>74</v>
      </c>
      <c r="P60" t="s">
        <v>74</v>
      </c>
      <c r="Q60" t="s">
        <v>74</v>
      </c>
      <c r="R60" t="s">
        <v>74</v>
      </c>
      <c r="S60" t="s">
        <v>74</v>
      </c>
      <c r="T60" t="s">
        <v>74</v>
      </c>
      <c r="U60" t="s">
        <v>74</v>
      </c>
      <c r="V60" t="s">
        <v>74</v>
      </c>
      <c r="W60" t="s">
        <v>1308</v>
      </c>
      <c r="X60" t="s">
        <v>1309</v>
      </c>
      <c r="Y60" t="s">
        <v>1310</v>
      </c>
      <c r="Z60" t="s">
        <v>1311</v>
      </c>
      <c r="AA60" t="s">
        <v>1312</v>
      </c>
      <c r="AB60" t="s">
        <v>1313</v>
      </c>
      <c r="AC60" t="s">
        <v>74</v>
      </c>
      <c r="AD60" t="s">
        <v>74</v>
      </c>
      <c r="AE60" t="s">
        <v>74</v>
      </c>
      <c r="AF60" t="s">
        <v>74</v>
      </c>
      <c r="AG60">
        <v>6</v>
      </c>
      <c r="AH60">
        <v>6</v>
      </c>
      <c r="AI60">
        <v>8</v>
      </c>
      <c r="AJ60">
        <v>0</v>
      </c>
      <c r="AK60">
        <v>11</v>
      </c>
      <c r="AL60" t="s">
        <v>1226</v>
      </c>
      <c r="AM60" t="s">
        <v>684</v>
      </c>
      <c r="AN60" t="s">
        <v>1227</v>
      </c>
      <c r="AO60" t="s">
        <v>1228</v>
      </c>
      <c r="AP60" t="s">
        <v>74</v>
      </c>
      <c r="AQ60" t="s">
        <v>74</v>
      </c>
      <c r="AR60" t="s">
        <v>1229</v>
      </c>
      <c r="AS60" t="s">
        <v>1230</v>
      </c>
      <c r="AT60" t="s">
        <v>1026</v>
      </c>
      <c r="AU60">
        <v>2009</v>
      </c>
      <c r="AV60">
        <v>21</v>
      </c>
      <c r="AW60">
        <v>6</v>
      </c>
      <c r="AX60" t="s">
        <v>74</v>
      </c>
      <c r="AY60" t="s">
        <v>74</v>
      </c>
      <c r="AZ60" t="s">
        <v>74</v>
      </c>
      <c r="BA60" t="s">
        <v>74</v>
      </c>
      <c r="BB60">
        <v>591</v>
      </c>
      <c r="BC60">
        <v>592</v>
      </c>
      <c r="BD60" t="s">
        <v>74</v>
      </c>
      <c r="BE60" t="s">
        <v>1314</v>
      </c>
      <c r="BF60" t="str">
        <f>HYPERLINK("http://dx.doi.org/10.1017/S0954102009990307","http://dx.doi.org/10.1017/S0954102009990307")</f>
        <v>http://dx.doi.org/10.1017/S0954102009990307</v>
      </c>
      <c r="BG60" t="s">
        <v>74</v>
      </c>
      <c r="BH60" t="s">
        <v>74</v>
      </c>
      <c r="BI60">
        <v>2</v>
      </c>
      <c r="BJ60" t="s">
        <v>1232</v>
      </c>
      <c r="BK60" t="s">
        <v>98</v>
      </c>
      <c r="BL60" t="s">
        <v>1233</v>
      </c>
      <c r="BM60" t="s">
        <v>1234</v>
      </c>
      <c r="BN60" t="s">
        <v>74</v>
      </c>
      <c r="BO60" t="s">
        <v>74</v>
      </c>
      <c r="BP60" t="s">
        <v>74</v>
      </c>
      <c r="BQ60" t="s">
        <v>74</v>
      </c>
      <c r="BR60" t="s">
        <v>101</v>
      </c>
      <c r="BS60" t="s">
        <v>1315</v>
      </c>
      <c r="BT60" t="str">
        <f>HYPERLINK("https%3A%2F%2Fwww.webofscience.com%2Fwos%2Fwoscc%2Ffull-record%2FWOS:000273077900006","View Full Record in Web of Science")</f>
        <v>View Full Record in Web of Science</v>
      </c>
    </row>
    <row r="61" spans="1:72" x14ac:dyDescent="0.15">
      <c r="A61" t="s">
        <v>72</v>
      </c>
      <c r="B61" t="s">
        <v>1316</v>
      </c>
      <c r="C61" t="s">
        <v>74</v>
      </c>
      <c r="D61" t="s">
        <v>74</v>
      </c>
      <c r="E61" t="s">
        <v>74</v>
      </c>
      <c r="F61" t="s">
        <v>1317</v>
      </c>
      <c r="G61" t="s">
        <v>74</v>
      </c>
      <c r="H61" t="s">
        <v>74</v>
      </c>
      <c r="I61" t="s">
        <v>1318</v>
      </c>
      <c r="J61" t="s">
        <v>1224</v>
      </c>
      <c r="K61" t="s">
        <v>74</v>
      </c>
      <c r="L61" t="s">
        <v>74</v>
      </c>
      <c r="M61" t="s">
        <v>78</v>
      </c>
      <c r="N61" t="s">
        <v>79</v>
      </c>
      <c r="O61" t="s">
        <v>74</v>
      </c>
      <c r="P61" t="s">
        <v>74</v>
      </c>
      <c r="Q61" t="s">
        <v>74</v>
      </c>
      <c r="R61" t="s">
        <v>74</v>
      </c>
      <c r="S61" t="s">
        <v>74</v>
      </c>
      <c r="T61" t="s">
        <v>1319</v>
      </c>
      <c r="U61" t="s">
        <v>1320</v>
      </c>
      <c r="V61" t="s">
        <v>1321</v>
      </c>
      <c r="W61" t="s">
        <v>1322</v>
      </c>
      <c r="X61" t="s">
        <v>1323</v>
      </c>
      <c r="Y61" t="s">
        <v>1324</v>
      </c>
      <c r="Z61" t="s">
        <v>1325</v>
      </c>
      <c r="AA61" t="s">
        <v>1326</v>
      </c>
      <c r="AB61" t="s">
        <v>1327</v>
      </c>
      <c r="AC61" t="s">
        <v>1328</v>
      </c>
      <c r="AD61" t="s">
        <v>1329</v>
      </c>
      <c r="AE61" t="s">
        <v>1330</v>
      </c>
      <c r="AF61" t="s">
        <v>74</v>
      </c>
      <c r="AG61">
        <v>73</v>
      </c>
      <c r="AH61">
        <v>12</v>
      </c>
      <c r="AI61">
        <v>14</v>
      </c>
      <c r="AJ61">
        <v>0</v>
      </c>
      <c r="AK61">
        <v>5</v>
      </c>
      <c r="AL61" t="s">
        <v>1226</v>
      </c>
      <c r="AM61" t="s">
        <v>684</v>
      </c>
      <c r="AN61" t="s">
        <v>1227</v>
      </c>
      <c r="AO61" t="s">
        <v>1228</v>
      </c>
      <c r="AP61" t="s">
        <v>1250</v>
      </c>
      <c r="AQ61" t="s">
        <v>74</v>
      </c>
      <c r="AR61" t="s">
        <v>1229</v>
      </c>
      <c r="AS61" t="s">
        <v>1230</v>
      </c>
      <c r="AT61" t="s">
        <v>1026</v>
      </c>
      <c r="AU61">
        <v>2009</v>
      </c>
      <c r="AV61">
        <v>21</v>
      </c>
      <c r="AW61">
        <v>6</v>
      </c>
      <c r="AX61" t="s">
        <v>74</v>
      </c>
      <c r="AY61" t="s">
        <v>74</v>
      </c>
      <c r="AZ61" t="s">
        <v>74</v>
      </c>
      <c r="BA61" t="s">
        <v>74</v>
      </c>
      <c r="BB61">
        <v>593</v>
      </c>
      <c r="BC61">
        <v>607</v>
      </c>
      <c r="BD61" t="s">
        <v>74</v>
      </c>
      <c r="BE61" t="s">
        <v>1331</v>
      </c>
      <c r="BF61" t="str">
        <f>HYPERLINK("http://dx.doi.org/10.1017/S0954102009990241","http://dx.doi.org/10.1017/S0954102009990241")</f>
        <v>http://dx.doi.org/10.1017/S0954102009990241</v>
      </c>
      <c r="BG61" t="s">
        <v>74</v>
      </c>
      <c r="BH61" t="s">
        <v>74</v>
      </c>
      <c r="BI61">
        <v>15</v>
      </c>
      <c r="BJ61" t="s">
        <v>1232</v>
      </c>
      <c r="BK61" t="s">
        <v>98</v>
      </c>
      <c r="BL61" t="s">
        <v>1233</v>
      </c>
      <c r="BM61" t="s">
        <v>1234</v>
      </c>
      <c r="BN61" t="s">
        <v>74</v>
      </c>
      <c r="BO61" t="s">
        <v>74</v>
      </c>
      <c r="BP61" t="s">
        <v>74</v>
      </c>
      <c r="BQ61" t="s">
        <v>74</v>
      </c>
      <c r="BR61" t="s">
        <v>101</v>
      </c>
      <c r="BS61" t="s">
        <v>1332</v>
      </c>
      <c r="BT61" t="str">
        <f>HYPERLINK("https%3A%2F%2Fwww.webofscience.com%2Fwos%2Fwoscc%2Ffull-record%2FWOS:000273077900007","View Full Record in Web of Science")</f>
        <v>View Full Record in Web of Science</v>
      </c>
    </row>
    <row r="62" spans="1:72" x14ac:dyDescent="0.15">
      <c r="A62" t="s">
        <v>72</v>
      </c>
      <c r="B62" t="s">
        <v>1333</v>
      </c>
      <c r="C62" t="s">
        <v>74</v>
      </c>
      <c r="D62" t="s">
        <v>74</v>
      </c>
      <c r="E62" t="s">
        <v>74</v>
      </c>
      <c r="F62" t="s">
        <v>1334</v>
      </c>
      <c r="G62" t="s">
        <v>74</v>
      </c>
      <c r="H62" t="s">
        <v>74</v>
      </c>
      <c r="I62" t="s">
        <v>1335</v>
      </c>
      <c r="J62" t="s">
        <v>1224</v>
      </c>
      <c r="K62" t="s">
        <v>74</v>
      </c>
      <c r="L62" t="s">
        <v>74</v>
      </c>
      <c r="M62" t="s">
        <v>78</v>
      </c>
      <c r="N62" t="s">
        <v>79</v>
      </c>
      <c r="O62" t="s">
        <v>74</v>
      </c>
      <c r="P62" t="s">
        <v>74</v>
      </c>
      <c r="Q62" t="s">
        <v>74</v>
      </c>
      <c r="R62" t="s">
        <v>74</v>
      </c>
      <c r="S62" t="s">
        <v>74</v>
      </c>
      <c r="T62" t="s">
        <v>1336</v>
      </c>
      <c r="U62" t="s">
        <v>1337</v>
      </c>
      <c r="V62" t="s">
        <v>1338</v>
      </c>
      <c r="W62" t="s">
        <v>1339</v>
      </c>
      <c r="X62" t="s">
        <v>1340</v>
      </c>
      <c r="Y62" t="s">
        <v>1341</v>
      </c>
      <c r="Z62" t="s">
        <v>1342</v>
      </c>
      <c r="AA62" t="s">
        <v>74</v>
      </c>
      <c r="AB62" t="s">
        <v>74</v>
      </c>
      <c r="AC62" t="s">
        <v>1343</v>
      </c>
      <c r="AD62" t="s">
        <v>1344</v>
      </c>
      <c r="AE62" t="s">
        <v>1345</v>
      </c>
      <c r="AF62" t="s">
        <v>74</v>
      </c>
      <c r="AG62">
        <v>70</v>
      </c>
      <c r="AH62">
        <v>6</v>
      </c>
      <c r="AI62">
        <v>6</v>
      </c>
      <c r="AJ62">
        <v>1</v>
      </c>
      <c r="AK62">
        <v>4</v>
      </c>
      <c r="AL62" t="s">
        <v>1226</v>
      </c>
      <c r="AM62" t="s">
        <v>684</v>
      </c>
      <c r="AN62" t="s">
        <v>1227</v>
      </c>
      <c r="AO62" t="s">
        <v>1228</v>
      </c>
      <c r="AP62" t="s">
        <v>1250</v>
      </c>
      <c r="AQ62" t="s">
        <v>74</v>
      </c>
      <c r="AR62" t="s">
        <v>1229</v>
      </c>
      <c r="AS62" t="s">
        <v>1230</v>
      </c>
      <c r="AT62" t="s">
        <v>1026</v>
      </c>
      <c r="AU62">
        <v>2009</v>
      </c>
      <c r="AV62">
        <v>21</v>
      </c>
      <c r="AW62">
        <v>6</v>
      </c>
      <c r="AX62" t="s">
        <v>74</v>
      </c>
      <c r="AY62" t="s">
        <v>74</v>
      </c>
      <c r="AZ62" t="s">
        <v>74</v>
      </c>
      <c r="BA62" t="s">
        <v>74</v>
      </c>
      <c r="BB62">
        <v>609</v>
      </c>
      <c r="BC62">
        <v>618</v>
      </c>
      <c r="BD62" t="s">
        <v>74</v>
      </c>
      <c r="BE62" t="s">
        <v>1346</v>
      </c>
      <c r="BF62" t="str">
        <f>HYPERLINK("http://dx.doi.org/10.1017/S0954102009002041","http://dx.doi.org/10.1017/S0954102009002041")</f>
        <v>http://dx.doi.org/10.1017/S0954102009002041</v>
      </c>
      <c r="BG62" t="s">
        <v>74</v>
      </c>
      <c r="BH62" t="s">
        <v>74</v>
      </c>
      <c r="BI62">
        <v>10</v>
      </c>
      <c r="BJ62" t="s">
        <v>1232</v>
      </c>
      <c r="BK62" t="s">
        <v>98</v>
      </c>
      <c r="BL62" t="s">
        <v>1233</v>
      </c>
      <c r="BM62" t="s">
        <v>1234</v>
      </c>
      <c r="BN62" t="s">
        <v>74</v>
      </c>
      <c r="BO62" t="s">
        <v>74</v>
      </c>
      <c r="BP62" t="s">
        <v>74</v>
      </c>
      <c r="BQ62" t="s">
        <v>74</v>
      </c>
      <c r="BR62" t="s">
        <v>101</v>
      </c>
      <c r="BS62" t="s">
        <v>1347</v>
      </c>
      <c r="BT62" t="str">
        <f>HYPERLINK("https%3A%2F%2Fwww.webofscience.com%2Fwos%2Fwoscc%2Ffull-record%2FWOS:000273077900008","View Full Record in Web of Science")</f>
        <v>View Full Record in Web of Science</v>
      </c>
    </row>
    <row r="63" spans="1:72" x14ac:dyDescent="0.15">
      <c r="A63" t="s">
        <v>72</v>
      </c>
      <c r="B63" t="s">
        <v>1348</v>
      </c>
      <c r="C63" t="s">
        <v>74</v>
      </c>
      <c r="D63" t="s">
        <v>74</v>
      </c>
      <c r="E63" t="s">
        <v>74</v>
      </c>
      <c r="F63" t="s">
        <v>1349</v>
      </c>
      <c r="G63" t="s">
        <v>74</v>
      </c>
      <c r="H63" t="s">
        <v>74</v>
      </c>
      <c r="I63" t="s">
        <v>1350</v>
      </c>
      <c r="J63" t="s">
        <v>1224</v>
      </c>
      <c r="K63" t="s">
        <v>74</v>
      </c>
      <c r="L63" t="s">
        <v>74</v>
      </c>
      <c r="M63" t="s">
        <v>78</v>
      </c>
      <c r="N63" t="s">
        <v>79</v>
      </c>
      <c r="O63" t="s">
        <v>74</v>
      </c>
      <c r="P63" t="s">
        <v>74</v>
      </c>
      <c r="Q63" t="s">
        <v>74</v>
      </c>
      <c r="R63" t="s">
        <v>74</v>
      </c>
      <c r="S63" t="s">
        <v>74</v>
      </c>
      <c r="T63" t="s">
        <v>1351</v>
      </c>
      <c r="U63" t="s">
        <v>1352</v>
      </c>
      <c r="V63" t="s">
        <v>1353</v>
      </c>
      <c r="W63" t="s">
        <v>1354</v>
      </c>
      <c r="X63" t="s">
        <v>1355</v>
      </c>
      <c r="Y63" t="s">
        <v>1356</v>
      </c>
      <c r="Z63" t="s">
        <v>1357</v>
      </c>
      <c r="AA63" t="s">
        <v>1358</v>
      </c>
      <c r="AB63" t="s">
        <v>1359</v>
      </c>
      <c r="AC63" t="s">
        <v>1360</v>
      </c>
      <c r="AD63" t="s">
        <v>1361</v>
      </c>
      <c r="AE63" t="s">
        <v>1362</v>
      </c>
      <c r="AF63" t="s">
        <v>74</v>
      </c>
      <c r="AG63">
        <v>45</v>
      </c>
      <c r="AH63">
        <v>1</v>
      </c>
      <c r="AI63">
        <v>1</v>
      </c>
      <c r="AJ63">
        <v>0</v>
      </c>
      <c r="AK63">
        <v>4</v>
      </c>
      <c r="AL63" t="s">
        <v>1226</v>
      </c>
      <c r="AM63" t="s">
        <v>684</v>
      </c>
      <c r="AN63" t="s">
        <v>1227</v>
      </c>
      <c r="AO63" t="s">
        <v>1228</v>
      </c>
      <c r="AP63" t="s">
        <v>1250</v>
      </c>
      <c r="AQ63" t="s">
        <v>74</v>
      </c>
      <c r="AR63" t="s">
        <v>1229</v>
      </c>
      <c r="AS63" t="s">
        <v>1230</v>
      </c>
      <c r="AT63" t="s">
        <v>1026</v>
      </c>
      <c r="AU63">
        <v>2009</v>
      </c>
      <c r="AV63">
        <v>21</v>
      </c>
      <c r="AW63">
        <v>6</v>
      </c>
      <c r="AX63" t="s">
        <v>74</v>
      </c>
      <c r="AY63" t="s">
        <v>74</v>
      </c>
      <c r="AZ63" t="s">
        <v>74</v>
      </c>
      <c r="BA63" t="s">
        <v>74</v>
      </c>
      <c r="BB63">
        <v>619</v>
      </c>
      <c r="BC63">
        <v>631</v>
      </c>
      <c r="BD63" t="s">
        <v>74</v>
      </c>
      <c r="BE63" t="s">
        <v>1363</v>
      </c>
      <c r="BF63" t="str">
        <f>HYPERLINK("http://dx.doi.org/10.1017/S0954102009990289","http://dx.doi.org/10.1017/S0954102009990289")</f>
        <v>http://dx.doi.org/10.1017/S0954102009990289</v>
      </c>
      <c r="BG63" t="s">
        <v>74</v>
      </c>
      <c r="BH63" t="s">
        <v>74</v>
      </c>
      <c r="BI63">
        <v>13</v>
      </c>
      <c r="BJ63" t="s">
        <v>1232</v>
      </c>
      <c r="BK63" t="s">
        <v>98</v>
      </c>
      <c r="BL63" t="s">
        <v>1233</v>
      </c>
      <c r="BM63" t="s">
        <v>1234</v>
      </c>
      <c r="BN63" t="s">
        <v>74</v>
      </c>
      <c r="BO63" t="s">
        <v>74</v>
      </c>
      <c r="BP63" t="s">
        <v>74</v>
      </c>
      <c r="BQ63" t="s">
        <v>74</v>
      </c>
      <c r="BR63" t="s">
        <v>101</v>
      </c>
      <c r="BS63" t="s">
        <v>1364</v>
      </c>
      <c r="BT63" t="str">
        <f>HYPERLINK("https%3A%2F%2Fwww.webofscience.com%2Fwos%2Fwoscc%2Ffull-record%2FWOS:000273077900009","View Full Record in Web of Science")</f>
        <v>View Full Record in Web of Science</v>
      </c>
    </row>
    <row r="64" spans="1:72" x14ac:dyDescent="0.15">
      <c r="A64" t="s">
        <v>72</v>
      </c>
      <c r="B64" t="s">
        <v>1365</v>
      </c>
      <c r="C64" t="s">
        <v>74</v>
      </c>
      <c r="D64" t="s">
        <v>74</v>
      </c>
      <c r="E64" t="s">
        <v>74</v>
      </c>
      <c r="F64" t="s">
        <v>1366</v>
      </c>
      <c r="G64" t="s">
        <v>74</v>
      </c>
      <c r="H64" t="s">
        <v>74</v>
      </c>
      <c r="I64" t="s">
        <v>1367</v>
      </c>
      <c r="J64" t="s">
        <v>1224</v>
      </c>
      <c r="K64" t="s">
        <v>74</v>
      </c>
      <c r="L64" t="s">
        <v>74</v>
      </c>
      <c r="M64" t="s">
        <v>78</v>
      </c>
      <c r="N64" t="s">
        <v>79</v>
      </c>
      <c r="O64" t="s">
        <v>74</v>
      </c>
      <c r="P64" t="s">
        <v>74</v>
      </c>
      <c r="Q64" t="s">
        <v>74</v>
      </c>
      <c r="R64" t="s">
        <v>74</v>
      </c>
      <c r="S64" t="s">
        <v>74</v>
      </c>
      <c r="T64" t="s">
        <v>1368</v>
      </c>
      <c r="U64" t="s">
        <v>1369</v>
      </c>
      <c r="V64" t="s">
        <v>1370</v>
      </c>
      <c r="W64" t="s">
        <v>1371</v>
      </c>
      <c r="X64" t="s">
        <v>1372</v>
      </c>
      <c r="Y64" t="s">
        <v>1373</v>
      </c>
      <c r="Z64" t="s">
        <v>1374</v>
      </c>
      <c r="AA64" t="s">
        <v>1375</v>
      </c>
      <c r="AB64" t="s">
        <v>1376</v>
      </c>
      <c r="AC64" t="s">
        <v>1377</v>
      </c>
      <c r="AD64" t="s">
        <v>1378</v>
      </c>
      <c r="AE64" t="s">
        <v>1379</v>
      </c>
      <c r="AF64" t="s">
        <v>74</v>
      </c>
      <c r="AG64">
        <v>36</v>
      </c>
      <c r="AH64">
        <v>27</v>
      </c>
      <c r="AI64">
        <v>31</v>
      </c>
      <c r="AJ64">
        <v>0</v>
      </c>
      <c r="AK64">
        <v>9</v>
      </c>
      <c r="AL64" t="s">
        <v>1226</v>
      </c>
      <c r="AM64" t="s">
        <v>684</v>
      </c>
      <c r="AN64" t="s">
        <v>1227</v>
      </c>
      <c r="AO64" t="s">
        <v>1228</v>
      </c>
      <c r="AP64" t="s">
        <v>1250</v>
      </c>
      <c r="AQ64" t="s">
        <v>74</v>
      </c>
      <c r="AR64" t="s">
        <v>1229</v>
      </c>
      <c r="AS64" t="s">
        <v>1230</v>
      </c>
      <c r="AT64" t="s">
        <v>1026</v>
      </c>
      <c r="AU64">
        <v>2009</v>
      </c>
      <c r="AV64">
        <v>21</v>
      </c>
      <c r="AW64">
        <v>6</v>
      </c>
      <c r="AX64" t="s">
        <v>74</v>
      </c>
      <c r="AY64" t="s">
        <v>74</v>
      </c>
      <c r="AZ64" t="s">
        <v>74</v>
      </c>
      <c r="BA64" t="s">
        <v>74</v>
      </c>
      <c r="BB64">
        <v>633</v>
      </c>
      <c r="BC64">
        <v>641</v>
      </c>
      <c r="BD64" t="s">
        <v>74</v>
      </c>
      <c r="BE64" t="s">
        <v>1380</v>
      </c>
      <c r="BF64" t="str">
        <f>HYPERLINK("http://dx.doi.org/10.1017/S0954102009990320","http://dx.doi.org/10.1017/S0954102009990320")</f>
        <v>http://dx.doi.org/10.1017/S0954102009990320</v>
      </c>
      <c r="BG64" t="s">
        <v>74</v>
      </c>
      <c r="BH64" t="s">
        <v>74</v>
      </c>
      <c r="BI64">
        <v>9</v>
      </c>
      <c r="BJ64" t="s">
        <v>1232</v>
      </c>
      <c r="BK64" t="s">
        <v>98</v>
      </c>
      <c r="BL64" t="s">
        <v>1233</v>
      </c>
      <c r="BM64" t="s">
        <v>1234</v>
      </c>
      <c r="BN64" t="s">
        <v>74</v>
      </c>
      <c r="BO64" t="s">
        <v>1381</v>
      </c>
      <c r="BP64" t="s">
        <v>74</v>
      </c>
      <c r="BQ64" t="s">
        <v>74</v>
      </c>
      <c r="BR64" t="s">
        <v>101</v>
      </c>
      <c r="BS64" t="s">
        <v>1382</v>
      </c>
      <c r="BT64" t="str">
        <f>HYPERLINK("https%3A%2F%2Fwww.webofscience.com%2Fwos%2Fwoscc%2Ffull-record%2FWOS:000273077900010","View Full Record in Web of Science")</f>
        <v>View Full Record in Web of Science</v>
      </c>
    </row>
    <row r="65" spans="1:72" x14ac:dyDescent="0.15">
      <c r="A65" t="s">
        <v>72</v>
      </c>
      <c r="B65" t="s">
        <v>1383</v>
      </c>
      <c r="C65" t="s">
        <v>74</v>
      </c>
      <c r="D65" t="s">
        <v>74</v>
      </c>
      <c r="E65" t="s">
        <v>74</v>
      </c>
      <c r="F65" t="s">
        <v>1384</v>
      </c>
      <c r="G65" t="s">
        <v>74</v>
      </c>
      <c r="H65" t="s">
        <v>74</v>
      </c>
      <c r="I65" t="s">
        <v>1385</v>
      </c>
      <c r="J65" t="s">
        <v>1224</v>
      </c>
      <c r="K65" t="s">
        <v>74</v>
      </c>
      <c r="L65" t="s">
        <v>74</v>
      </c>
      <c r="M65" t="s">
        <v>78</v>
      </c>
      <c r="N65" t="s">
        <v>79</v>
      </c>
      <c r="O65" t="s">
        <v>74</v>
      </c>
      <c r="P65" t="s">
        <v>74</v>
      </c>
      <c r="Q65" t="s">
        <v>74</v>
      </c>
      <c r="R65" t="s">
        <v>74</v>
      </c>
      <c r="S65" t="s">
        <v>74</v>
      </c>
      <c r="T65" t="s">
        <v>1386</v>
      </c>
      <c r="U65" t="s">
        <v>1387</v>
      </c>
      <c r="V65" t="s">
        <v>1388</v>
      </c>
      <c r="W65" t="s">
        <v>1389</v>
      </c>
      <c r="X65" t="s">
        <v>1390</v>
      </c>
      <c r="Y65" t="s">
        <v>1391</v>
      </c>
      <c r="Z65" t="s">
        <v>1392</v>
      </c>
      <c r="AA65" t="s">
        <v>74</v>
      </c>
      <c r="AB65" t="s">
        <v>1393</v>
      </c>
      <c r="AC65" t="s">
        <v>1394</v>
      </c>
      <c r="AD65" t="s">
        <v>1395</v>
      </c>
      <c r="AE65" t="s">
        <v>1396</v>
      </c>
      <c r="AF65" t="s">
        <v>74</v>
      </c>
      <c r="AG65">
        <v>31</v>
      </c>
      <c r="AH65">
        <v>8</v>
      </c>
      <c r="AI65">
        <v>8</v>
      </c>
      <c r="AJ65">
        <v>0</v>
      </c>
      <c r="AK65">
        <v>12</v>
      </c>
      <c r="AL65" t="s">
        <v>1226</v>
      </c>
      <c r="AM65" t="s">
        <v>684</v>
      </c>
      <c r="AN65" t="s">
        <v>1227</v>
      </c>
      <c r="AO65" t="s">
        <v>1228</v>
      </c>
      <c r="AP65" t="s">
        <v>74</v>
      </c>
      <c r="AQ65" t="s">
        <v>74</v>
      </c>
      <c r="AR65" t="s">
        <v>1229</v>
      </c>
      <c r="AS65" t="s">
        <v>1230</v>
      </c>
      <c r="AT65" t="s">
        <v>1026</v>
      </c>
      <c r="AU65">
        <v>2009</v>
      </c>
      <c r="AV65">
        <v>21</v>
      </c>
      <c r="AW65">
        <v>6</v>
      </c>
      <c r="AX65" t="s">
        <v>74</v>
      </c>
      <c r="AY65" t="s">
        <v>74</v>
      </c>
      <c r="AZ65" t="s">
        <v>74</v>
      </c>
      <c r="BA65" t="s">
        <v>74</v>
      </c>
      <c r="BB65">
        <v>643</v>
      </c>
      <c r="BC65">
        <v>662</v>
      </c>
      <c r="BD65" t="s">
        <v>74</v>
      </c>
      <c r="BE65" t="s">
        <v>1397</v>
      </c>
      <c r="BF65" t="str">
        <f>HYPERLINK("http://dx.doi.org/10.1017/S0954102009990149","http://dx.doi.org/10.1017/S0954102009990149")</f>
        <v>http://dx.doi.org/10.1017/S0954102009990149</v>
      </c>
      <c r="BG65" t="s">
        <v>74</v>
      </c>
      <c r="BH65" t="s">
        <v>74</v>
      </c>
      <c r="BI65">
        <v>20</v>
      </c>
      <c r="BJ65" t="s">
        <v>1232</v>
      </c>
      <c r="BK65" t="s">
        <v>98</v>
      </c>
      <c r="BL65" t="s">
        <v>1233</v>
      </c>
      <c r="BM65" t="s">
        <v>1234</v>
      </c>
      <c r="BN65" t="s">
        <v>74</v>
      </c>
      <c r="BO65" t="s">
        <v>74</v>
      </c>
      <c r="BP65" t="s">
        <v>74</v>
      </c>
      <c r="BQ65" t="s">
        <v>74</v>
      </c>
      <c r="BR65" t="s">
        <v>101</v>
      </c>
      <c r="BS65" t="s">
        <v>1398</v>
      </c>
      <c r="BT65" t="str">
        <f>HYPERLINK("https%3A%2F%2Fwww.webofscience.com%2Fwos%2Fwoscc%2Ffull-record%2FWOS:000273077900011","View Full Record in Web of Science")</f>
        <v>View Full Record in Web of Science</v>
      </c>
    </row>
    <row r="66" spans="1:72" x14ac:dyDescent="0.15">
      <c r="A66" t="s">
        <v>72</v>
      </c>
      <c r="B66" t="s">
        <v>1399</v>
      </c>
      <c r="C66" t="s">
        <v>74</v>
      </c>
      <c r="D66" t="s">
        <v>74</v>
      </c>
      <c r="E66" t="s">
        <v>74</v>
      </c>
      <c r="F66" t="s">
        <v>1400</v>
      </c>
      <c r="G66" t="s">
        <v>74</v>
      </c>
      <c r="H66" t="s">
        <v>74</v>
      </c>
      <c r="I66" t="s">
        <v>1401</v>
      </c>
      <c r="J66" t="s">
        <v>1224</v>
      </c>
      <c r="K66" t="s">
        <v>74</v>
      </c>
      <c r="L66" t="s">
        <v>74</v>
      </c>
      <c r="M66" t="s">
        <v>78</v>
      </c>
      <c r="N66" t="s">
        <v>79</v>
      </c>
      <c r="O66" t="s">
        <v>74</v>
      </c>
      <c r="P66" t="s">
        <v>74</v>
      </c>
      <c r="Q66" t="s">
        <v>74</v>
      </c>
      <c r="R66" t="s">
        <v>74</v>
      </c>
      <c r="S66" t="s">
        <v>74</v>
      </c>
      <c r="T66" t="s">
        <v>1402</v>
      </c>
      <c r="U66" t="s">
        <v>1403</v>
      </c>
      <c r="V66" t="s">
        <v>1404</v>
      </c>
      <c r="W66" t="s">
        <v>1405</v>
      </c>
      <c r="X66" t="s">
        <v>1406</v>
      </c>
      <c r="Y66" t="s">
        <v>1407</v>
      </c>
      <c r="Z66" t="s">
        <v>1408</v>
      </c>
      <c r="AA66" t="s">
        <v>74</v>
      </c>
      <c r="AB66" t="s">
        <v>74</v>
      </c>
      <c r="AC66" t="s">
        <v>74</v>
      </c>
      <c r="AD66" t="s">
        <v>74</v>
      </c>
      <c r="AE66" t="s">
        <v>74</v>
      </c>
      <c r="AF66" t="s">
        <v>74</v>
      </c>
      <c r="AG66">
        <v>48</v>
      </c>
      <c r="AH66">
        <v>15</v>
      </c>
      <c r="AI66">
        <v>15</v>
      </c>
      <c r="AJ66">
        <v>1</v>
      </c>
      <c r="AK66">
        <v>12</v>
      </c>
      <c r="AL66" t="s">
        <v>1226</v>
      </c>
      <c r="AM66" t="s">
        <v>684</v>
      </c>
      <c r="AN66" t="s">
        <v>1227</v>
      </c>
      <c r="AO66" t="s">
        <v>1228</v>
      </c>
      <c r="AP66" t="s">
        <v>1250</v>
      </c>
      <c r="AQ66" t="s">
        <v>74</v>
      </c>
      <c r="AR66" t="s">
        <v>1229</v>
      </c>
      <c r="AS66" t="s">
        <v>1230</v>
      </c>
      <c r="AT66" t="s">
        <v>1026</v>
      </c>
      <c r="AU66">
        <v>2009</v>
      </c>
      <c r="AV66">
        <v>21</v>
      </c>
      <c r="AW66">
        <v>6</v>
      </c>
      <c r="AX66" t="s">
        <v>74</v>
      </c>
      <c r="AY66" t="s">
        <v>74</v>
      </c>
      <c r="AZ66" t="s">
        <v>74</v>
      </c>
      <c r="BA66" t="s">
        <v>74</v>
      </c>
      <c r="BB66">
        <v>663</v>
      </c>
      <c r="BC66">
        <v>680</v>
      </c>
      <c r="BD66" t="s">
        <v>74</v>
      </c>
      <c r="BE66" t="s">
        <v>1409</v>
      </c>
      <c r="BF66" t="str">
        <f>HYPERLINK("http://dx.doi.org/10.1017/S0954102009990319","http://dx.doi.org/10.1017/S0954102009990319")</f>
        <v>http://dx.doi.org/10.1017/S0954102009990319</v>
      </c>
      <c r="BG66" t="s">
        <v>74</v>
      </c>
      <c r="BH66" t="s">
        <v>74</v>
      </c>
      <c r="BI66">
        <v>18</v>
      </c>
      <c r="BJ66" t="s">
        <v>1232</v>
      </c>
      <c r="BK66" t="s">
        <v>98</v>
      </c>
      <c r="BL66" t="s">
        <v>1233</v>
      </c>
      <c r="BM66" t="s">
        <v>1234</v>
      </c>
      <c r="BN66" t="s">
        <v>74</v>
      </c>
      <c r="BO66" t="s">
        <v>1119</v>
      </c>
      <c r="BP66" t="s">
        <v>74</v>
      </c>
      <c r="BQ66" t="s">
        <v>74</v>
      </c>
      <c r="BR66" t="s">
        <v>101</v>
      </c>
      <c r="BS66" t="s">
        <v>1410</v>
      </c>
      <c r="BT66" t="str">
        <f>HYPERLINK("https%3A%2F%2Fwww.webofscience.com%2Fwos%2Fwoscc%2Ffull-record%2FWOS:000273077900012","View Full Record in Web of Science")</f>
        <v>View Full Record in Web of Science</v>
      </c>
    </row>
    <row r="67" spans="1:72" x14ac:dyDescent="0.15">
      <c r="A67" t="s">
        <v>72</v>
      </c>
      <c r="B67" t="s">
        <v>1411</v>
      </c>
      <c r="C67" t="s">
        <v>74</v>
      </c>
      <c r="D67" t="s">
        <v>74</v>
      </c>
      <c r="E67" t="s">
        <v>74</v>
      </c>
      <c r="F67" t="s">
        <v>1412</v>
      </c>
      <c r="G67" t="s">
        <v>74</v>
      </c>
      <c r="H67" t="s">
        <v>74</v>
      </c>
      <c r="I67" t="s">
        <v>1413</v>
      </c>
      <c r="J67" t="s">
        <v>1414</v>
      </c>
      <c r="K67" t="s">
        <v>74</v>
      </c>
      <c r="L67" t="s">
        <v>74</v>
      </c>
      <c r="M67" t="s">
        <v>78</v>
      </c>
      <c r="N67" t="s">
        <v>79</v>
      </c>
      <c r="O67" t="s">
        <v>74</v>
      </c>
      <c r="P67" t="s">
        <v>74</v>
      </c>
      <c r="Q67" t="s">
        <v>74</v>
      </c>
      <c r="R67" t="s">
        <v>74</v>
      </c>
      <c r="S67" t="s">
        <v>74</v>
      </c>
      <c r="T67" t="s">
        <v>74</v>
      </c>
      <c r="U67" t="s">
        <v>1415</v>
      </c>
      <c r="V67" t="s">
        <v>1416</v>
      </c>
      <c r="W67" t="s">
        <v>1417</v>
      </c>
      <c r="X67" t="s">
        <v>1418</v>
      </c>
      <c r="Y67" t="s">
        <v>1419</v>
      </c>
      <c r="Z67" t="s">
        <v>1420</v>
      </c>
      <c r="AA67" t="s">
        <v>1421</v>
      </c>
      <c r="AB67" t="s">
        <v>1422</v>
      </c>
      <c r="AC67" t="s">
        <v>1423</v>
      </c>
      <c r="AD67" t="s">
        <v>1424</v>
      </c>
      <c r="AE67" t="s">
        <v>1425</v>
      </c>
      <c r="AF67" t="s">
        <v>74</v>
      </c>
      <c r="AG67">
        <v>23</v>
      </c>
      <c r="AH67">
        <v>16</v>
      </c>
      <c r="AI67">
        <v>17</v>
      </c>
      <c r="AJ67">
        <v>1</v>
      </c>
      <c r="AK67">
        <v>12</v>
      </c>
      <c r="AL67" t="s">
        <v>1426</v>
      </c>
      <c r="AM67" t="s">
        <v>227</v>
      </c>
      <c r="AN67" t="s">
        <v>1427</v>
      </c>
      <c r="AO67" t="s">
        <v>1428</v>
      </c>
      <c r="AP67" t="s">
        <v>74</v>
      </c>
      <c r="AQ67" t="s">
        <v>74</v>
      </c>
      <c r="AR67" t="s">
        <v>1429</v>
      </c>
      <c r="AS67" t="s">
        <v>1430</v>
      </c>
      <c r="AT67" t="s">
        <v>1431</v>
      </c>
      <c r="AU67">
        <v>2009</v>
      </c>
      <c r="AV67">
        <v>75</v>
      </c>
      <c r="AW67">
        <v>23</v>
      </c>
      <c r="AX67" t="s">
        <v>74</v>
      </c>
      <c r="AY67" t="s">
        <v>74</v>
      </c>
      <c r="AZ67" t="s">
        <v>74</v>
      </c>
      <c r="BA67" t="s">
        <v>74</v>
      </c>
      <c r="BB67">
        <v>7570</v>
      </c>
      <c r="BC67">
        <v>7573</v>
      </c>
      <c r="BD67" t="s">
        <v>74</v>
      </c>
      <c r="BE67" t="s">
        <v>1432</v>
      </c>
      <c r="BF67" t="str">
        <f>HYPERLINK("http://dx.doi.org/10.1128/AEM.00829-09","http://dx.doi.org/10.1128/AEM.00829-09")</f>
        <v>http://dx.doi.org/10.1128/AEM.00829-09</v>
      </c>
      <c r="BG67" t="s">
        <v>74</v>
      </c>
      <c r="BH67" t="s">
        <v>74</v>
      </c>
      <c r="BI67">
        <v>4</v>
      </c>
      <c r="BJ67" t="s">
        <v>1433</v>
      </c>
      <c r="BK67" t="s">
        <v>98</v>
      </c>
      <c r="BL67" t="s">
        <v>1433</v>
      </c>
      <c r="BM67" t="s">
        <v>1434</v>
      </c>
      <c r="BN67">
        <v>19801462</v>
      </c>
      <c r="BO67" t="s">
        <v>239</v>
      </c>
      <c r="BP67" t="s">
        <v>74</v>
      </c>
      <c r="BQ67" t="s">
        <v>74</v>
      </c>
      <c r="BR67" t="s">
        <v>101</v>
      </c>
      <c r="BS67" t="s">
        <v>1435</v>
      </c>
      <c r="BT67" t="str">
        <f>HYPERLINK("https%3A%2F%2Fwww.webofscience.com%2Fwos%2Fwoscc%2Ffull-record%2FWOS:000271944800035","View Full Record in Web of Science")</f>
        <v>View Full Record in Web of Science</v>
      </c>
    </row>
    <row r="68" spans="1:72" x14ac:dyDescent="0.15">
      <c r="A68" t="s">
        <v>72</v>
      </c>
      <c r="B68" t="s">
        <v>1436</v>
      </c>
      <c r="C68" t="s">
        <v>74</v>
      </c>
      <c r="D68" t="s">
        <v>74</v>
      </c>
      <c r="E68" t="s">
        <v>74</v>
      </c>
      <c r="F68" t="s">
        <v>1437</v>
      </c>
      <c r="G68" t="s">
        <v>74</v>
      </c>
      <c r="H68" t="s">
        <v>74</v>
      </c>
      <c r="I68" t="s">
        <v>1438</v>
      </c>
      <c r="J68" t="s">
        <v>1439</v>
      </c>
      <c r="K68" t="s">
        <v>74</v>
      </c>
      <c r="L68" t="s">
        <v>74</v>
      </c>
      <c r="M68" t="s">
        <v>78</v>
      </c>
      <c r="N68" t="s">
        <v>79</v>
      </c>
      <c r="O68" t="s">
        <v>74</v>
      </c>
      <c r="P68" t="s">
        <v>74</v>
      </c>
      <c r="Q68" t="s">
        <v>74</v>
      </c>
      <c r="R68" t="s">
        <v>74</v>
      </c>
      <c r="S68" t="s">
        <v>74</v>
      </c>
      <c r="T68" t="s">
        <v>1440</v>
      </c>
      <c r="U68" t="s">
        <v>1441</v>
      </c>
      <c r="V68" t="s">
        <v>1442</v>
      </c>
      <c r="W68" t="s">
        <v>1443</v>
      </c>
      <c r="X68" t="s">
        <v>1444</v>
      </c>
      <c r="Y68" t="s">
        <v>1445</v>
      </c>
      <c r="Z68" t="s">
        <v>1446</v>
      </c>
      <c r="AA68" t="s">
        <v>1447</v>
      </c>
      <c r="AB68" t="s">
        <v>1448</v>
      </c>
      <c r="AC68" t="s">
        <v>1449</v>
      </c>
      <c r="AD68" t="s">
        <v>1450</v>
      </c>
      <c r="AE68" t="s">
        <v>1451</v>
      </c>
      <c r="AF68" t="s">
        <v>74</v>
      </c>
      <c r="AG68">
        <v>82</v>
      </c>
      <c r="AH68">
        <v>32</v>
      </c>
      <c r="AI68">
        <v>34</v>
      </c>
      <c r="AJ68">
        <v>0</v>
      </c>
      <c r="AK68">
        <v>27</v>
      </c>
      <c r="AL68" t="s">
        <v>1452</v>
      </c>
      <c r="AM68" t="s">
        <v>1453</v>
      </c>
      <c r="AN68" t="s">
        <v>1454</v>
      </c>
      <c r="AO68" t="s">
        <v>1455</v>
      </c>
      <c r="AP68" t="s">
        <v>1456</v>
      </c>
      <c r="AQ68" t="s">
        <v>74</v>
      </c>
      <c r="AR68" t="s">
        <v>1439</v>
      </c>
      <c r="AS68" t="s">
        <v>1457</v>
      </c>
      <c r="AT68" t="s">
        <v>1026</v>
      </c>
      <c r="AU68">
        <v>2009</v>
      </c>
      <c r="AV68">
        <v>9</v>
      </c>
      <c r="AW68">
        <v>10</v>
      </c>
      <c r="AX68" t="s">
        <v>74</v>
      </c>
      <c r="AY68" t="s">
        <v>74</v>
      </c>
      <c r="AZ68" t="s">
        <v>74</v>
      </c>
      <c r="BA68" t="s">
        <v>74</v>
      </c>
      <c r="BB68">
        <v>953</v>
      </c>
      <c r="BC68">
        <v>964</v>
      </c>
      <c r="BD68" t="s">
        <v>74</v>
      </c>
      <c r="BE68" t="s">
        <v>1458</v>
      </c>
      <c r="BF68" t="str">
        <f>HYPERLINK("http://dx.doi.org/10.1089/ast.2009.0353","http://dx.doi.org/10.1089/ast.2009.0353")</f>
        <v>http://dx.doi.org/10.1089/ast.2009.0353</v>
      </c>
      <c r="BG68" t="s">
        <v>74</v>
      </c>
      <c r="BH68" t="s">
        <v>74</v>
      </c>
      <c r="BI68">
        <v>12</v>
      </c>
      <c r="BJ68" t="s">
        <v>1459</v>
      </c>
      <c r="BK68" t="s">
        <v>98</v>
      </c>
      <c r="BL68" t="s">
        <v>1460</v>
      </c>
      <c r="BM68" t="s">
        <v>1461</v>
      </c>
      <c r="BN68">
        <v>20041748</v>
      </c>
      <c r="BO68" t="s">
        <v>74</v>
      </c>
      <c r="BP68" t="s">
        <v>74</v>
      </c>
      <c r="BQ68" t="s">
        <v>74</v>
      </c>
      <c r="BR68" t="s">
        <v>101</v>
      </c>
      <c r="BS68" t="s">
        <v>1462</v>
      </c>
      <c r="BT68" t="str">
        <f>HYPERLINK("https%3A%2F%2Fwww.webofscience.com%2Fwos%2Fwoscc%2Ffull-record%2FWOS:000273181200004","View Full Record in Web of Science")</f>
        <v>View Full Record in Web of Science</v>
      </c>
    </row>
    <row r="69" spans="1:72" x14ac:dyDescent="0.15">
      <c r="A69" t="s">
        <v>72</v>
      </c>
      <c r="B69" t="s">
        <v>1463</v>
      </c>
      <c r="C69" t="s">
        <v>74</v>
      </c>
      <c r="D69" t="s">
        <v>74</v>
      </c>
      <c r="E69" t="s">
        <v>74</v>
      </c>
      <c r="F69" t="s">
        <v>1464</v>
      </c>
      <c r="G69" t="s">
        <v>74</v>
      </c>
      <c r="H69" t="s">
        <v>74</v>
      </c>
      <c r="I69" t="s">
        <v>1465</v>
      </c>
      <c r="J69" t="s">
        <v>1466</v>
      </c>
      <c r="K69" t="s">
        <v>74</v>
      </c>
      <c r="L69" t="s">
        <v>74</v>
      </c>
      <c r="M69" t="s">
        <v>78</v>
      </c>
      <c r="N69" t="s">
        <v>79</v>
      </c>
      <c r="O69" t="s">
        <v>74</v>
      </c>
      <c r="P69" t="s">
        <v>74</v>
      </c>
      <c r="Q69" t="s">
        <v>74</v>
      </c>
      <c r="R69" t="s">
        <v>74</v>
      </c>
      <c r="S69" t="s">
        <v>74</v>
      </c>
      <c r="T69" t="s">
        <v>74</v>
      </c>
      <c r="U69" t="s">
        <v>74</v>
      </c>
      <c r="V69" t="s">
        <v>1467</v>
      </c>
      <c r="W69" t="s">
        <v>1468</v>
      </c>
      <c r="X69" t="s">
        <v>1469</v>
      </c>
      <c r="Y69" t="s">
        <v>1470</v>
      </c>
      <c r="Z69" t="s">
        <v>74</v>
      </c>
      <c r="AA69" t="s">
        <v>74</v>
      </c>
      <c r="AB69" t="s">
        <v>74</v>
      </c>
      <c r="AC69" t="s">
        <v>74</v>
      </c>
      <c r="AD69" t="s">
        <v>74</v>
      </c>
      <c r="AE69" t="s">
        <v>74</v>
      </c>
      <c r="AF69" t="s">
        <v>74</v>
      </c>
      <c r="AG69">
        <v>70</v>
      </c>
      <c r="AH69">
        <v>20</v>
      </c>
      <c r="AI69">
        <v>21</v>
      </c>
      <c r="AJ69">
        <v>0</v>
      </c>
      <c r="AK69">
        <v>8</v>
      </c>
      <c r="AL69" t="s">
        <v>1184</v>
      </c>
      <c r="AM69" t="s">
        <v>1185</v>
      </c>
      <c r="AN69" t="s">
        <v>1186</v>
      </c>
      <c r="AO69" t="s">
        <v>1471</v>
      </c>
      <c r="AP69" t="s">
        <v>1472</v>
      </c>
      <c r="AQ69" t="s">
        <v>74</v>
      </c>
      <c r="AR69" t="s">
        <v>1473</v>
      </c>
      <c r="AS69" t="s">
        <v>1474</v>
      </c>
      <c r="AT69" t="s">
        <v>1026</v>
      </c>
      <c r="AU69">
        <v>2009</v>
      </c>
      <c r="AV69">
        <v>55</v>
      </c>
      <c r="AW69">
        <v>4</v>
      </c>
      <c r="AX69" t="s">
        <v>74</v>
      </c>
      <c r="AY69" t="s">
        <v>74</v>
      </c>
      <c r="AZ69" t="s">
        <v>74</v>
      </c>
      <c r="BA69" t="s">
        <v>74</v>
      </c>
      <c r="BB69">
        <v>513</v>
      </c>
      <c r="BC69">
        <v>529</v>
      </c>
      <c r="BD69" t="s">
        <v>74</v>
      </c>
      <c r="BE69" t="s">
        <v>1475</v>
      </c>
      <c r="BF69" t="str">
        <f>HYPERLINK("http://dx.doi.org/10.1111/j.1467-8497.2009.01530.x","http://dx.doi.org/10.1111/j.1467-8497.2009.01530.x")</f>
        <v>http://dx.doi.org/10.1111/j.1467-8497.2009.01530.x</v>
      </c>
      <c r="BG69" t="s">
        <v>74</v>
      </c>
      <c r="BH69" t="s">
        <v>74</v>
      </c>
      <c r="BI69">
        <v>17</v>
      </c>
      <c r="BJ69" t="s">
        <v>1476</v>
      </c>
      <c r="BK69" t="s">
        <v>1477</v>
      </c>
      <c r="BL69" t="s">
        <v>1478</v>
      </c>
      <c r="BM69" t="s">
        <v>1479</v>
      </c>
      <c r="BN69" t="s">
        <v>74</v>
      </c>
      <c r="BO69" t="s">
        <v>74</v>
      </c>
      <c r="BP69" t="s">
        <v>74</v>
      </c>
      <c r="BQ69" t="s">
        <v>74</v>
      </c>
      <c r="BR69" t="s">
        <v>101</v>
      </c>
      <c r="BS69" t="s">
        <v>1480</v>
      </c>
      <c r="BT69" t="str">
        <f>HYPERLINK("https%3A%2F%2Fwww.webofscience.com%2Fwos%2Fwoscc%2Ffull-record%2FWOS:000272882600003","View Full Record in Web of Science")</f>
        <v>View Full Record in Web of Science</v>
      </c>
    </row>
    <row r="70" spans="1:72" x14ac:dyDescent="0.15">
      <c r="A70" t="s">
        <v>72</v>
      </c>
      <c r="B70" t="s">
        <v>1481</v>
      </c>
      <c r="C70" t="s">
        <v>74</v>
      </c>
      <c r="D70" t="s">
        <v>74</v>
      </c>
      <c r="E70" t="s">
        <v>74</v>
      </c>
      <c r="F70" t="s">
        <v>1482</v>
      </c>
      <c r="G70" t="s">
        <v>74</v>
      </c>
      <c r="H70" t="s">
        <v>74</v>
      </c>
      <c r="I70" t="s">
        <v>1483</v>
      </c>
      <c r="J70" t="s">
        <v>1484</v>
      </c>
      <c r="K70" t="s">
        <v>74</v>
      </c>
      <c r="L70" t="s">
        <v>74</v>
      </c>
      <c r="M70" t="s">
        <v>78</v>
      </c>
      <c r="N70" t="s">
        <v>297</v>
      </c>
      <c r="O70" t="s">
        <v>74</v>
      </c>
      <c r="P70" t="s">
        <v>74</v>
      </c>
      <c r="Q70" t="s">
        <v>74</v>
      </c>
      <c r="R70" t="s">
        <v>74</v>
      </c>
      <c r="S70" t="s">
        <v>74</v>
      </c>
      <c r="T70" t="s">
        <v>74</v>
      </c>
      <c r="U70" t="s">
        <v>1485</v>
      </c>
      <c r="V70" t="s">
        <v>1486</v>
      </c>
      <c r="W70" t="s">
        <v>1487</v>
      </c>
      <c r="X70" t="s">
        <v>1488</v>
      </c>
      <c r="Y70" t="s">
        <v>1489</v>
      </c>
      <c r="Z70" t="s">
        <v>1490</v>
      </c>
      <c r="AA70" t="s">
        <v>1491</v>
      </c>
      <c r="AB70" t="s">
        <v>1492</v>
      </c>
      <c r="AC70" t="s">
        <v>1493</v>
      </c>
      <c r="AD70" t="s">
        <v>1494</v>
      </c>
      <c r="AE70" t="s">
        <v>1495</v>
      </c>
      <c r="AF70" t="s">
        <v>74</v>
      </c>
      <c r="AG70">
        <v>117</v>
      </c>
      <c r="AH70">
        <v>37</v>
      </c>
      <c r="AI70">
        <v>39</v>
      </c>
      <c r="AJ70">
        <v>0</v>
      </c>
      <c r="AK70">
        <v>13</v>
      </c>
      <c r="AL70" t="s">
        <v>1184</v>
      </c>
      <c r="AM70" t="s">
        <v>1185</v>
      </c>
      <c r="AN70" t="s">
        <v>1186</v>
      </c>
      <c r="AO70" t="s">
        <v>1496</v>
      </c>
      <c r="AP70" t="s">
        <v>1497</v>
      </c>
      <c r="AQ70" t="s">
        <v>74</v>
      </c>
      <c r="AR70" t="s">
        <v>1498</v>
      </c>
      <c r="AS70" t="s">
        <v>1499</v>
      </c>
      <c r="AT70" t="s">
        <v>1026</v>
      </c>
      <c r="AU70">
        <v>2009</v>
      </c>
      <c r="AV70">
        <v>21</v>
      </c>
      <c r="AW70">
        <v>6</v>
      </c>
      <c r="AX70" t="s">
        <v>74</v>
      </c>
      <c r="AY70" t="s">
        <v>74</v>
      </c>
      <c r="AZ70" t="s">
        <v>74</v>
      </c>
      <c r="BA70" t="s">
        <v>74</v>
      </c>
      <c r="BB70">
        <v>799</v>
      </c>
      <c r="BC70">
        <v>823</v>
      </c>
      <c r="BD70" t="s">
        <v>74</v>
      </c>
      <c r="BE70" t="s">
        <v>1500</v>
      </c>
      <c r="BF70" t="str">
        <f>HYPERLINK("http://dx.doi.org/10.1111/j.1365-2117.2009.00402.x","http://dx.doi.org/10.1111/j.1365-2117.2009.00402.x")</f>
        <v>http://dx.doi.org/10.1111/j.1365-2117.2009.00402.x</v>
      </c>
      <c r="BG70" t="s">
        <v>74</v>
      </c>
      <c r="BH70" t="s">
        <v>74</v>
      </c>
      <c r="BI70">
        <v>25</v>
      </c>
      <c r="BJ70" t="s">
        <v>464</v>
      </c>
      <c r="BK70" t="s">
        <v>98</v>
      </c>
      <c r="BL70" t="s">
        <v>465</v>
      </c>
      <c r="BM70" t="s">
        <v>1501</v>
      </c>
      <c r="BN70" t="s">
        <v>74</v>
      </c>
      <c r="BO70" t="s">
        <v>74</v>
      </c>
      <c r="BP70" t="s">
        <v>74</v>
      </c>
      <c r="BQ70" t="s">
        <v>74</v>
      </c>
      <c r="BR70" t="s">
        <v>101</v>
      </c>
      <c r="BS70" t="s">
        <v>1502</v>
      </c>
      <c r="BT70" t="str">
        <f>HYPERLINK("https%3A%2F%2Fwww.webofscience.com%2Fwos%2Fwoscc%2Ffull-record%2FWOS:000271054600002","View Full Record in Web of Science")</f>
        <v>View Full Record in Web of Science</v>
      </c>
    </row>
    <row r="71" spans="1:72" x14ac:dyDescent="0.15">
      <c r="A71" t="s">
        <v>72</v>
      </c>
      <c r="B71" t="s">
        <v>1503</v>
      </c>
      <c r="C71" t="s">
        <v>74</v>
      </c>
      <c r="D71" t="s">
        <v>74</v>
      </c>
      <c r="E71" t="s">
        <v>74</v>
      </c>
      <c r="F71" t="s">
        <v>1504</v>
      </c>
      <c r="G71" t="s">
        <v>74</v>
      </c>
      <c r="H71" t="s">
        <v>74</v>
      </c>
      <c r="I71" t="s">
        <v>1505</v>
      </c>
      <c r="J71" t="s">
        <v>1506</v>
      </c>
      <c r="K71" t="s">
        <v>74</v>
      </c>
      <c r="L71" t="s">
        <v>74</v>
      </c>
      <c r="M71" t="s">
        <v>78</v>
      </c>
      <c r="N71" t="s">
        <v>79</v>
      </c>
      <c r="O71" t="s">
        <v>74</v>
      </c>
      <c r="P71" t="s">
        <v>74</v>
      </c>
      <c r="Q71" t="s">
        <v>74</v>
      </c>
      <c r="R71" t="s">
        <v>74</v>
      </c>
      <c r="S71" t="s">
        <v>74</v>
      </c>
      <c r="T71" t="s">
        <v>1507</v>
      </c>
      <c r="U71" t="s">
        <v>1508</v>
      </c>
      <c r="V71" t="s">
        <v>1509</v>
      </c>
      <c r="W71" t="s">
        <v>1510</v>
      </c>
      <c r="X71" t="s">
        <v>1511</v>
      </c>
      <c r="Y71" t="s">
        <v>1512</v>
      </c>
      <c r="Z71" t="s">
        <v>1513</v>
      </c>
      <c r="AA71" t="s">
        <v>1514</v>
      </c>
      <c r="AB71" t="s">
        <v>1515</v>
      </c>
      <c r="AC71" t="s">
        <v>1516</v>
      </c>
      <c r="AD71" t="s">
        <v>1517</v>
      </c>
      <c r="AE71" t="s">
        <v>1518</v>
      </c>
      <c r="AF71" t="s">
        <v>74</v>
      </c>
      <c r="AG71">
        <v>49</v>
      </c>
      <c r="AH71">
        <v>15</v>
      </c>
      <c r="AI71">
        <v>17</v>
      </c>
      <c r="AJ71">
        <v>0</v>
      </c>
      <c r="AK71">
        <v>32</v>
      </c>
      <c r="AL71" t="s">
        <v>1519</v>
      </c>
      <c r="AM71" t="s">
        <v>1520</v>
      </c>
      <c r="AN71" t="s">
        <v>1521</v>
      </c>
      <c r="AO71" t="s">
        <v>1522</v>
      </c>
      <c r="AP71" t="s">
        <v>1523</v>
      </c>
      <c r="AQ71" t="s">
        <v>74</v>
      </c>
      <c r="AR71" t="s">
        <v>1524</v>
      </c>
      <c r="AS71" t="s">
        <v>1525</v>
      </c>
      <c r="AT71" t="s">
        <v>1026</v>
      </c>
      <c r="AU71">
        <v>2009</v>
      </c>
      <c r="AV71">
        <v>53</v>
      </c>
      <c r="AW71">
        <v>4</v>
      </c>
      <c r="AX71" t="s">
        <v>74</v>
      </c>
      <c r="AY71" t="s">
        <v>74</v>
      </c>
      <c r="AZ71" t="s">
        <v>74</v>
      </c>
      <c r="BA71" t="s">
        <v>74</v>
      </c>
      <c r="BB71">
        <v>677</v>
      </c>
      <c r="BC71">
        <v>684</v>
      </c>
      <c r="BD71" t="s">
        <v>74</v>
      </c>
      <c r="BE71" t="s">
        <v>1526</v>
      </c>
      <c r="BF71" t="str">
        <f>HYPERLINK("http://dx.doi.org/10.1007/s10535-009-0122-z","http://dx.doi.org/10.1007/s10535-009-0122-z")</f>
        <v>http://dx.doi.org/10.1007/s10535-009-0122-z</v>
      </c>
      <c r="BG71" t="s">
        <v>74</v>
      </c>
      <c r="BH71" t="s">
        <v>74</v>
      </c>
      <c r="BI71">
        <v>8</v>
      </c>
      <c r="BJ71" t="s">
        <v>1527</v>
      </c>
      <c r="BK71" t="s">
        <v>98</v>
      </c>
      <c r="BL71" t="s">
        <v>1527</v>
      </c>
      <c r="BM71" t="s">
        <v>1528</v>
      </c>
      <c r="BN71" t="s">
        <v>74</v>
      </c>
      <c r="BO71" t="s">
        <v>263</v>
      </c>
      <c r="BP71" t="s">
        <v>74</v>
      </c>
      <c r="BQ71" t="s">
        <v>74</v>
      </c>
      <c r="BR71" t="s">
        <v>101</v>
      </c>
      <c r="BS71" t="s">
        <v>1529</v>
      </c>
      <c r="BT71" t="str">
        <f>HYPERLINK("https%3A%2F%2Fwww.webofscience.com%2Fwos%2Fwoscc%2Ffull-record%2FWOS:000272118600013","View Full Record in Web of Science")</f>
        <v>View Full Record in Web of Science</v>
      </c>
    </row>
    <row r="72" spans="1:72" x14ac:dyDescent="0.15">
      <c r="A72" t="s">
        <v>72</v>
      </c>
      <c r="B72" t="s">
        <v>1530</v>
      </c>
      <c r="C72" t="s">
        <v>74</v>
      </c>
      <c r="D72" t="s">
        <v>74</v>
      </c>
      <c r="E72" t="s">
        <v>74</v>
      </c>
      <c r="F72" t="s">
        <v>1531</v>
      </c>
      <c r="G72" t="s">
        <v>74</v>
      </c>
      <c r="H72" t="s">
        <v>74</v>
      </c>
      <c r="I72" t="s">
        <v>1532</v>
      </c>
      <c r="J72" t="s">
        <v>1533</v>
      </c>
      <c r="K72" t="s">
        <v>74</v>
      </c>
      <c r="L72" t="s">
        <v>74</v>
      </c>
      <c r="M72" t="s">
        <v>78</v>
      </c>
      <c r="N72" t="s">
        <v>79</v>
      </c>
      <c r="O72" t="s">
        <v>74</v>
      </c>
      <c r="P72" t="s">
        <v>74</v>
      </c>
      <c r="Q72" t="s">
        <v>74</v>
      </c>
      <c r="R72" t="s">
        <v>74</v>
      </c>
      <c r="S72" t="s">
        <v>74</v>
      </c>
      <c r="T72" t="s">
        <v>1534</v>
      </c>
      <c r="U72" t="s">
        <v>1535</v>
      </c>
      <c r="V72" t="s">
        <v>1536</v>
      </c>
      <c r="W72" t="s">
        <v>1537</v>
      </c>
      <c r="X72" t="s">
        <v>1538</v>
      </c>
      <c r="Y72" t="s">
        <v>1539</v>
      </c>
      <c r="Z72" t="s">
        <v>1540</v>
      </c>
      <c r="AA72" t="s">
        <v>74</v>
      </c>
      <c r="AB72" t="s">
        <v>74</v>
      </c>
      <c r="AC72" t="s">
        <v>1541</v>
      </c>
      <c r="AD72" t="s">
        <v>1542</v>
      </c>
      <c r="AE72" t="s">
        <v>74</v>
      </c>
      <c r="AF72" t="s">
        <v>74</v>
      </c>
      <c r="AG72">
        <v>33</v>
      </c>
      <c r="AH72">
        <v>3</v>
      </c>
      <c r="AI72">
        <v>4</v>
      </c>
      <c r="AJ72">
        <v>2</v>
      </c>
      <c r="AK72">
        <v>9</v>
      </c>
      <c r="AL72" t="s">
        <v>1184</v>
      </c>
      <c r="AM72" t="s">
        <v>1185</v>
      </c>
      <c r="AN72" t="s">
        <v>1186</v>
      </c>
      <c r="AO72" t="s">
        <v>1543</v>
      </c>
      <c r="AP72" t="s">
        <v>1544</v>
      </c>
      <c r="AQ72" t="s">
        <v>74</v>
      </c>
      <c r="AR72" t="s">
        <v>1533</v>
      </c>
      <c r="AS72" t="s">
        <v>1545</v>
      </c>
      <c r="AT72" t="s">
        <v>1026</v>
      </c>
      <c r="AU72">
        <v>2009</v>
      </c>
      <c r="AV72">
        <v>91</v>
      </c>
      <c r="AW72">
        <v>12</v>
      </c>
      <c r="AX72" t="s">
        <v>74</v>
      </c>
      <c r="AY72" t="s">
        <v>74</v>
      </c>
      <c r="AZ72" t="s">
        <v>1546</v>
      </c>
      <c r="BA72" t="s">
        <v>74</v>
      </c>
      <c r="BB72">
        <v>1056</v>
      </c>
      <c r="BC72">
        <v>1063</v>
      </c>
      <c r="BD72" t="s">
        <v>74</v>
      </c>
      <c r="BE72" t="s">
        <v>1547</v>
      </c>
      <c r="BF72" t="str">
        <f>HYPERLINK("http://dx.doi.org/10.1002/bip.21197","http://dx.doi.org/10.1002/bip.21197")</f>
        <v>http://dx.doi.org/10.1002/bip.21197</v>
      </c>
      <c r="BG72" t="s">
        <v>74</v>
      </c>
      <c r="BH72" t="s">
        <v>74</v>
      </c>
      <c r="BI72">
        <v>8</v>
      </c>
      <c r="BJ72" t="s">
        <v>1548</v>
      </c>
      <c r="BK72" t="s">
        <v>98</v>
      </c>
      <c r="BL72" t="s">
        <v>1548</v>
      </c>
      <c r="BM72" t="s">
        <v>1549</v>
      </c>
      <c r="BN72">
        <v>19353640</v>
      </c>
      <c r="BO72" t="s">
        <v>74</v>
      </c>
      <c r="BP72" t="s">
        <v>74</v>
      </c>
      <c r="BQ72" t="s">
        <v>74</v>
      </c>
      <c r="BR72" t="s">
        <v>101</v>
      </c>
      <c r="BS72" t="s">
        <v>1550</v>
      </c>
      <c r="BT72" t="str">
        <f>HYPERLINK("https%3A%2F%2Fwww.webofscience.com%2Fwos%2Fwoscc%2Ffull-record%2FWOS:000270961600010","View Full Record in Web of Science")</f>
        <v>View Full Record in Web of Science</v>
      </c>
    </row>
    <row r="73" spans="1:72" x14ac:dyDescent="0.15">
      <c r="A73" t="s">
        <v>72</v>
      </c>
      <c r="B73" t="s">
        <v>1551</v>
      </c>
      <c r="C73" t="s">
        <v>74</v>
      </c>
      <c r="D73" t="s">
        <v>74</v>
      </c>
      <c r="E73" t="s">
        <v>74</v>
      </c>
      <c r="F73" t="s">
        <v>1552</v>
      </c>
      <c r="G73" t="s">
        <v>74</v>
      </c>
      <c r="H73" t="s">
        <v>74</v>
      </c>
      <c r="I73" t="s">
        <v>1553</v>
      </c>
      <c r="J73" t="s">
        <v>1533</v>
      </c>
      <c r="K73" t="s">
        <v>74</v>
      </c>
      <c r="L73" t="s">
        <v>74</v>
      </c>
      <c r="M73" t="s">
        <v>78</v>
      </c>
      <c r="N73" t="s">
        <v>79</v>
      </c>
      <c r="O73" t="s">
        <v>74</v>
      </c>
      <c r="P73" t="s">
        <v>74</v>
      </c>
      <c r="Q73" t="s">
        <v>74</v>
      </c>
      <c r="R73" t="s">
        <v>74</v>
      </c>
      <c r="S73" t="s">
        <v>74</v>
      </c>
      <c r="T73" t="s">
        <v>1554</v>
      </c>
      <c r="U73" t="s">
        <v>1555</v>
      </c>
      <c r="V73" t="s">
        <v>1556</v>
      </c>
      <c r="W73" t="s">
        <v>1557</v>
      </c>
      <c r="X73" t="s">
        <v>1558</v>
      </c>
      <c r="Y73" t="s">
        <v>1559</v>
      </c>
      <c r="Z73" t="s">
        <v>1560</v>
      </c>
      <c r="AA73" t="s">
        <v>1561</v>
      </c>
      <c r="AB73" t="s">
        <v>1562</v>
      </c>
      <c r="AC73" t="s">
        <v>1563</v>
      </c>
      <c r="AD73" t="s">
        <v>1564</v>
      </c>
      <c r="AE73" t="s">
        <v>1565</v>
      </c>
      <c r="AF73" t="s">
        <v>74</v>
      </c>
      <c r="AG73">
        <v>41</v>
      </c>
      <c r="AH73">
        <v>20</v>
      </c>
      <c r="AI73">
        <v>20</v>
      </c>
      <c r="AJ73">
        <v>0</v>
      </c>
      <c r="AK73">
        <v>4</v>
      </c>
      <c r="AL73" t="s">
        <v>1184</v>
      </c>
      <c r="AM73" t="s">
        <v>1185</v>
      </c>
      <c r="AN73" t="s">
        <v>1186</v>
      </c>
      <c r="AO73" t="s">
        <v>1543</v>
      </c>
      <c r="AP73" t="s">
        <v>1544</v>
      </c>
      <c r="AQ73" t="s">
        <v>74</v>
      </c>
      <c r="AR73" t="s">
        <v>1533</v>
      </c>
      <c r="AS73" t="s">
        <v>1545</v>
      </c>
      <c r="AT73" t="s">
        <v>1026</v>
      </c>
      <c r="AU73">
        <v>2009</v>
      </c>
      <c r="AV73">
        <v>91</v>
      </c>
      <c r="AW73">
        <v>12</v>
      </c>
      <c r="AX73" t="s">
        <v>74</v>
      </c>
      <c r="AY73" t="s">
        <v>74</v>
      </c>
      <c r="AZ73" t="s">
        <v>1546</v>
      </c>
      <c r="BA73" t="s">
        <v>74</v>
      </c>
      <c r="BB73">
        <v>1117</v>
      </c>
      <c r="BC73">
        <v>1125</v>
      </c>
      <c r="BD73" t="s">
        <v>74</v>
      </c>
      <c r="BE73" t="s">
        <v>1566</v>
      </c>
      <c r="BF73" t="str">
        <f>HYPERLINK("http://dx.doi.org/10.1002/bip.21206","http://dx.doi.org/10.1002/bip.21206")</f>
        <v>http://dx.doi.org/10.1002/bip.21206</v>
      </c>
      <c r="BG73" t="s">
        <v>74</v>
      </c>
      <c r="BH73" t="s">
        <v>74</v>
      </c>
      <c r="BI73">
        <v>9</v>
      </c>
      <c r="BJ73" t="s">
        <v>1548</v>
      </c>
      <c r="BK73" t="s">
        <v>98</v>
      </c>
      <c r="BL73" t="s">
        <v>1548</v>
      </c>
      <c r="BM73" t="s">
        <v>1549</v>
      </c>
      <c r="BN73">
        <v>19373928</v>
      </c>
      <c r="BO73" t="s">
        <v>74</v>
      </c>
      <c r="BP73" t="s">
        <v>74</v>
      </c>
      <c r="BQ73" t="s">
        <v>74</v>
      </c>
      <c r="BR73" t="s">
        <v>101</v>
      </c>
      <c r="BS73" t="s">
        <v>1567</v>
      </c>
      <c r="BT73" t="str">
        <f>HYPERLINK("https%3A%2F%2Fwww.webofscience.com%2Fwos%2Fwoscc%2Ffull-record%2FWOS:000270961600015","View Full Record in Web of Science")</f>
        <v>View Full Record in Web of Science</v>
      </c>
    </row>
    <row r="74" spans="1:72" x14ac:dyDescent="0.15">
      <c r="A74" t="s">
        <v>72</v>
      </c>
      <c r="B74" t="s">
        <v>1568</v>
      </c>
      <c r="C74" t="s">
        <v>74</v>
      </c>
      <c r="D74" t="s">
        <v>74</v>
      </c>
      <c r="E74" t="s">
        <v>74</v>
      </c>
      <c r="F74" t="s">
        <v>1569</v>
      </c>
      <c r="G74" t="s">
        <v>74</v>
      </c>
      <c r="H74" t="s">
        <v>74</v>
      </c>
      <c r="I74" t="s">
        <v>1570</v>
      </c>
      <c r="J74" t="s">
        <v>1571</v>
      </c>
      <c r="K74" t="s">
        <v>74</v>
      </c>
      <c r="L74" t="s">
        <v>74</v>
      </c>
      <c r="M74" t="s">
        <v>78</v>
      </c>
      <c r="N74" t="s">
        <v>297</v>
      </c>
      <c r="O74" t="s">
        <v>74</v>
      </c>
      <c r="P74" t="s">
        <v>74</v>
      </c>
      <c r="Q74" t="s">
        <v>74</v>
      </c>
      <c r="R74" t="s">
        <v>74</v>
      </c>
      <c r="S74" t="s">
        <v>74</v>
      </c>
      <c r="T74" t="s">
        <v>1572</v>
      </c>
      <c r="U74" t="s">
        <v>1573</v>
      </c>
      <c r="V74" t="s">
        <v>1574</v>
      </c>
      <c r="W74" t="s">
        <v>1575</v>
      </c>
      <c r="X74" t="s">
        <v>1576</v>
      </c>
      <c r="Y74" t="s">
        <v>1577</v>
      </c>
      <c r="Z74" t="s">
        <v>1578</v>
      </c>
      <c r="AA74" t="s">
        <v>1579</v>
      </c>
      <c r="AB74" t="s">
        <v>1580</v>
      </c>
      <c r="AC74" t="s">
        <v>74</v>
      </c>
      <c r="AD74" t="s">
        <v>74</v>
      </c>
      <c r="AE74" t="s">
        <v>74</v>
      </c>
      <c r="AF74" t="s">
        <v>74</v>
      </c>
      <c r="AG74">
        <v>91</v>
      </c>
      <c r="AH74">
        <v>62</v>
      </c>
      <c r="AI74">
        <v>72</v>
      </c>
      <c r="AJ74">
        <v>3</v>
      </c>
      <c r="AK74">
        <v>54</v>
      </c>
      <c r="AL74" t="s">
        <v>172</v>
      </c>
      <c r="AM74" t="s">
        <v>173</v>
      </c>
      <c r="AN74" t="s">
        <v>174</v>
      </c>
      <c r="AO74" t="s">
        <v>1581</v>
      </c>
      <c r="AP74" t="s">
        <v>1582</v>
      </c>
      <c r="AQ74" t="s">
        <v>74</v>
      </c>
      <c r="AR74" t="s">
        <v>1583</v>
      </c>
      <c r="AS74" t="s">
        <v>1584</v>
      </c>
      <c r="AT74" t="s">
        <v>1026</v>
      </c>
      <c r="AU74">
        <v>2009</v>
      </c>
      <c r="AV74">
        <v>52</v>
      </c>
      <c r="AW74">
        <v>6</v>
      </c>
      <c r="AX74" t="s">
        <v>74</v>
      </c>
      <c r="AY74" t="s">
        <v>74</v>
      </c>
      <c r="AZ74" t="s">
        <v>1546</v>
      </c>
      <c r="BA74" t="s">
        <v>74</v>
      </c>
      <c r="BB74">
        <v>483</v>
      </c>
      <c r="BC74">
        <v>490</v>
      </c>
      <c r="BD74" t="s">
        <v>74</v>
      </c>
      <c r="BE74" t="s">
        <v>1585</v>
      </c>
      <c r="BF74" t="str">
        <f>HYPERLINK("http://dx.doi.org/10.1515/BOT.2009.082","http://dx.doi.org/10.1515/BOT.2009.082")</f>
        <v>http://dx.doi.org/10.1515/BOT.2009.082</v>
      </c>
      <c r="BG74" t="s">
        <v>74</v>
      </c>
      <c r="BH74" t="s">
        <v>74</v>
      </c>
      <c r="BI74">
        <v>8</v>
      </c>
      <c r="BJ74" t="s">
        <v>1586</v>
      </c>
      <c r="BK74" t="s">
        <v>98</v>
      </c>
      <c r="BL74" t="s">
        <v>1586</v>
      </c>
      <c r="BM74" t="s">
        <v>1587</v>
      </c>
      <c r="BN74" t="s">
        <v>74</v>
      </c>
      <c r="BO74" t="s">
        <v>74</v>
      </c>
      <c r="BP74" t="s">
        <v>74</v>
      </c>
      <c r="BQ74" t="s">
        <v>74</v>
      </c>
      <c r="BR74" t="s">
        <v>101</v>
      </c>
      <c r="BS74" t="s">
        <v>1588</v>
      </c>
      <c r="BT74" t="str">
        <f>HYPERLINK("https%3A%2F%2Fwww.webofscience.com%2Fwos%2Fwoscc%2Ffull-record%2FWOS:000272161600002","View Full Record in Web of Science")</f>
        <v>View Full Record in Web of Science</v>
      </c>
    </row>
    <row r="75" spans="1:72" x14ac:dyDescent="0.15">
      <c r="A75" t="s">
        <v>72</v>
      </c>
      <c r="B75" t="s">
        <v>1589</v>
      </c>
      <c r="C75" t="s">
        <v>74</v>
      </c>
      <c r="D75" t="s">
        <v>74</v>
      </c>
      <c r="E75" t="s">
        <v>74</v>
      </c>
      <c r="F75" t="s">
        <v>1590</v>
      </c>
      <c r="G75" t="s">
        <v>74</v>
      </c>
      <c r="H75" t="s">
        <v>74</v>
      </c>
      <c r="I75" t="s">
        <v>1591</v>
      </c>
      <c r="J75" t="s">
        <v>1571</v>
      </c>
      <c r="K75" t="s">
        <v>74</v>
      </c>
      <c r="L75" t="s">
        <v>74</v>
      </c>
      <c r="M75" t="s">
        <v>78</v>
      </c>
      <c r="N75" t="s">
        <v>297</v>
      </c>
      <c r="O75" t="s">
        <v>74</v>
      </c>
      <c r="P75" t="s">
        <v>74</v>
      </c>
      <c r="Q75" t="s">
        <v>74</v>
      </c>
      <c r="R75" t="s">
        <v>74</v>
      </c>
      <c r="S75" t="s">
        <v>74</v>
      </c>
      <c r="T75" t="s">
        <v>1592</v>
      </c>
      <c r="U75" t="s">
        <v>1593</v>
      </c>
      <c r="V75" t="s">
        <v>1594</v>
      </c>
      <c r="W75" t="s">
        <v>1595</v>
      </c>
      <c r="X75" t="s">
        <v>1596</v>
      </c>
      <c r="Y75" t="s">
        <v>1597</v>
      </c>
      <c r="Z75" t="s">
        <v>1598</v>
      </c>
      <c r="AA75" t="s">
        <v>1599</v>
      </c>
      <c r="AB75" t="s">
        <v>74</v>
      </c>
      <c r="AC75" t="s">
        <v>74</v>
      </c>
      <c r="AD75" t="s">
        <v>74</v>
      </c>
      <c r="AE75" t="s">
        <v>74</v>
      </c>
      <c r="AF75" t="s">
        <v>74</v>
      </c>
      <c r="AG75">
        <v>226</v>
      </c>
      <c r="AH75">
        <v>82</v>
      </c>
      <c r="AI75">
        <v>101</v>
      </c>
      <c r="AJ75">
        <v>8</v>
      </c>
      <c r="AK75">
        <v>95</v>
      </c>
      <c r="AL75" t="s">
        <v>172</v>
      </c>
      <c r="AM75" t="s">
        <v>173</v>
      </c>
      <c r="AN75" t="s">
        <v>174</v>
      </c>
      <c r="AO75" t="s">
        <v>1581</v>
      </c>
      <c r="AP75" t="s">
        <v>1582</v>
      </c>
      <c r="AQ75" t="s">
        <v>74</v>
      </c>
      <c r="AR75" t="s">
        <v>1583</v>
      </c>
      <c r="AS75" t="s">
        <v>1584</v>
      </c>
      <c r="AT75" t="s">
        <v>1026</v>
      </c>
      <c r="AU75">
        <v>2009</v>
      </c>
      <c r="AV75">
        <v>52</v>
      </c>
      <c r="AW75">
        <v>6</v>
      </c>
      <c r="AX75" t="s">
        <v>74</v>
      </c>
      <c r="AY75" t="s">
        <v>74</v>
      </c>
      <c r="AZ75" t="s">
        <v>1546</v>
      </c>
      <c r="BA75" t="s">
        <v>74</v>
      </c>
      <c r="BB75">
        <v>491</v>
      </c>
      <c r="BC75">
        <v>507</v>
      </c>
      <c r="BD75" t="s">
        <v>74</v>
      </c>
      <c r="BE75" t="s">
        <v>1600</v>
      </c>
      <c r="BF75" t="str">
        <f>HYPERLINK("http://dx.doi.org/10.1515/BOT.2009.072","http://dx.doi.org/10.1515/BOT.2009.072")</f>
        <v>http://dx.doi.org/10.1515/BOT.2009.072</v>
      </c>
      <c r="BG75" t="s">
        <v>74</v>
      </c>
      <c r="BH75" t="s">
        <v>74</v>
      </c>
      <c r="BI75">
        <v>17</v>
      </c>
      <c r="BJ75" t="s">
        <v>1586</v>
      </c>
      <c r="BK75" t="s">
        <v>98</v>
      </c>
      <c r="BL75" t="s">
        <v>1586</v>
      </c>
      <c r="BM75" t="s">
        <v>1587</v>
      </c>
      <c r="BN75" t="s">
        <v>74</v>
      </c>
      <c r="BO75" t="s">
        <v>74</v>
      </c>
      <c r="BP75" t="s">
        <v>74</v>
      </c>
      <c r="BQ75" t="s">
        <v>74</v>
      </c>
      <c r="BR75" t="s">
        <v>101</v>
      </c>
      <c r="BS75" t="s">
        <v>1601</v>
      </c>
      <c r="BT75" t="str">
        <f>HYPERLINK("https%3A%2F%2Fwww.webofscience.com%2Fwos%2Fwoscc%2Ffull-record%2FWOS:000272161600003","View Full Record in Web of Science")</f>
        <v>View Full Record in Web of Science</v>
      </c>
    </row>
    <row r="76" spans="1:72" x14ac:dyDescent="0.15">
      <c r="A76" t="s">
        <v>72</v>
      </c>
      <c r="B76" t="s">
        <v>1602</v>
      </c>
      <c r="C76" t="s">
        <v>74</v>
      </c>
      <c r="D76" t="s">
        <v>74</v>
      </c>
      <c r="E76" t="s">
        <v>74</v>
      </c>
      <c r="F76" t="s">
        <v>1603</v>
      </c>
      <c r="G76" t="s">
        <v>74</v>
      </c>
      <c r="H76" t="s">
        <v>74</v>
      </c>
      <c r="I76" t="s">
        <v>1604</v>
      </c>
      <c r="J76" t="s">
        <v>1571</v>
      </c>
      <c r="K76" t="s">
        <v>74</v>
      </c>
      <c r="L76" t="s">
        <v>74</v>
      </c>
      <c r="M76" t="s">
        <v>78</v>
      </c>
      <c r="N76" t="s">
        <v>79</v>
      </c>
      <c r="O76" t="s">
        <v>74</v>
      </c>
      <c r="P76" t="s">
        <v>74</v>
      </c>
      <c r="Q76" t="s">
        <v>74</v>
      </c>
      <c r="R76" t="s">
        <v>74</v>
      </c>
      <c r="S76" t="s">
        <v>74</v>
      </c>
      <c r="T76" t="s">
        <v>1605</v>
      </c>
      <c r="U76" t="s">
        <v>1606</v>
      </c>
      <c r="V76" t="s">
        <v>1607</v>
      </c>
      <c r="W76" t="s">
        <v>1608</v>
      </c>
      <c r="X76" t="s">
        <v>1609</v>
      </c>
      <c r="Y76" t="s">
        <v>1610</v>
      </c>
      <c r="Z76" t="s">
        <v>1611</v>
      </c>
      <c r="AA76" t="s">
        <v>74</v>
      </c>
      <c r="AB76" t="s">
        <v>1299</v>
      </c>
      <c r="AC76" t="s">
        <v>1612</v>
      </c>
      <c r="AD76" t="s">
        <v>1613</v>
      </c>
      <c r="AE76" t="s">
        <v>1614</v>
      </c>
      <c r="AF76" t="s">
        <v>74</v>
      </c>
      <c r="AG76">
        <v>74</v>
      </c>
      <c r="AH76">
        <v>67</v>
      </c>
      <c r="AI76">
        <v>74</v>
      </c>
      <c r="AJ76">
        <v>0</v>
      </c>
      <c r="AK76">
        <v>10</v>
      </c>
      <c r="AL76" t="s">
        <v>1615</v>
      </c>
      <c r="AM76" t="s">
        <v>173</v>
      </c>
      <c r="AN76" t="s">
        <v>174</v>
      </c>
      <c r="AO76" t="s">
        <v>1581</v>
      </c>
      <c r="AP76" t="s">
        <v>74</v>
      </c>
      <c r="AQ76" t="s">
        <v>74</v>
      </c>
      <c r="AR76" t="s">
        <v>1583</v>
      </c>
      <c r="AS76" t="s">
        <v>1584</v>
      </c>
      <c r="AT76" t="s">
        <v>1026</v>
      </c>
      <c r="AU76">
        <v>2009</v>
      </c>
      <c r="AV76">
        <v>52</v>
      </c>
      <c r="AW76">
        <v>6</v>
      </c>
      <c r="AX76" t="s">
        <v>74</v>
      </c>
      <c r="AY76" t="s">
        <v>74</v>
      </c>
      <c r="AZ76" t="s">
        <v>74</v>
      </c>
      <c r="BA76" t="s">
        <v>74</v>
      </c>
      <c r="BB76">
        <v>509</v>
      </c>
      <c r="BC76">
        <v>534</v>
      </c>
      <c r="BD76" t="s">
        <v>74</v>
      </c>
      <c r="BE76" t="s">
        <v>1616</v>
      </c>
      <c r="BF76" t="str">
        <f>HYPERLINK("http://dx.doi.org/10.1515/BOT.2009.081","http://dx.doi.org/10.1515/BOT.2009.081")</f>
        <v>http://dx.doi.org/10.1515/BOT.2009.081</v>
      </c>
      <c r="BG76" t="s">
        <v>74</v>
      </c>
      <c r="BH76" t="s">
        <v>74</v>
      </c>
      <c r="BI76">
        <v>26</v>
      </c>
      <c r="BJ76" t="s">
        <v>1586</v>
      </c>
      <c r="BK76" t="s">
        <v>98</v>
      </c>
      <c r="BL76" t="s">
        <v>1586</v>
      </c>
      <c r="BM76" t="s">
        <v>1587</v>
      </c>
      <c r="BN76" t="s">
        <v>74</v>
      </c>
      <c r="BO76" t="s">
        <v>74</v>
      </c>
      <c r="BP76" t="s">
        <v>74</v>
      </c>
      <c r="BQ76" t="s">
        <v>74</v>
      </c>
      <c r="BR76" t="s">
        <v>101</v>
      </c>
      <c r="BS76" t="s">
        <v>1617</v>
      </c>
      <c r="BT76" t="str">
        <f>HYPERLINK("https%3A%2F%2Fwww.webofscience.com%2Fwos%2Fwoscc%2Ffull-record%2FWOS:000272161600004","View Full Record in Web of Science")</f>
        <v>View Full Record in Web of Science</v>
      </c>
    </row>
    <row r="77" spans="1:72" x14ac:dyDescent="0.15">
      <c r="A77" t="s">
        <v>72</v>
      </c>
      <c r="B77" t="s">
        <v>1618</v>
      </c>
      <c r="C77" t="s">
        <v>74</v>
      </c>
      <c r="D77" t="s">
        <v>74</v>
      </c>
      <c r="E77" t="s">
        <v>74</v>
      </c>
      <c r="F77" t="s">
        <v>1619</v>
      </c>
      <c r="G77" t="s">
        <v>74</v>
      </c>
      <c r="H77" t="s">
        <v>74</v>
      </c>
      <c r="I77" t="s">
        <v>1620</v>
      </c>
      <c r="J77" t="s">
        <v>1571</v>
      </c>
      <c r="K77" t="s">
        <v>74</v>
      </c>
      <c r="L77" t="s">
        <v>74</v>
      </c>
      <c r="M77" t="s">
        <v>78</v>
      </c>
      <c r="N77" t="s">
        <v>297</v>
      </c>
      <c r="O77" t="s">
        <v>74</v>
      </c>
      <c r="P77" t="s">
        <v>74</v>
      </c>
      <c r="Q77" t="s">
        <v>74</v>
      </c>
      <c r="R77" t="s">
        <v>74</v>
      </c>
      <c r="S77" t="s">
        <v>74</v>
      </c>
      <c r="T77" t="s">
        <v>1621</v>
      </c>
      <c r="U77" t="s">
        <v>1622</v>
      </c>
      <c r="V77" t="s">
        <v>1623</v>
      </c>
      <c r="W77" t="s">
        <v>1624</v>
      </c>
      <c r="X77" t="s">
        <v>1625</v>
      </c>
      <c r="Y77" t="s">
        <v>1626</v>
      </c>
      <c r="Z77" t="s">
        <v>1627</v>
      </c>
      <c r="AA77" t="s">
        <v>1298</v>
      </c>
      <c r="AB77" t="s">
        <v>1299</v>
      </c>
      <c r="AC77" t="s">
        <v>1628</v>
      </c>
      <c r="AD77" t="s">
        <v>1629</v>
      </c>
      <c r="AE77" t="s">
        <v>1630</v>
      </c>
      <c r="AF77" t="s">
        <v>74</v>
      </c>
      <c r="AG77">
        <v>117</v>
      </c>
      <c r="AH77">
        <v>33</v>
      </c>
      <c r="AI77">
        <v>38</v>
      </c>
      <c r="AJ77">
        <v>2</v>
      </c>
      <c r="AK77">
        <v>33</v>
      </c>
      <c r="AL77" t="s">
        <v>172</v>
      </c>
      <c r="AM77" t="s">
        <v>173</v>
      </c>
      <c r="AN77" t="s">
        <v>174</v>
      </c>
      <c r="AO77" t="s">
        <v>1581</v>
      </c>
      <c r="AP77" t="s">
        <v>1582</v>
      </c>
      <c r="AQ77" t="s">
        <v>74</v>
      </c>
      <c r="AR77" t="s">
        <v>1583</v>
      </c>
      <c r="AS77" t="s">
        <v>1584</v>
      </c>
      <c r="AT77" t="s">
        <v>1026</v>
      </c>
      <c r="AU77">
        <v>2009</v>
      </c>
      <c r="AV77">
        <v>52</v>
      </c>
      <c r="AW77">
        <v>6</v>
      </c>
      <c r="AX77" t="s">
        <v>74</v>
      </c>
      <c r="AY77" t="s">
        <v>74</v>
      </c>
      <c r="AZ77" t="s">
        <v>1546</v>
      </c>
      <c r="BA77" t="s">
        <v>74</v>
      </c>
      <c r="BB77">
        <v>535</v>
      </c>
      <c r="BC77">
        <v>545</v>
      </c>
      <c r="BD77" t="s">
        <v>74</v>
      </c>
      <c r="BE77" t="s">
        <v>1631</v>
      </c>
      <c r="BF77" t="str">
        <f>HYPERLINK("http://dx.doi.org/10.1515/BOT.2009.070","http://dx.doi.org/10.1515/BOT.2009.070")</f>
        <v>http://dx.doi.org/10.1515/BOT.2009.070</v>
      </c>
      <c r="BG77" t="s">
        <v>74</v>
      </c>
      <c r="BH77" t="s">
        <v>74</v>
      </c>
      <c r="BI77">
        <v>11</v>
      </c>
      <c r="BJ77" t="s">
        <v>1586</v>
      </c>
      <c r="BK77" t="s">
        <v>98</v>
      </c>
      <c r="BL77" t="s">
        <v>1586</v>
      </c>
      <c r="BM77" t="s">
        <v>1587</v>
      </c>
      <c r="BN77" t="s">
        <v>74</v>
      </c>
      <c r="BO77" t="s">
        <v>74</v>
      </c>
      <c r="BP77" t="s">
        <v>74</v>
      </c>
      <c r="BQ77" t="s">
        <v>74</v>
      </c>
      <c r="BR77" t="s">
        <v>101</v>
      </c>
      <c r="BS77" t="s">
        <v>1632</v>
      </c>
      <c r="BT77" t="str">
        <f>HYPERLINK("https%3A%2F%2Fwww.webofscience.com%2Fwos%2Fwoscc%2Ffull-record%2FWOS:000272161600005","View Full Record in Web of Science")</f>
        <v>View Full Record in Web of Science</v>
      </c>
    </row>
    <row r="78" spans="1:72" x14ac:dyDescent="0.15">
      <c r="A78" t="s">
        <v>72</v>
      </c>
      <c r="B78" t="s">
        <v>1633</v>
      </c>
      <c r="C78" t="s">
        <v>74</v>
      </c>
      <c r="D78" t="s">
        <v>74</v>
      </c>
      <c r="E78" t="s">
        <v>74</v>
      </c>
      <c r="F78" t="s">
        <v>1634</v>
      </c>
      <c r="G78" t="s">
        <v>74</v>
      </c>
      <c r="H78" t="s">
        <v>74</v>
      </c>
      <c r="I78" t="s">
        <v>1635</v>
      </c>
      <c r="J78" t="s">
        <v>1571</v>
      </c>
      <c r="K78" t="s">
        <v>74</v>
      </c>
      <c r="L78" t="s">
        <v>74</v>
      </c>
      <c r="M78" t="s">
        <v>78</v>
      </c>
      <c r="N78" t="s">
        <v>79</v>
      </c>
      <c r="O78" t="s">
        <v>74</v>
      </c>
      <c r="P78" t="s">
        <v>74</v>
      </c>
      <c r="Q78" t="s">
        <v>74</v>
      </c>
      <c r="R78" t="s">
        <v>74</v>
      </c>
      <c r="S78" t="s">
        <v>74</v>
      </c>
      <c r="T78" t="s">
        <v>1636</v>
      </c>
      <c r="U78" t="s">
        <v>1637</v>
      </c>
      <c r="V78" t="s">
        <v>1638</v>
      </c>
      <c r="W78" t="s">
        <v>1639</v>
      </c>
      <c r="X78" t="s">
        <v>1640</v>
      </c>
      <c r="Y78" t="s">
        <v>1641</v>
      </c>
      <c r="Z78" t="s">
        <v>1642</v>
      </c>
      <c r="AA78" t="s">
        <v>1298</v>
      </c>
      <c r="AB78" t="s">
        <v>1299</v>
      </c>
      <c r="AC78" t="s">
        <v>1643</v>
      </c>
      <c r="AD78" t="s">
        <v>1629</v>
      </c>
      <c r="AE78" t="s">
        <v>1644</v>
      </c>
      <c r="AF78" t="s">
        <v>74</v>
      </c>
      <c r="AG78">
        <v>85</v>
      </c>
      <c r="AH78">
        <v>27</v>
      </c>
      <c r="AI78">
        <v>29</v>
      </c>
      <c r="AJ78">
        <v>0</v>
      </c>
      <c r="AK78">
        <v>27</v>
      </c>
      <c r="AL78" t="s">
        <v>172</v>
      </c>
      <c r="AM78" t="s">
        <v>173</v>
      </c>
      <c r="AN78" t="s">
        <v>174</v>
      </c>
      <c r="AO78" t="s">
        <v>1581</v>
      </c>
      <c r="AP78" t="s">
        <v>1582</v>
      </c>
      <c r="AQ78" t="s">
        <v>74</v>
      </c>
      <c r="AR78" t="s">
        <v>1583</v>
      </c>
      <c r="AS78" t="s">
        <v>1584</v>
      </c>
      <c r="AT78" t="s">
        <v>1026</v>
      </c>
      <c r="AU78">
        <v>2009</v>
      </c>
      <c r="AV78">
        <v>52</v>
      </c>
      <c r="AW78">
        <v>6</v>
      </c>
      <c r="AX78" t="s">
        <v>74</v>
      </c>
      <c r="AY78" t="s">
        <v>74</v>
      </c>
      <c r="AZ78" t="s">
        <v>1546</v>
      </c>
      <c r="BA78" t="s">
        <v>74</v>
      </c>
      <c r="BB78">
        <v>547</v>
      </c>
      <c r="BC78">
        <v>557</v>
      </c>
      <c r="BD78" t="s">
        <v>74</v>
      </c>
      <c r="BE78" t="s">
        <v>1645</v>
      </c>
      <c r="BF78" t="str">
        <f>HYPERLINK("http://dx.doi.org/10.1515/BOT.2009.071","http://dx.doi.org/10.1515/BOT.2009.071")</f>
        <v>http://dx.doi.org/10.1515/BOT.2009.071</v>
      </c>
      <c r="BG78" t="s">
        <v>74</v>
      </c>
      <c r="BH78" t="s">
        <v>74</v>
      </c>
      <c r="BI78">
        <v>11</v>
      </c>
      <c r="BJ78" t="s">
        <v>1586</v>
      </c>
      <c r="BK78" t="s">
        <v>98</v>
      </c>
      <c r="BL78" t="s">
        <v>1586</v>
      </c>
      <c r="BM78" t="s">
        <v>1587</v>
      </c>
      <c r="BN78" t="s">
        <v>74</v>
      </c>
      <c r="BO78" t="s">
        <v>74</v>
      </c>
      <c r="BP78" t="s">
        <v>74</v>
      </c>
      <c r="BQ78" t="s">
        <v>74</v>
      </c>
      <c r="BR78" t="s">
        <v>101</v>
      </c>
      <c r="BS78" t="s">
        <v>1646</v>
      </c>
      <c r="BT78" t="str">
        <f>HYPERLINK("https%3A%2F%2Fwww.webofscience.com%2Fwos%2Fwoscc%2Ffull-record%2FWOS:000272161600006","View Full Record in Web of Science")</f>
        <v>View Full Record in Web of Science</v>
      </c>
    </row>
    <row r="79" spans="1:72" x14ac:dyDescent="0.15">
      <c r="A79" t="s">
        <v>72</v>
      </c>
      <c r="B79" t="s">
        <v>1647</v>
      </c>
      <c r="C79" t="s">
        <v>74</v>
      </c>
      <c r="D79" t="s">
        <v>74</v>
      </c>
      <c r="E79" t="s">
        <v>74</v>
      </c>
      <c r="F79" t="s">
        <v>1648</v>
      </c>
      <c r="G79" t="s">
        <v>74</v>
      </c>
      <c r="H79" t="s">
        <v>74</v>
      </c>
      <c r="I79" t="s">
        <v>1649</v>
      </c>
      <c r="J79" t="s">
        <v>1571</v>
      </c>
      <c r="K79" t="s">
        <v>74</v>
      </c>
      <c r="L79" t="s">
        <v>74</v>
      </c>
      <c r="M79" t="s">
        <v>78</v>
      </c>
      <c r="N79" t="s">
        <v>297</v>
      </c>
      <c r="O79" t="s">
        <v>74</v>
      </c>
      <c r="P79" t="s">
        <v>74</v>
      </c>
      <c r="Q79" t="s">
        <v>74</v>
      </c>
      <c r="R79" t="s">
        <v>74</v>
      </c>
      <c r="S79" t="s">
        <v>74</v>
      </c>
      <c r="T79" t="s">
        <v>1650</v>
      </c>
      <c r="U79" t="s">
        <v>1651</v>
      </c>
      <c r="V79" t="s">
        <v>1652</v>
      </c>
      <c r="W79" t="s">
        <v>1653</v>
      </c>
      <c r="X79" t="s">
        <v>1654</v>
      </c>
      <c r="Y79" t="s">
        <v>1655</v>
      </c>
      <c r="Z79" t="s">
        <v>1656</v>
      </c>
      <c r="AA79" t="s">
        <v>74</v>
      </c>
      <c r="AB79" t="s">
        <v>1657</v>
      </c>
      <c r="AC79" t="s">
        <v>1658</v>
      </c>
      <c r="AD79" t="s">
        <v>1659</v>
      </c>
      <c r="AE79" t="s">
        <v>1660</v>
      </c>
      <c r="AF79" t="s">
        <v>74</v>
      </c>
      <c r="AG79">
        <v>83</v>
      </c>
      <c r="AH79">
        <v>42</v>
      </c>
      <c r="AI79">
        <v>46</v>
      </c>
      <c r="AJ79">
        <v>1</v>
      </c>
      <c r="AK79">
        <v>55</v>
      </c>
      <c r="AL79" t="s">
        <v>172</v>
      </c>
      <c r="AM79" t="s">
        <v>173</v>
      </c>
      <c r="AN79" t="s">
        <v>174</v>
      </c>
      <c r="AO79" t="s">
        <v>1581</v>
      </c>
      <c r="AP79" t="s">
        <v>1582</v>
      </c>
      <c r="AQ79" t="s">
        <v>74</v>
      </c>
      <c r="AR79" t="s">
        <v>1583</v>
      </c>
      <c r="AS79" t="s">
        <v>1584</v>
      </c>
      <c r="AT79" t="s">
        <v>1026</v>
      </c>
      <c r="AU79">
        <v>2009</v>
      </c>
      <c r="AV79">
        <v>52</v>
      </c>
      <c r="AW79">
        <v>6</v>
      </c>
      <c r="AX79" t="s">
        <v>74</v>
      </c>
      <c r="AY79" t="s">
        <v>74</v>
      </c>
      <c r="AZ79" t="s">
        <v>1546</v>
      </c>
      <c r="BA79" t="s">
        <v>74</v>
      </c>
      <c r="BB79">
        <v>585</v>
      </c>
      <c r="BC79">
        <v>592</v>
      </c>
      <c r="BD79" t="s">
        <v>74</v>
      </c>
      <c r="BE79" t="s">
        <v>1661</v>
      </c>
      <c r="BF79" t="str">
        <f>HYPERLINK("http://dx.doi.org/10.1515/BOT.2009.078","http://dx.doi.org/10.1515/BOT.2009.078")</f>
        <v>http://dx.doi.org/10.1515/BOT.2009.078</v>
      </c>
      <c r="BG79" t="s">
        <v>74</v>
      </c>
      <c r="BH79" t="s">
        <v>74</v>
      </c>
      <c r="BI79">
        <v>8</v>
      </c>
      <c r="BJ79" t="s">
        <v>1586</v>
      </c>
      <c r="BK79" t="s">
        <v>98</v>
      </c>
      <c r="BL79" t="s">
        <v>1586</v>
      </c>
      <c r="BM79" t="s">
        <v>1587</v>
      </c>
      <c r="BN79" t="s">
        <v>74</v>
      </c>
      <c r="BO79" t="s">
        <v>74</v>
      </c>
      <c r="BP79" t="s">
        <v>74</v>
      </c>
      <c r="BQ79" t="s">
        <v>74</v>
      </c>
      <c r="BR79" t="s">
        <v>101</v>
      </c>
      <c r="BS79" t="s">
        <v>1662</v>
      </c>
      <c r="BT79" t="str">
        <f>HYPERLINK("https%3A%2F%2Fwww.webofscience.com%2Fwos%2Fwoscc%2Ffull-record%2FWOS:000272161600009","View Full Record in Web of Science")</f>
        <v>View Full Record in Web of Science</v>
      </c>
    </row>
    <row r="80" spans="1:72" x14ac:dyDescent="0.15">
      <c r="A80" t="s">
        <v>72</v>
      </c>
      <c r="B80" t="s">
        <v>1663</v>
      </c>
      <c r="C80" t="s">
        <v>74</v>
      </c>
      <c r="D80" t="s">
        <v>74</v>
      </c>
      <c r="E80" t="s">
        <v>74</v>
      </c>
      <c r="F80" t="s">
        <v>1664</v>
      </c>
      <c r="G80" t="s">
        <v>74</v>
      </c>
      <c r="H80" t="s">
        <v>74</v>
      </c>
      <c r="I80" t="s">
        <v>1665</v>
      </c>
      <c r="J80" t="s">
        <v>1571</v>
      </c>
      <c r="K80" t="s">
        <v>74</v>
      </c>
      <c r="L80" t="s">
        <v>74</v>
      </c>
      <c r="M80" t="s">
        <v>78</v>
      </c>
      <c r="N80" t="s">
        <v>297</v>
      </c>
      <c r="O80" t="s">
        <v>74</v>
      </c>
      <c r="P80" t="s">
        <v>74</v>
      </c>
      <c r="Q80" t="s">
        <v>74</v>
      </c>
      <c r="R80" t="s">
        <v>74</v>
      </c>
      <c r="S80" t="s">
        <v>74</v>
      </c>
      <c r="T80" t="s">
        <v>1666</v>
      </c>
      <c r="U80" t="s">
        <v>1667</v>
      </c>
      <c r="V80" t="s">
        <v>1668</v>
      </c>
      <c r="W80" t="s">
        <v>1669</v>
      </c>
      <c r="X80" t="s">
        <v>1670</v>
      </c>
      <c r="Y80" t="s">
        <v>1671</v>
      </c>
      <c r="Z80" t="s">
        <v>1672</v>
      </c>
      <c r="AA80" t="s">
        <v>1673</v>
      </c>
      <c r="AB80" t="s">
        <v>1674</v>
      </c>
      <c r="AC80" t="s">
        <v>1675</v>
      </c>
      <c r="AD80" t="s">
        <v>1676</v>
      </c>
      <c r="AE80" t="s">
        <v>1677</v>
      </c>
      <c r="AF80" t="s">
        <v>74</v>
      </c>
      <c r="AG80">
        <v>156</v>
      </c>
      <c r="AH80">
        <v>90</v>
      </c>
      <c r="AI80">
        <v>100</v>
      </c>
      <c r="AJ80">
        <v>7</v>
      </c>
      <c r="AK80">
        <v>83</v>
      </c>
      <c r="AL80" t="s">
        <v>172</v>
      </c>
      <c r="AM80" t="s">
        <v>173</v>
      </c>
      <c r="AN80" t="s">
        <v>174</v>
      </c>
      <c r="AO80" t="s">
        <v>1581</v>
      </c>
      <c r="AP80" t="s">
        <v>1582</v>
      </c>
      <c r="AQ80" t="s">
        <v>74</v>
      </c>
      <c r="AR80" t="s">
        <v>1583</v>
      </c>
      <c r="AS80" t="s">
        <v>1584</v>
      </c>
      <c r="AT80" t="s">
        <v>1026</v>
      </c>
      <c r="AU80">
        <v>2009</v>
      </c>
      <c r="AV80">
        <v>52</v>
      </c>
      <c r="AW80">
        <v>6</v>
      </c>
      <c r="AX80" t="s">
        <v>74</v>
      </c>
      <c r="AY80" t="s">
        <v>74</v>
      </c>
      <c r="AZ80" t="s">
        <v>1546</v>
      </c>
      <c r="BA80" t="s">
        <v>74</v>
      </c>
      <c r="BB80">
        <v>593</v>
      </c>
      <c r="BC80">
        <v>608</v>
      </c>
      <c r="BD80" t="s">
        <v>74</v>
      </c>
      <c r="BE80" t="s">
        <v>1678</v>
      </c>
      <c r="BF80" t="str">
        <f>HYPERLINK("http://dx.doi.org/10.1515/BOT.2009.073","http://dx.doi.org/10.1515/BOT.2009.073")</f>
        <v>http://dx.doi.org/10.1515/BOT.2009.073</v>
      </c>
      <c r="BG80" t="s">
        <v>74</v>
      </c>
      <c r="BH80" t="s">
        <v>74</v>
      </c>
      <c r="BI80">
        <v>16</v>
      </c>
      <c r="BJ80" t="s">
        <v>1586</v>
      </c>
      <c r="BK80" t="s">
        <v>98</v>
      </c>
      <c r="BL80" t="s">
        <v>1586</v>
      </c>
      <c r="BM80" t="s">
        <v>1587</v>
      </c>
      <c r="BN80" t="s">
        <v>74</v>
      </c>
      <c r="BO80" t="s">
        <v>74</v>
      </c>
      <c r="BP80" t="s">
        <v>74</v>
      </c>
      <c r="BQ80" t="s">
        <v>74</v>
      </c>
      <c r="BR80" t="s">
        <v>101</v>
      </c>
      <c r="BS80" t="s">
        <v>1679</v>
      </c>
      <c r="BT80" t="str">
        <f>HYPERLINK("https%3A%2F%2Fwww.webofscience.com%2Fwos%2Fwoscc%2Ffull-record%2FWOS:000272161600010","View Full Record in Web of Science")</f>
        <v>View Full Record in Web of Science</v>
      </c>
    </row>
    <row r="81" spans="1:72" x14ac:dyDescent="0.15">
      <c r="A81" t="s">
        <v>72</v>
      </c>
      <c r="B81" t="s">
        <v>1680</v>
      </c>
      <c r="C81" t="s">
        <v>74</v>
      </c>
      <c r="D81" t="s">
        <v>74</v>
      </c>
      <c r="E81" t="s">
        <v>74</v>
      </c>
      <c r="F81" t="s">
        <v>1681</v>
      </c>
      <c r="G81" t="s">
        <v>74</v>
      </c>
      <c r="H81" t="s">
        <v>74</v>
      </c>
      <c r="I81" t="s">
        <v>1682</v>
      </c>
      <c r="J81" t="s">
        <v>1571</v>
      </c>
      <c r="K81" t="s">
        <v>74</v>
      </c>
      <c r="L81" t="s">
        <v>74</v>
      </c>
      <c r="M81" t="s">
        <v>78</v>
      </c>
      <c r="N81" t="s">
        <v>79</v>
      </c>
      <c r="O81" t="s">
        <v>74</v>
      </c>
      <c r="P81" t="s">
        <v>74</v>
      </c>
      <c r="Q81" t="s">
        <v>74</v>
      </c>
      <c r="R81" t="s">
        <v>74</v>
      </c>
      <c r="S81" t="s">
        <v>74</v>
      </c>
      <c r="T81" t="s">
        <v>1683</v>
      </c>
      <c r="U81" t="s">
        <v>1684</v>
      </c>
      <c r="V81" t="s">
        <v>1685</v>
      </c>
      <c r="W81" t="s">
        <v>1686</v>
      </c>
      <c r="X81" t="s">
        <v>1687</v>
      </c>
      <c r="Y81" t="s">
        <v>1688</v>
      </c>
      <c r="Z81" t="s">
        <v>1689</v>
      </c>
      <c r="AA81" t="s">
        <v>74</v>
      </c>
      <c r="AB81" t="s">
        <v>1690</v>
      </c>
      <c r="AC81" t="s">
        <v>1691</v>
      </c>
      <c r="AD81" t="s">
        <v>1395</v>
      </c>
      <c r="AE81" t="s">
        <v>1692</v>
      </c>
      <c r="AF81" t="s">
        <v>74</v>
      </c>
      <c r="AG81">
        <v>49</v>
      </c>
      <c r="AH81">
        <v>17</v>
      </c>
      <c r="AI81">
        <v>20</v>
      </c>
      <c r="AJ81">
        <v>0</v>
      </c>
      <c r="AK81">
        <v>22</v>
      </c>
      <c r="AL81" t="s">
        <v>172</v>
      </c>
      <c r="AM81" t="s">
        <v>173</v>
      </c>
      <c r="AN81" t="s">
        <v>174</v>
      </c>
      <c r="AO81" t="s">
        <v>1581</v>
      </c>
      <c r="AP81" t="s">
        <v>1582</v>
      </c>
      <c r="AQ81" t="s">
        <v>74</v>
      </c>
      <c r="AR81" t="s">
        <v>1583</v>
      </c>
      <c r="AS81" t="s">
        <v>1584</v>
      </c>
      <c r="AT81" t="s">
        <v>1026</v>
      </c>
      <c r="AU81">
        <v>2009</v>
      </c>
      <c r="AV81">
        <v>52</v>
      </c>
      <c r="AW81">
        <v>6</v>
      </c>
      <c r="AX81" t="s">
        <v>74</v>
      </c>
      <c r="AY81" t="s">
        <v>74</v>
      </c>
      <c r="AZ81" t="s">
        <v>1546</v>
      </c>
      <c r="BA81" t="s">
        <v>74</v>
      </c>
      <c r="BB81">
        <v>609</v>
      </c>
      <c r="BC81">
        <v>616</v>
      </c>
      <c r="BD81" t="s">
        <v>74</v>
      </c>
      <c r="BE81" t="s">
        <v>1693</v>
      </c>
      <c r="BF81" t="str">
        <f>HYPERLINK("http://dx.doi.org/10.1515/BOT.2009.079","http://dx.doi.org/10.1515/BOT.2009.079")</f>
        <v>http://dx.doi.org/10.1515/BOT.2009.079</v>
      </c>
      <c r="BG81" t="s">
        <v>74</v>
      </c>
      <c r="BH81" t="s">
        <v>74</v>
      </c>
      <c r="BI81">
        <v>8</v>
      </c>
      <c r="BJ81" t="s">
        <v>1586</v>
      </c>
      <c r="BK81" t="s">
        <v>98</v>
      </c>
      <c r="BL81" t="s">
        <v>1586</v>
      </c>
      <c r="BM81" t="s">
        <v>1587</v>
      </c>
      <c r="BN81" t="s">
        <v>74</v>
      </c>
      <c r="BO81" t="s">
        <v>74</v>
      </c>
      <c r="BP81" t="s">
        <v>74</v>
      </c>
      <c r="BQ81" t="s">
        <v>74</v>
      </c>
      <c r="BR81" t="s">
        <v>101</v>
      </c>
      <c r="BS81" t="s">
        <v>1694</v>
      </c>
      <c r="BT81" t="str">
        <f>HYPERLINK("https%3A%2F%2Fwww.webofscience.com%2Fwos%2Fwoscc%2Ffull-record%2FWOS:000272161600011","View Full Record in Web of Science")</f>
        <v>View Full Record in Web of Science</v>
      </c>
    </row>
    <row r="82" spans="1:72" x14ac:dyDescent="0.15">
      <c r="A82" t="s">
        <v>72</v>
      </c>
      <c r="B82" t="s">
        <v>1695</v>
      </c>
      <c r="C82" t="s">
        <v>74</v>
      </c>
      <c r="D82" t="s">
        <v>74</v>
      </c>
      <c r="E82" t="s">
        <v>74</v>
      </c>
      <c r="F82" t="s">
        <v>1696</v>
      </c>
      <c r="G82" t="s">
        <v>74</v>
      </c>
      <c r="H82" t="s">
        <v>74</v>
      </c>
      <c r="I82" t="s">
        <v>1697</v>
      </c>
      <c r="J82" t="s">
        <v>1571</v>
      </c>
      <c r="K82" t="s">
        <v>74</v>
      </c>
      <c r="L82" t="s">
        <v>74</v>
      </c>
      <c r="M82" t="s">
        <v>78</v>
      </c>
      <c r="N82" t="s">
        <v>297</v>
      </c>
      <c r="O82" t="s">
        <v>74</v>
      </c>
      <c r="P82" t="s">
        <v>74</v>
      </c>
      <c r="Q82" t="s">
        <v>74</v>
      </c>
      <c r="R82" t="s">
        <v>74</v>
      </c>
      <c r="S82" t="s">
        <v>74</v>
      </c>
      <c r="T82" t="s">
        <v>1698</v>
      </c>
      <c r="U82" t="s">
        <v>1699</v>
      </c>
      <c r="V82" t="s">
        <v>1700</v>
      </c>
      <c r="W82" t="s">
        <v>1701</v>
      </c>
      <c r="X82" t="s">
        <v>1702</v>
      </c>
      <c r="Y82" t="s">
        <v>1703</v>
      </c>
      <c r="Z82" t="s">
        <v>1704</v>
      </c>
      <c r="AA82" t="s">
        <v>1705</v>
      </c>
      <c r="AB82" t="s">
        <v>1706</v>
      </c>
      <c r="AC82" t="s">
        <v>74</v>
      </c>
      <c r="AD82" t="s">
        <v>74</v>
      </c>
      <c r="AE82" t="s">
        <v>74</v>
      </c>
      <c r="AF82" t="s">
        <v>74</v>
      </c>
      <c r="AG82">
        <v>135</v>
      </c>
      <c r="AH82">
        <v>190</v>
      </c>
      <c r="AI82">
        <v>200</v>
      </c>
      <c r="AJ82">
        <v>5</v>
      </c>
      <c r="AK82">
        <v>127</v>
      </c>
      <c r="AL82" t="s">
        <v>172</v>
      </c>
      <c r="AM82" t="s">
        <v>173</v>
      </c>
      <c r="AN82" t="s">
        <v>174</v>
      </c>
      <c r="AO82" t="s">
        <v>1581</v>
      </c>
      <c r="AP82" t="s">
        <v>1582</v>
      </c>
      <c r="AQ82" t="s">
        <v>74</v>
      </c>
      <c r="AR82" t="s">
        <v>1583</v>
      </c>
      <c r="AS82" t="s">
        <v>1584</v>
      </c>
      <c r="AT82" t="s">
        <v>1026</v>
      </c>
      <c r="AU82">
        <v>2009</v>
      </c>
      <c r="AV82">
        <v>52</v>
      </c>
      <c r="AW82">
        <v>6</v>
      </c>
      <c r="AX82" t="s">
        <v>74</v>
      </c>
      <c r="AY82" t="s">
        <v>74</v>
      </c>
      <c r="AZ82" t="s">
        <v>1546</v>
      </c>
      <c r="BA82" t="s">
        <v>74</v>
      </c>
      <c r="BB82">
        <v>617</v>
      </c>
      <c r="BC82">
        <v>638</v>
      </c>
      <c r="BD82" t="s">
        <v>74</v>
      </c>
      <c r="BE82" t="s">
        <v>1707</v>
      </c>
      <c r="BF82" t="str">
        <f>HYPERLINK("http://dx.doi.org/10.1515/BOT.2009.080","http://dx.doi.org/10.1515/BOT.2009.080")</f>
        <v>http://dx.doi.org/10.1515/BOT.2009.080</v>
      </c>
      <c r="BG82" t="s">
        <v>74</v>
      </c>
      <c r="BH82" t="s">
        <v>74</v>
      </c>
      <c r="BI82">
        <v>22</v>
      </c>
      <c r="BJ82" t="s">
        <v>1586</v>
      </c>
      <c r="BK82" t="s">
        <v>98</v>
      </c>
      <c r="BL82" t="s">
        <v>1586</v>
      </c>
      <c r="BM82" t="s">
        <v>1587</v>
      </c>
      <c r="BN82" t="s">
        <v>74</v>
      </c>
      <c r="BO82" t="s">
        <v>74</v>
      </c>
      <c r="BP82" t="s">
        <v>74</v>
      </c>
      <c r="BQ82" t="s">
        <v>74</v>
      </c>
      <c r="BR82" t="s">
        <v>101</v>
      </c>
      <c r="BS82" t="s">
        <v>1708</v>
      </c>
      <c r="BT82" t="str">
        <f>HYPERLINK("https%3A%2F%2Fwww.webofscience.com%2Fwos%2Fwoscc%2Ffull-record%2FWOS:000272161600012","View Full Record in Web of Science")</f>
        <v>View Full Record in Web of Science</v>
      </c>
    </row>
    <row r="83" spans="1:72" x14ac:dyDescent="0.15">
      <c r="A83" t="s">
        <v>72</v>
      </c>
      <c r="B83" t="s">
        <v>1709</v>
      </c>
      <c r="C83" t="s">
        <v>74</v>
      </c>
      <c r="D83" t="s">
        <v>74</v>
      </c>
      <c r="E83" t="s">
        <v>74</v>
      </c>
      <c r="F83" t="s">
        <v>1710</v>
      </c>
      <c r="G83" t="s">
        <v>74</v>
      </c>
      <c r="H83" t="s">
        <v>74</v>
      </c>
      <c r="I83" t="s">
        <v>1711</v>
      </c>
      <c r="J83" t="s">
        <v>1571</v>
      </c>
      <c r="K83" t="s">
        <v>74</v>
      </c>
      <c r="L83" t="s">
        <v>74</v>
      </c>
      <c r="M83" t="s">
        <v>78</v>
      </c>
      <c r="N83" t="s">
        <v>297</v>
      </c>
      <c r="O83" t="s">
        <v>74</v>
      </c>
      <c r="P83" t="s">
        <v>74</v>
      </c>
      <c r="Q83" t="s">
        <v>74</v>
      </c>
      <c r="R83" t="s">
        <v>74</v>
      </c>
      <c r="S83" t="s">
        <v>74</v>
      </c>
      <c r="T83" t="s">
        <v>1712</v>
      </c>
      <c r="U83" t="s">
        <v>1713</v>
      </c>
      <c r="V83" t="s">
        <v>1714</v>
      </c>
      <c r="W83" t="s">
        <v>1715</v>
      </c>
      <c r="X83" t="s">
        <v>1716</v>
      </c>
      <c r="Y83" t="s">
        <v>1717</v>
      </c>
      <c r="Z83" t="s">
        <v>1718</v>
      </c>
      <c r="AA83" t="s">
        <v>1719</v>
      </c>
      <c r="AB83" t="s">
        <v>1720</v>
      </c>
      <c r="AC83" t="s">
        <v>1721</v>
      </c>
      <c r="AD83" t="s">
        <v>1722</v>
      </c>
      <c r="AE83" t="s">
        <v>1723</v>
      </c>
      <c r="AF83" t="s">
        <v>74</v>
      </c>
      <c r="AG83">
        <v>141</v>
      </c>
      <c r="AH83">
        <v>38</v>
      </c>
      <c r="AI83">
        <v>43</v>
      </c>
      <c r="AJ83">
        <v>2</v>
      </c>
      <c r="AK83">
        <v>47</v>
      </c>
      <c r="AL83" t="s">
        <v>172</v>
      </c>
      <c r="AM83" t="s">
        <v>173</v>
      </c>
      <c r="AN83" t="s">
        <v>174</v>
      </c>
      <c r="AO83" t="s">
        <v>1581</v>
      </c>
      <c r="AP83" t="s">
        <v>1582</v>
      </c>
      <c r="AQ83" t="s">
        <v>74</v>
      </c>
      <c r="AR83" t="s">
        <v>1583</v>
      </c>
      <c r="AS83" t="s">
        <v>1584</v>
      </c>
      <c r="AT83" t="s">
        <v>1026</v>
      </c>
      <c r="AU83">
        <v>2009</v>
      </c>
      <c r="AV83">
        <v>52</v>
      </c>
      <c r="AW83">
        <v>6</v>
      </c>
      <c r="AX83" t="s">
        <v>74</v>
      </c>
      <c r="AY83" t="s">
        <v>74</v>
      </c>
      <c r="AZ83" t="s">
        <v>1546</v>
      </c>
      <c r="BA83" t="s">
        <v>74</v>
      </c>
      <c r="BB83">
        <v>639</v>
      </c>
      <c r="BC83">
        <v>654</v>
      </c>
      <c r="BD83" t="s">
        <v>74</v>
      </c>
      <c r="BE83" t="s">
        <v>1724</v>
      </c>
      <c r="BF83" t="str">
        <f>HYPERLINK("http://dx.doi.org/10.1515/BOT.2009.077","http://dx.doi.org/10.1515/BOT.2009.077")</f>
        <v>http://dx.doi.org/10.1515/BOT.2009.077</v>
      </c>
      <c r="BG83" t="s">
        <v>74</v>
      </c>
      <c r="BH83" t="s">
        <v>74</v>
      </c>
      <c r="BI83">
        <v>16</v>
      </c>
      <c r="BJ83" t="s">
        <v>1586</v>
      </c>
      <c r="BK83" t="s">
        <v>98</v>
      </c>
      <c r="BL83" t="s">
        <v>1586</v>
      </c>
      <c r="BM83" t="s">
        <v>1587</v>
      </c>
      <c r="BN83" t="s">
        <v>74</v>
      </c>
      <c r="BO83" t="s">
        <v>74</v>
      </c>
      <c r="BP83" t="s">
        <v>74</v>
      </c>
      <c r="BQ83" t="s">
        <v>74</v>
      </c>
      <c r="BR83" t="s">
        <v>101</v>
      </c>
      <c r="BS83" t="s">
        <v>1725</v>
      </c>
      <c r="BT83" t="str">
        <f>HYPERLINK("https%3A%2F%2Fwww.webofscience.com%2Fwos%2Fwoscc%2Ffull-record%2FWOS:000272161600013","View Full Record in Web of Science")</f>
        <v>View Full Record in Web of Science</v>
      </c>
    </row>
    <row r="84" spans="1:72" x14ac:dyDescent="0.15">
      <c r="A84" t="s">
        <v>72</v>
      </c>
      <c r="B84" t="s">
        <v>1726</v>
      </c>
      <c r="C84" t="s">
        <v>74</v>
      </c>
      <c r="D84" t="s">
        <v>74</v>
      </c>
      <c r="E84" t="s">
        <v>74</v>
      </c>
      <c r="F84" t="s">
        <v>1727</v>
      </c>
      <c r="G84" t="s">
        <v>74</v>
      </c>
      <c r="H84" t="s">
        <v>74</v>
      </c>
      <c r="I84" t="s">
        <v>1728</v>
      </c>
      <c r="J84" t="s">
        <v>1729</v>
      </c>
      <c r="K84" t="s">
        <v>74</v>
      </c>
      <c r="L84" t="s">
        <v>74</v>
      </c>
      <c r="M84" t="s">
        <v>78</v>
      </c>
      <c r="N84" t="s">
        <v>79</v>
      </c>
      <c r="O84" t="s">
        <v>74</v>
      </c>
      <c r="P84" t="s">
        <v>74</v>
      </c>
      <c r="Q84" t="s">
        <v>74</v>
      </c>
      <c r="R84" t="s">
        <v>74</v>
      </c>
      <c r="S84" t="s">
        <v>74</v>
      </c>
      <c r="T84" t="s">
        <v>1730</v>
      </c>
      <c r="U84" t="s">
        <v>1731</v>
      </c>
      <c r="V84" t="s">
        <v>1732</v>
      </c>
      <c r="W84" t="s">
        <v>1733</v>
      </c>
      <c r="X84" t="s">
        <v>1734</v>
      </c>
      <c r="Y84" t="s">
        <v>1735</v>
      </c>
      <c r="Z84" t="s">
        <v>1736</v>
      </c>
      <c r="AA84" t="s">
        <v>74</v>
      </c>
      <c r="AB84" t="s">
        <v>74</v>
      </c>
      <c r="AC84" t="s">
        <v>1737</v>
      </c>
      <c r="AD84" t="s">
        <v>1738</v>
      </c>
      <c r="AE84" t="s">
        <v>1739</v>
      </c>
      <c r="AF84" t="s">
        <v>74</v>
      </c>
      <c r="AG84">
        <v>53</v>
      </c>
      <c r="AH84">
        <v>2</v>
      </c>
      <c r="AI84">
        <v>3</v>
      </c>
      <c r="AJ84">
        <v>0</v>
      </c>
      <c r="AK84">
        <v>7</v>
      </c>
      <c r="AL84" t="s">
        <v>1740</v>
      </c>
      <c r="AM84" t="s">
        <v>1741</v>
      </c>
      <c r="AN84" t="s">
        <v>1742</v>
      </c>
      <c r="AO84" t="s">
        <v>1743</v>
      </c>
      <c r="AP84" t="s">
        <v>1744</v>
      </c>
      <c r="AQ84" t="s">
        <v>74</v>
      </c>
      <c r="AR84" t="s">
        <v>1729</v>
      </c>
      <c r="AS84" t="s">
        <v>1745</v>
      </c>
      <c r="AT84" t="s">
        <v>1746</v>
      </c>
      <c r="AU84">
        <v>2009</v>
      </c>
      <c r="AV84">
        <v>112</v>
      </c>
      <c r="AW84">
        <v>4</v>
      </c>
      <c r="AX84" t="s">
        <v>74</v>
      </c>
      <c r="AY84" t="s">
        <v>74</v>
      </c>
      <c r="AZ84" t="s">
        <v>74</v>
      </c>
      <c r="BA84" t="s">
        <v>74</v>
      </c>
      <c r="BB84">
        <v>749</v>
      </c>
      <c r="BC84">
        <v>761</v>
      </c>
      <c r="BD84" t="s">
        <v>74</v>
      </c>
      <c r="BE84" t="s">
        <v>1747</v>
      </c>
      <c r="BF84" t="str">
        <f>HYPERLINK("http://dx.doi.org/10.1639/0007-2745-112.4.749","http://dx.doi.org/10.1639/0007-2745-112.4.749")</f>
        <v>http://dx.doi.org/10.1639/0007-2745-112.4.749</v>
      </c>
      <c r="BG84" t="s">
        <v>74</v>
      </c>
      <c r="BH84" t="s">
        <v>74</v>
      </c>
      <c r="BI84">
        <v>13</v>
      </c>
      <c r="BJ84" t="s">
        <v>1527</v>
      </c>
      <c r="BK84" t="s">
        <v>98</v>
      </c>
      <c r="BL84" t="s">
        <v>1527</v>
      </c>
      <c r="BM84" t="s">
        <v>1748</v>
      </c>
      <c r="BN84" t="s">
        <v>74</v>
      </c>
      <c r="BO84" t="s">
        <v>74</v>
      </c>
      <c r="BP84" t="s">
        <v>74</v>
      </c>
      <c r="BQ84" t="s">
        <v>74</v>
      </c>
      <c r="BR84" t="s">
        <v>101</v>
      </c>
      <c r="BS84" t="s">
        <v>1749</v>
      </c>
      <c r="BT84" t="str">
        <f>HYPERLINK("https%3A%2F%2Fwww.webofscience.com%2Fwos%2Fwoscc%2Ffull-record%2FWOS:000272818000004","View Full Record in Web of Science")</f>
        <v>View Full Record in Web of Science</v>
      </c>
    </row>
    <row r="85" spans="1:72" x14ac:dyDescent="0.15">
      <c r="A85" t="s">
        <v>72</v>
      </c>
      <c r="B85" t="s">
        <v>1750</v>
      </c>
      <c r="C85" t="s">
        <v>74</v>
      </c>
      <c r="D85" t="s">
        <v>74</v>
      </c>
      <c r="E85" t="s">
        <v>74</v>
      </c>
      <c r="F85" t="s">
        <v>1751</v>
      </c>
      <c r="G85" t="s">
        <v>74</v>
      </c>
      <c r="H85" t="s">
        <v>74</v>
      </c>
      <c r="I85" t="s">
        <v>1752</v>
      </c>
      <c r="J85" t="s">
        <v>1753</v>
      </c>
      <c r="K85" t="s">
        <v>74</v>
      </c>
      <c r="L85" t="s">
        <v>74</v>
      </c>
      <c r="M85" t="s">
        <v>1754</v>
      </c>
      <c r="N85" t="s">
        <v>79</v>
      </c>
      <c r="O85" t="s">
        <v>74</v>
      </c>
      <c r="P85" t="s">
        <v>74</v>
      </c>
      <c r="Q85" t="s">
        <v>74</v>
      </c>
      <c r="R85" t="s">
        <v>74</v>
      </c>
      <c r="S85" t="s">
        <v>74</v>
      </c>
      <c r="T85" t="s">
        <v>1755</v>
      </c>
      <c r="U85" t="s">
        <v>1756</v>
      </c>
      <c r="V85" t="s">
        <v>1757</v>
      </c>
      <c r="W85" t="s">
        <v>1758</v>
      </c>
      <c r="X85" t="s">
        <v>1759</v>
      </c>
      <c r="Y85" t="s">
        <v>1760</v>
      </c>
      <c r="Z85" t="s">
        <v>1761</v>
      </c>
      <c r="AA85" t="s">
        <v>1762</v>
      </c>
      <c r="AB85" t="s">
        <v>1763</v>
      </c>
      <c r="AC85" t="s">
        <v>74</v>
      </c>
      <c r="AD85" t="s">
        <v>74</v>
      </c>
      <c r="AE85" t="s">
        <v>74</v>
      </c>
      <c r="AF85" t="s">
        <v>74</v>
      </c>
      <c r="AG85">
        <v>20</v>
      </c>
      <c r="AH85">
        <v>14</v>
      </c>
      <c r="AI85">
        <v>29</v>
      </c>
      <c r="AJ85">
        <v>0</v>
      </c>
      <c r="AK85">
        <v>17</v>
      </c>
      <c r="AL85" t="s">
        <v>1764</v>
      </c>
      <c r="AM85" t="s">
        <v>1765</v>
      </c>
      <c r="AN85" t="s">
        <v>1766</v>
      </c>
      <c r="AO85" t="s">
        <v>1767</v>
      </c>
      <c r="AP85" t="s">
        <v>74</v>
      </c>
      <c r="AQ85" t="s">
        <v>74</v>
      </c>
      <c r="AR85" t="s">
        <v>1768</v>
      </c>
      <c r="AS85" t="s">
        <v>1769</v>
      </c>
      <c r="AT85" t="s">
        <v>1026</v>
      </c>
      <c r="AU85">
        <v>2009</v>
      </c>
      <c r="AV85">
        <v>52</v>
      </c>
      <c r="AW85">
        <v>12</v>
      </c>
      <c r="AX85" t="s">
        <v>74</v>
      </c>
      <c r="AY85" t="s">
        <v>74</v>
      </c>
      <c r="AZ85" t="s">
        <v>74</v>
      </c>
      <c r="BA85" t="s">
        <v>74</v>
      </c>
      <c r="BB85">
        <v>2987</v>
      </c>
      <c r="BC85">
        <v>2992</v>
      </c>
      <c r="BD85" t="s">
        <v>74</v>
      </c>
      <c r="BE85" t="s">
        <v>1770</v>
      </c>
      <c r="BF85" t="str">
        <f>HYPERLINK("http://dx.doi.org/10.3969/j.issn.0001-5733.2009.12.007","http://dx.doi.org/10.3969/j.issn.0001-5733.2009.12.007")</f>
        <v>http://dx.doi.org/10.3969/j.issn.0001-5733.2009.12.007</v>
      </c>
      <c r="BG85" t="s">
        <v>74</v>
      </c>
      <c r="BH85" t="s">
        <v>74</v>
      </c>
      <c r="BI85">
        <v>6</v>
      </c>
      <c r="BJ85" t="s">
        <v>261</v>
      </c>
      <c r="BK85" t="s">
        <v>98</v>
      </c>
      <c r="BL85" t="s">
        <v>261</v>
      </c>
      <c r="BM85" t="s">
        <v>1771</v>
      </c>
      <c r="BN85" t="s">
        <v>74</v>
      </c>
      <c r="BO85" t="s">
        <v>74</v>
      </c>
      <c r="BP85" t="s">
        <v>74</v>
      </c>
      <c r="BQ85" t="s">
        <v>74</v>
      </c>
      <c r="BR85" t="s">
        <v>101</v>
      </c>
      <c r="BS85" t="s">
        <v>1772</v>
      </c>
      <c r="BT85" t="str">
        <f>HYPERLINK("https%3A%2F%2Fwww.webofscience.com%2Fwos%2Fwoscc%2Ffull-record%2FWOS:000273364200007","View Full Record in Web of Science")</f>
        <v>View Full Record in Web of Science</v>
      </c>
    </row>
    <row r="86" spans="1:72" x14ac:dyDescent="0.15">
      <c r="A86" t="s">
        <v>72</v>
      </c>
      <c r="B86" t="s">
        <v>1773</v>
      </c>
      <c r="C86" t="s">
        <v>74</v>
      </c>
      <c r="D86" t="s">
        <v>74</v>
      </c>
      <c r="E86" t="s">
        <v>74</v>
      </c>
      <c r="F86" t="s">
        <v>1774</v>
      </c>
      <c r="G86" t="s">
        <v>74</v>
      </c>
      <c r="H86" t="s">
        <v>74</v>
      </c>
      <c r="I86" t="s">
        <v>1775</v>
      </c>
      <c r="J86" t="s">
        <v>1776</v>
      </c>
      <c r="K86" t="s">
        <v>74</v>
      </c>
      <c r="L86" t="s">
        <v>74</v>
      </c>
      <c r="M86" t="s">
        <v>78</v>
      </c>
      <c r="N86" t="s">
        <v>79</v>
      </c>
      <c r="O86" t="s">
        <v>74</v>
      </c>
      <c r="P86" t="s">
        <v>74</v>
      </c>
      <c r="Q86" t="s">
        <v>74</v>
      </c>
      <c r="R86" t="s">
        <v>74</v>
      </c>
      <c r="S86" t="s">
        <v>74</v>
      </c>
      <c r="T86" t="s">
        <v>1777</v>
      </c>
      <c r="U86" t="s">
        <v>1778</v>
      </c>
      <c r="V86" t="s">
        <v>1779</v>
      </c>
      <c r="W86" t="s">
        <v>1780</v>
      </c>
      <c r="X86" t="s">
        <v>1781</v>
      </c>
      <c r="Y86" t="s">
        <v>1782</v>
      </c>
      <c r="Z86" t="s">
        <v>1783</v>
      </c>
      <c r="AA86" t="s">
        <v>1784</v>
      </c>
      <c r="AB86" t="s">
        <v>74</v>
      </c>
      <c r="AC86" t="s">
        <v>1785</v>
      </c>
      <c r="AD86" t="s">
        <v>1786</v>
      </c>
      <c r="AE86" t="s">
        <v>1787</v>
      </c>
      <c r="AF86" t="s">
        <v>74</v>
      </c>
      <c r="AG86">
        <v>26</v>
      </c>
      <c r="AH86">
        <v>20</v>
      </c>
      <c r="AI86">
        <v>22</v>
      </c>
      <c r="AJ86">
        <v>0</v>
      </c>
      <c r="AK86">
        <v>18</v>
      </c>
      <c r="AL86" t="s">
        <v>1764</v>
      </c>
      <c r="AM86" t="s">
        <v>1765</v>
      </c>
      <c r="AN86" t="s">
        <v>1766</v>
      </c>
      <c r="AO86" t="s">
        <v>1788</v>
      </c>
      <c r="AP86" t="s">
        <v>1789</v>
      </c>
      <c r="AQ86" t="s">
        <v>74</v>
      </c>
      <c r="AR86" t="s">
        <v>1790</v>
      </c>
      <c r="AS86" t="s">
        <v>1791</v>
      </c>
      <c r="AT86" t="s">
        <v>1026</v>
      </c>
      <c r="AU86">
        <v>2009</v>
      </c>
      <c r="AV86">
        <v>54</v>
      </c>
      <c r="AW86">
        <v>23</v>
      </c>
      <c r="AX86" t="s">
        <v>74</v>
      </c>
      <c r="AY86" t="s">
        <v>74</v>
      </c>
      <c r="AZ86" t="s">
        <v>74</v>
      </c>
      <c r="BA86" t="s">
        <v>74</v>
      </c>
      <c r="BB86">
        <v>4507</v>
      </c>
      <c r="BC86">
        <v>4513</v>
      </c>
      <c r="BD86" t="s">
        <v>74</v>
      </c>
      <c r="BE86" t="s">
        <v>1792</v>
      </c>
      <c r="BF86" t="str">
        <f>HYPERLINK("http://dx.doi.org/10.1007/s11434-009-0231-2","http://dx.doi.org/10.1007/s11434-009-0231-2")</f>
        <v>http://dx.doi.org/10.1007/s11434-009-0231-2</v>
      </c>
      <c r="BG86" t="s">
        <v>74</v>
      </c>
      <c r="BH86" t="s">
        <v>74</v>
      </c>
      <c r="BI86">
        <v>7</v>
      </c>
      <c r="BJ86" t="s">
        <v>388</v>
      </c>
      <c r="BK86" t="s">
        <v>98</v>
      </c>
      <c r="BL86" t="s">
        <v>389</v>
      </c>
      <c r="BM86" t="s">
        <v>1793</v>
      </c>
      <c r="BN86" t="s">
        <v>74</v>
      </c>
      <c r="BO86" t="s">
        <v>74</v>
      </c>
      <c r="BP86" t="s">
        <v>74</v>
      </c>
      <c r="BQ86" t="s">
        <v>74</v>
      </c>
      <c r="BR86" t="s">
        <v>101</v>
      </c>
      <c r="BS86" t="s">
        <v>1794</v>
      </c>
      <c r="BT86" t="str">
        <f>HYPERLINK("https%3A%2F%2Fwww.webofscience.com%2Fwos%2Fwoscc%2Ffull-record%2FWOS:000272622100033","View Full Record in Web of Science")</f>
        <v>View Full Record in Web of Science</v>
      </c>
    </row>
    <row r="87" spans="1:72" x14ac:dyDescent="0.15">
      <c r="A87" t="s">
        <v>72</v>
      </c>
      <c r="B87" t="s">
        <v>1795</v>
      </c>
      <c r="C87" t="s">
        <v>74</v>
      </c>
      <c r="D87" t="s">
        <v>74</v>
      </c>
      <c r="E87" t="s">
        <v>74</v>
      </c>
      <c r="F87" t="s">
        <v>1796</v>
      </c>
      <c r="G87" t="s">
        <v>74</v>
      </c>
      <c r="H87" t="s">
        <v>74</v>
      </c>
      <c r="I87" t="s">
        <v>1797</v>
      </c>
      <c r="J87" t="s">
        <v>1776</v>
      </c>
      <c r="K87" t="s">
        <v>74</v>
      </c>
      <c r="L87" t="s">
        <v>74</v>
      </c>
      <c r="M87" t="s">
        <v>78</v>
      </c>
      <c r="N87" t="s">
        <v>79</v>
      </c>
      <c r="O87" t="s">
        <v>74</v>
      </c>
      <c r="P87" t="s">
        <v>74</v>
      </c>
      <c r="Q87" t="s">
        <v>74</v>
      </c>
      <c r="R87" t="s">
        <v>74</v>
      </c>
      <c r="S87" t="s">
        <v>74</v>
      </c>
      <c r="T87" t="s">
        <v>1798</v>
      </c>
      <c r="U87" t="s">
        <v>1799</v>
      </c>
      <c r="V87" t="s">
        <v>1800</v>
      </c>
      <c r="W87" t="s">
        <v>1801</v>
      </c>
      <c r="X87" t="s">
        <v>1802</v>
      </c>
      <c r="Y87" t="s">
        <v>1803</v>
      </c>
      <c r="Z87" t="s">
        <v>1804</v>
      </c>
      <c r="AA87" t="s">
        <v>74</v>
      </c>
      <c r="AB87" t="s">
        <v>74</v>
      </c>
      <c r="AC87" t="s">
        <v>1805</v>
      </c>
      <c r="AD87" t="s">
        <v>1806</v>
      </c>
      <c r="AE87" t="s">
        <v>1807</v>
      </c>
      <c r="AF87" t="s">
        <v>74</v>
      </c>
      <c r="AG87">
        <v>29</v>
      </c>
      <c r="AH87">
        <v>17</v>
      </c>
      <c r="AI87">
        <v>24</v>
      </c>
      <c r="AJ87">
        <v>1</v>
      </c>
      <c r="AK87">
        <v>21</v>
      </c>
      <c r="AL87" t="s">
        <v>1764</v>
      </c>
      <c r="AM87" t="s">
        <v>1765</v>
      </c>
      <c r="AN87" t="s">
        <v>1766</v>
      </c>
      <c r="AO87" t="s">
        <v>1788</v>
      </c>
      <c r="AP87" t="s">
        <v>1789</v>
      </c>
      <c r="AQ87" t="s">
        <v>74</v>
      </c>
      <c r="AR87" t="s">
        <v>1790</v>
      </c>
      <c r="AS87" t="s">
        <v>1791</v>
      </c>
      <c r="AT87" t="s">
        <v>1026</v>
      </c>
      <c r="AU87">
        <v>2009</v>
      </c>
      <c r="AV87">
        <v>54</v>
      </c>
      <c r="AW87">
        <v>23</v>
      </c>
      <c r="AX87" t="s">
        <v>74</v>
      </c>
      <c r="AY87" t="s">
        <v>74</v>
      </c>
      <c r="AZ87" t="s">
        <v>74</v>
      </c>
      <c r="BA87" t="s">
        <v>74</v>
      </c>
      <c r="BB87">
        <v>4529</v>
      </c>
      <c r="BC87">
        <v>4533</v>
      </c>
      <c r="BD87" t="s">
        <v>74</v>
      </c>
      <c r="BE87" t="s">
        <v>1808</v>
      </c>
      <c r="BF87" t="str">
        <f>HYPERLINK("http://dx.doi.org/10.1007/s11434-009-0447-1","http://dx.doi.org/10.1007/s11434-009-0447-1")</f>
        <v>http://dx.doi.org/10.1007/s11434-009-0447-1</v>
      </c>
      <c r="BG87" t="s">
        <v>74</v>
      </c>
      <c r="BH87" t="s">
        <v>74</v>
      </c>
      <c r="BI87">
        <v>5</v>
      </c>
      <c r="BJ87" t="s">
        <v>388</v>
      </c>
      <c r="BK87" t="s">
        <v>98</v>
      </c>
      <c r="BL87" t="s">
        <v>389</v>
      </c>
      <c r="BM87" t="s">
        <v>1793</v>
      </c>
      <c r="BN87" t="s">
        <v>74</v>
      </c>
      <c r="BO87" t="s">
        <v>74</v>
      </c>
      <c r="BP87" t="s">
        <v>74</v>
      </c>
      <c r="BQ87" t="s">
        <v>74</v>
      </c>
      <c r="BR87" t="s">
        <v>101</v>
      </c>
      <c r="BS87" t="s">
        <v>1809</v>
      </c>
      <c r="BT87" t="str">
        <f>HYPERLINK("https%3A%2F%2Fwww.webofscience.com%2Fwos%2Fwoscc%2Ffull-record%2FWOS:000272622100036","View Full Record in Web of Science")</f>
        <v>View Full Record in Web of Science</v>
      </c>
    </row>
    <row r="88" spans="1:72" x14ac:dyDescent="0.15">
      <c r="A88" t="s">
        <v>72</v>
      </c>
      <c r="B88" t="s">
        <v>1810</v>
      </c>
      <c r="C88" t="s">
        <v>74</v>
      </c>
      <c r="D88" t="s">
        <v>74</v>
      </c>
      <c r="E88" t="s">
        <v>74</v>
      </c>
      <c r="F88" t="s">
        <v>1811</v>
      </c>
      <c r="G88" t="s">
        <v>74</v>
      </c>
      <c r="H88" t="s">
        <v>74</v>
      </c>
      <c r="I88" t="s">
        <v>1812</v>
      </c>
      <c r="J88" t="s">
        <v>1813</v>
      </c>
      <c r="K88" t="s">
        <v>74</v>
      </c>
      <c r="L88" t="s">
        <v>74</v>
      </c>
      <c r="M88" t="s">
        <v>78</v>
      </c>
      <c r="N88" t="s">
        <v>79</v>
      </c>
      <c r="O88" t="s">
        <v>74</v>
      </c>
      <c r="P88" t="s">
        <v>74</v>
      </c>
      <c r="Q88" t="s">
        <v>74</v>
      </c>
      <c r="R88" t="s">
        <v>74</v>
      </c>
      <c r="S88" t="s">
        <v>74</v>
      </c>
      <c r="T88" t="s">
        <v>1814</v>
      </c>
      <c r="U88" t="s">
        <v>1815</v>
      </c>
      <c r="V88" t="s">
        <v>1816</v>
      </c>
      <c r="W88" t="s">
        <v>1817</v>
      </c>
      <c r="X88" t="s">
        <v>1818</v>
      </c>
      <c r="Y88" t="s">
        <v>1819</v>
      </c>
      <c r="Z88" t="s">
        <v>1820</v>
      </c>
      <c r="AA88" t="s">
        <v>1821</v>
      </c>
      <c r="AB88" t="s">
        <v>1822</v>
      </c>
      <c r="AC88" t="s">
        <v>1823</v>
      </c>
      <c r="AD88" t="s">
        <v>1824</v>
      </c>
      <c r="AE88" t="s">
        <v>1825</v>
      </c>
      <c r="AF88" t="s">
        <v>74</v>
      </c>
      <c r="AG88">
        <v>26</v>
      </c>
      <c r="AH88">
        <v>16</v>
      </c>
      <c r="AI88">
        <v>20</v>
      </c>
      <c r="AJ88">
        <v>0</v>
      </c>
      <c r="AK88">
        <v>13</v>
      </c>
      <c r="AL88" t="s">
        <v>683</v>
      </c>
      <c r="AM88" t="s">
        <v>684</v>
      </c>
      <c r="AN88" t="s">
        <v>1826</v>
      </c>
      <c r="AO88" t="s">
        <v>1827</v>
      </c>
      <c r="AP88" t="s">
        <v>74</v>
      </c>
      <c r="AQ88" t="s">
        <v>74</v>
      </c>
      <c r="AR88" t="s">
        <v>1828</v>
      </c>
      <c r="AS88" t="s">
        <v>1829</v>
      </c>
      <c r="AT88" t="s">
        <v>1026</v>
      </c>
      <c r="AU88">
        <v>2009</v>
      </c>
      <c r="AV88">
        <v>154</v>
      </c>
      <c r="AW88">
        <v>4</v>
      </c>
      <c r="AX88" t="s">
        <v>74</v>
      </c>
      <c r="AY88" t="s">
        <v>74</v>
      </c>
      <c r="AZ88" t="s">
        <v>74</v>
      </c>
      <c r="BA88" t="s">
        <v>74</v>
      </c>
      <c r="BB88">
        <v>564</v>
      </c>
      <c r="BC88">
        <v>569</v>
      </c>
      <c r="BD88" t="s">
        <v>74</v>
      </c>
      <c r="BE88" t="s">
        <v>1830</v>
      </c>
      <c r="BF88" t="str">
        <f>HYPERLINK("http://dx.doi.org/10.1016/j.cbpa.2009.09.005","http://dx.doi.org/10.1016/j.cbpa.2009.09.005")</f>
        <v>http://dx.doi.org/10.1016/j.cbpa.2009.09.005</v>
      </c>
      <c r="BG88" t="s">
        <v>74</v>
      </c>
      <c r="BH88" t="s">
        <v>74</v>
      </c>
      <c r="BI88">
        <v>6</v>
      </c>
      <c r="BJ88" t="s">
        <v>1831</v>
      </c>
      <c r="BK88" t="s">
        <v>98</v>
      </c>
      <c r="BL88" t="s">
        <v>1831</v>
      </c>
      <c r="BM88" t="s">
        <v>1832</v>
      </c>
      <c r="BN88">
        <v>19758576</v>
      </c>
      <c r="BO88" t="s">
        <v>74</v>
      </c>
      <c r="BP88" t="s">
        <v>74</v>
      </c>
      <c r="BQ88" t="s">
        <v>74</v>
      </c>
      <c r="BR88" t="s">
        <v>101</v>
      </c>
      <c r="BS88" t="s">
        <v>1833</v>
      </c>
      <c r="BT88" t="str">
        <f>HYPERLINK("https%3A%2F%2Fwww.webofscience.com%2Fwos%2Fwoscc%2Ffull-record%2FWOS:000271499100018","View Full Record in Web of Science")</f>
        <v>View Full Record in Web of Science</v>
      </c>
    </row>
    <row r="89" spans="1:72" x14ac:dyDescent="0.15">
      <c r="A89" t="s">
        <v>72</v>
      </c>
      <c r="B89" t="s">
        <v>1834</v>
      </c>
      <c r="C89" t="s">
        <v>74</v>
      </c>
      <c r="D89" t="s">
        <v>74</v>
      </c>
      <c r="E89" t="s">
        <v>74</v>
      </c>
      <c r="F89" t="s">
        <v>1835</v>
      </c>
      <c r="G89" t="s">
        <v>74</v>
      </c>
      <c r="H89" t="s">
        <v>74</v>
      </c>
      <c r="I89" t="s">
        <v>1836</v>
      </c>
      <c r="J89" t="s">
        <v>1837</v>
      </c>
      <c r="K89" t="s">
        <v>74</v>
      </c>
      <c r="L89" t="s">
        <v>74</v>
      </c>
      <c r="M89" t="s">
        <v>78</v>
      </c>
      <c r="N89" t="s">
        <v>79</v>
      </c>
      <c r="O89" t="s">
        <v>74</v>
      </c>
      <c r="P89" t="s">
        <v>74</v>
      </c>
      <c r="Q89" t="s">
        <v>74</v>
      </c>
      <c r="R89" t="s">
        <v>74</v>
      </c>
      <c r="S89" t="s">
        <v>74</v>
      </c>
      <c r="T89" t="s">
        <v>1838</v>
      </c>
      <c r="U89" t="s">
        <v>1839</v>
      </c>
      <c r="V89" t="s">
        <v>1840</v>
      </c>
      <c r="W89" t="s">
        <v>1841</v>
      </c>
      <c r="X89" t="s">
        <v>1842</v>
      </c>
      <c r="Y89" t="s">
        <v>1843</v>
      </c>
      <c r="Z89" t="s">
        <v>1844</v>
      </c>
      <c r="AA89" t="s">
        <v>1845</v>
      </c>
      <c r="AB89" t="s">
        <v>1846</v>
      </c>
      <c r="AC89" t="s">
        <v>1847</v>
      </c>
      <c r="AD89" t="s">
        <v>1848</v>
      </c>
      <c r="AE89" t="s">
        <v>1849</v>
      </c>
      <c r="AF89" t="s">
        <v>74</v>
      </c>
      <c r="AG89">
        <v>9</v>
      </c>
      <c r="AH89">
        <v>7</v>
      </c>
      <c r="AI89">
        <v>7</v>
      </c>
      <c r="AJ89">
        <v>0</v>
      </c>
      <c r="AK89">
        <v>2</v>
      </c>
      <c r="AL89" t="s">
        <v>1850</v>
      </c>
      <c r="AM89" t="s">
        <v>1851</v>
      </c>
      <c r="AN89" t="s">
        <v>1852</v>
      </c>
      <c r="AO89" t="s">
        <v>1853</v>
      </c>
      <c r="AP89" t="s">
        <v>1854</v>
      </c>
      <c r="AQ89" t="s">
        <v>74</v>
      </c>
      <c r="AR89" t="s">
        <v>1855</v>
      </c>
      <c r="AS89" t="s">
        <v>1856</v>
      </c>
      <c r="AT89" t="s">
        <v>1026</v>
      </c>
      <c r="AU89">
        <v>2009</v>
      </c>
      <c r="AV89">
        <v>1</v>
      </c>
      <c r="AW89">
        <v>1</v>
      </c>
      <c r="AX89" t="s">
        <v>74</v>
      </c>
      <c r="AY89" t="s">
        <v>74</v>
      </c>
      <c r="AZ89" t="s">
        <v>74</v>
      </c>
      <c r="BA89" t="s">
        <v>74</v>
      </c>
      <c r="BB89">
        <v>17</v>
      </c>
      <c r="BC89">
        <v>19</v>
      </c>
      <c r="BD89" t="s">
        <v>74</v>
      </c>
      <c r="BE89" t="s">
        <v>1857</v>
      </c>
      <c r="BF89" t="str">
        <f>HYPERLINK("http://dx.doi.org/10.1007/s12686-009-9004-0","http://dx.doi.org/10.1007/s12686-009-9004-0")</f>
        <v>http://dx.doi.org/10.1007/s12686-009-9004-0</v>
      </c>
      <c r="BG89" t="s">
        <v>74</v>
      </c>
      <c r="BH89" t="s">
        <v>74</v>
      </c>
      <c r="BI89">
        <v>3</v>
      </c>
      <c r="BJ89" t="s">
        <v>1858</v>
      </c>
      <c r="BK89" t="s">
        <v>98</v>
      </c>
      <c r="BL89" t="s">
        <v>1859</v>
      </c>
      <c r="BM89" t="s">
        <v>1860</v>
      </c>
      <c r="BN89" t="s">
        <v>74</v>
      </c>
      <c r="BO89" t="s">
        <v>74</v>
      </c>
      <c r="BP89" t="s">
        <v>74</v>
      </c>
      <c r="BQ89" t="s">
        <v>74</v>
      </c>
      <c r="BR89" t="s">
        <v>101</v>
      </c>
      <c r="BS89" t="s">
        <v>1861</v>
      </c>
      <c r="BT89" t="str">
        <f>HYPERLINK("https%3A%2F%2Fwww.webofscience.com%2Fwos%2Fwoscc%2Ffull-record%2FWOS:000207922400005","View Full Record in Web of Science")</f>
        <v>View Full Record in Web of Science</v>
      </c>
    </row>
    <row r="90" spans="1:72" x14ac:dyDescent="0.15">
      <c r="A90" t="s">
        <v>72</v>
      </c>
      <c r="B90" t="s">
        <v>1862</v>
      </c>
      <c r="C90" t="s">
        <v>74</v>
      </c>
      <c r="D90" t="s">
        <v>74</v>
      </c>
      <c r="E90" t="s">
        <v>74</v>
      </c>
      <c r="F90" t="s">
        <v>1863</v>
      </c>
      <c r="G90" t="s">
        <v>74</v>
      </c>
      <c r="H90" t="s">
        <v>74</v>
      </c>
      <c r="I90" t="s">
        <v>1864</v>
      </c>
      <c r="J90" t="s">
        <v>1837</v>
      </c>
      <c r="K90" t="s">
        <v>74</v>
      </c>
      <c r="L90" t="s">
        <v>74</v>
      </c>
      <c r="M90" t="s">
        <v>78</v>
      </c>
      <c r="N90" t="s">
        <v>79</v>
      </c>
      <c r="O90" t="s">
        <v>74</v>
      </c>
      <c r="P90" t="s">
        <v>74</v>
      </c>
      <c r="Q90" t="s">
        <v>74</v>
      </c>
      <c r="R90" t="s">
        <v>74</v>
      </c>
      <c r="S90" t="s">
        <v>74</v>
      </c>
      <c r="T90" t="s">
        <v>1865</v>
      </c>
      <c r="U90" t="s">
        <v>74</v>
      </c>
      <c r="V90" t="s">
        <v>1866</v>
      </c>
      <c r="W90" t="s">
        <v>1867</v>
      </c>
      <c r="X90" t="s">
        <v>1868</v>
      </c>
      <c r="Y90" t="s">
        <v>1869</v>
      </c>
      <c r="Z90" t="s">
        <v>1870</v>
      </c>
      <c r="AA90" t="s">
        <v>1871</v>
      </c>
      <c r="AB90" t="s">
        <v>1872</v>
      </c>
      <c r="AC90" t="s">
        <v>1873</v>
      </c>
      <c r="AD90" t="s">
        <v>1874</v>
      </c>
      <c r="AE90" t="s">
        <v>1875</v>
      </c>
      <c r="AF90" t="s">
        <v>74</v>
      </c>
      <c r="AG90">
        <v>9</v>
      </c>
      <c r="AH90">
        <v>2</v>
      </c>
      <c r="AI90">
        <v>2</v>
      </c>
      <c r="AJ90">
        <v>0</v>
      </c>
      <c r="AK90">
        <v>11</v>
      </c>
      <c r="AL90" t="s">
        <v>1850</v>
      </c>
      <c r="AM90" t="s">
        <v>1851</v>
      </c>
      <c r="AN90" t="s">
        <v>1852</v>
      </c>
      <c r="AO90" t="s">
        <v>1853</v>
      </c>
      <c r="AP90" t="s">
        <v>74</v>
      </c>
      <c r="AQ90" t="s">
        <v>74</v>
      </c>
      <c r="AR90" t="s">
        <v>1855</v>
      </c>
      <c r="AS90" t="s">
        <v>1856</v>
      </c>
      <c r="AT90" t="s">
        <v>1026</v>
      </c>
      <c r="AU90">
        <v>2009</v>
      </c>
      <c r="AV90">
        <v>1</v>
      </c>
      <c r="AW90">
        <v>1</v>
      </c>
      <c r="AX90" t="s">
        <v>74</v>
      </c>
      <c r="AY90" t="s">
        <v>74</v>
      </c>
      <c r="AZ90" t="s">
        <v>74</v>
      </c>
      <c r="BA90" t="s">
        <v>74</v>
      </c>
      <c r="BB90">
        <v>455</v>
      </c>
      <c r="BC90">
        <v>458</v>
      </c>
      <c r="BD90" t="s">
        <v>74</v>
      </c>
      <c r="BE90" t="s">
        <v>1876</v>
      </c>
      <c r="BF90" t="str">
        <f>HYPERLINK("http://dx.doi.org/10.1007/s12686-009-9105-9","http://dx.doi.org/10.1007/s12686-009-9105-9")</f>
        <v>http://dx.doi.org/10.1007/s12686-009-9105-9</v>
      </c>
      <c r="BG90" t="s">
        <v>74</v>
      </c>
      <c r="BH90" t="s">
        <v>74</v>
      </c>
      <c r="BI90">
        <v>4</v>
      </c>
      <c r="BJ90" t="s">
        <v>1858</v>
      </c>
      <c r="BK90" t="s">
        <v>98</v>
      </c>
      <c r="BL90" t="s">
        <v>1859</v>
      </c>
      <c r="BM90" t="s">
        <v>1860</v>
      </c>
      <c r="BN90" t="s">
        <v>74</v>
      </c>
      <c r="BO90" t="s">
        <v>74</v>
      </c>
      <c r="BP90" t="s">
        <v>74</v>
      </c>
      <c r="BQ90" t="s">
        <v>74</v>
      </c>
      <c r="BR90" t="s">
        <v>101</v>
      </c>
      <c r="BS90" t="s">
        <v>1877</v>
      </c>
      <c r="BT90" t="str">
        <f>HYPERLINK("https%3A%2F%2Fwww.webofscience.com%2Fwos%2Fwoscc%2Ffull-record%2FWOS:000207922400103","View Full Record in Web of Science")</f>
        <v>View Full Record in Web of Science</v>
      </c>
    </row>
    <row r="91" spans="1:72" x14ac:dyDescent="0.15">
      <c r="A91" t="s">
        <v>72</v>
      </c>
      <c r="B91" t="s">
        <v>1878</v>
      </c>
      <c r="C91" t="s">
        <v>74</v>
      </c>
      <c r="D91" t="s">
        <v>74</v>
      </c>
      <c r="E91" t="s">
        <v>74</v>
      </c>
      <c r="F91" t="s">
        <v>1879</v>
      </c>
      <c r="G91" t="s">
        <v>74</v>
      </c>
      <c r="H91" t="s">
        <v>74</v>
      </c>
      <c r="I91" t="s">
        <v>1880</v>
      </c>
      <c r="J91" t="s">
        <v>1881</v>
      </c>
      <c r="K91" t="s">
        <v>74</v>
      </c>
      <c r="L91" t="s">
        <v>74</v>
      </c>
      <c r="M91" t="s">
        <v>78</v>
      </c>
      <c r="N91" t="s">
        <v>79</v>
      </c>
      <c r="O91" t="s">
        <v>74</v>
      </c>
      <c r="P91" t="s">
        <v>74</v>
      </c>
      <c r="Q91" t="s">
        <v>74</v>
      </c>
      <c r="R91" t="s">
        <v>74</v>
      </c>
      <c r="S91" t="s">
        <v>74</v>
      </c>
      <c r="T91" t="s">
        <v>1882</v>
      </c>
      <c r="U91" t="s">
        <v>1883</v>
      </c>
      <c r="V91" t="s">
        <v>1884</v>
      </c>
      <c r="W91" t="s">
        <v>1885</v>
      </c>
      <c r="X91" t="s">
        <v>1886</v>
      </c>
      <c r="Y91" t="s">
        <v>1887</v>
      </c>
      <c r="Z91" t="s">
        <v>1888</v>
      </c>
      <c r="AA91" t="s">
        <v>1889</v>
      </c>
      <c r="AB91" t="s">
        <v>1890</v>
      </c>
      <c r="AC91" t="s">
        <v>1891</v>
      </c>
      <c r="AD91" t="s">
        <v>1892</v>
      </c>
      <c r="AE91" t="s">
        <v>1893</v>
      </c>
      <c r="AF91" t="s">
        <v>74</v>
      </c>
      <c r="AG91">
        <v>71</v>
      </c>
      <c r="AH91">
        <v>23</v>
      </c>
      <c r="AI91">
        <v>26</v>
      </c>
      <c r="AJ91">
        <v>0</v>
      </c>
      <c r="AK91">
        <v>26</v>
      </c>
      <c r="AL91" t="s">
        <v>1894</v>
      </c>
      <c r="AM91" t="s">
        <v>1895</v>
      </c>
      <c r="AN91" t="s">
        <v>1896</v>
      </c>
      <c r="AO91" t="s">
        <v>1897</v>
      </c>
      <c r="AP91" t="s">
        <v>1898</v>
      </c>
      <c r="AQ91" t="s">
        <v>74</v>
      </c>
      <c r="AR91" t="s">
        <v>1899</v>
      </c>
      <c r="AS91" t="s">
        <v>1900</v>
      </c>
      <c r="AT91" t="s">
        <v>1026</v>
      </c>
      <c r="AU91">
        <v>2009</v>
      </c>
      <c r="AV91">
        <v>56</v>
      </c>
      <c r="AW91">
        <v>12</v>
      </c>
      <c r="AX91" t="s">
        <v>74</v>
      </c>
      <c r="AY91" t="s">
        <v>74</v>
      </c>
      <c r="AZ91" t="s">
        <v>74</v>
      </c>
      <c r="BA91" t="s">
        <v>74</v>
      </c>
      <c r="BB91">
        <v>2162</v>
      </c>
      <c r="BC91">
        <v>2174</v>
      </c>
      <c r="BD91" t="s">
        <v>74</v>
      </c>
      <c r="BE91" t="s">
        <v>1901</v>
      </c>
      <c r="BF91" t="str">
        <f>HYPERLINK("http://dx.doi.org/10.1016/j.dsr.2009.08.002","http://dx.doi.org/10.1016/j.dsr.2009.08.002")</f>
        <v>http://dx.doi.org/10.1016/j.dsr.2009.08.002</v>
      </c>
      <c r="BG91" t="s">
        <v>74</v>
      </c>
      <c r="BH91" t="s">
        <v>74</v>
      </c>
      <c r="BI91">
        <v>13</v>
      </c>
      <c r="BJ91" t="s">
        <v>806</v>
      </c>
      <c r="BK91" t="s">
        <v>98</v>
      </c>
      <c r="BL91" t="s">
        <v>806</v>
      </c>
      <c r="BM91" t="s">
        <v>1902</v>
      </c>
      <c r="BN91" t="s">
        <v>74</v>
      </c>
      <c r="BO91" t="s">
        <v>74</v>
      </c>
      <c r="BP91" t="s">
        <v>74</v>
      </c>
      <c r="BQ91" t="s">
        <v>74</v>
      </c>
      <c r="BR91" t="s">
        <v>101</v>
      </c>
      <c r="BS91" t="s">
        <v>1903</v>
      </c>
      <c r="BT91" t="str">
        <f>HYPERLINK("https%3A%2F%2Fwww.webofscience.com%2Fwos%2Fwoscc%2Ffull-record%2FWOS:000272438000007","View Full Record in Web of Science")</f>
        <v>View Full Record in Web of Science</v>
      </c>
    </row>
    <row r="92" spans="1:72" x14ac:dyDescent="0.15">
      <c r="A92" t="s">
        <v>72</v>
      </c>
      <c r="B92" t="s">
        <v>1904</v>
      </c>
      <c r="C92" t="s">
        <v>74</v>
      </c>
      <c r="D92" t="s">
        <v>74</v>
      </c>
      <c r="E92" t="s">
        <v>74</v>
      </c>
      <c r="F92" t="s">
        <v>1905</v>
      </c>
      <c r="G92" t="s">
        <v>74</v>
      </c>
      <c r="H92" t="s">
        <v>74</v>
      </c>
      <c r="I92" t="s">
        <v>1906</v>
      </c>
      <c r="J92" t="s">
        <v>1881</v>
      </c>
      <c r="K92" t="s">
        <v>74</v>
      </c>
      <c r="L92" t="s">
        <v>74</v>
      </c>
      <c r="M92" t="s">
        <v>78</v>
      </c>
      <c r="N92" t="s">
        <v>79</v>
      </c>
      <c r="O92" t="s">
        <v>74</v>
      </c>
      <c r="P92" t="s">
        <v>74</v>
      </c>
      <c r="Q92" t="s">
        <v>74</v>
      </c>
      <c r="R92" t="s">
        <v>74</v>
      </c>
      <c r="S92" t="s">
        <v>74</v>
      </c>
      <c r="T92" t="s">
        <v>1907</v>
      </c>
      <c r="U92" t="s">
        <v>1908</v>
      </c>
      <c r="V92" t="s">
        <v>1909</v>
      </c>
      <c r="W92" t="s">
        <v>1910</v>
      </c>
      <c r="X92" t="s">
        <v>1911</v>
      </c>
      <c r="Y92" t="s">
        <v>1912</v>
      </c>
      <c r="Z92" t="s">
        <v>1913</v>
      </c>
      <c r="AA92" t="s">
        <v>1914</v>
      </c>
      <c r="AB92" t="s">
        <v>1915</v>
      </c>
      <c r="AC92" t="s">
        <v>1916</v>
      </c>
      <c r="AD92" t="s">
        <v>1917</v>
      </c>
      <c r="AE92" t="s">
        <v>1918</v>
      </c>
      <c r="AF92" t="s">
        <v>74</v>
      </c>
      <c r="AG92">
        <v>74</v>
      </c>
      <c r="AH92">
        <v>77</v>
      </c>
      <c r="AI92">
        <v>92</v>
      </c>
      <c r="AJ92">
        <v>2</v>
      </c>
      <c r="AK92">
        <v>75</v>
      </c>
      <c r="AL92" t="s">
        <v>1894</v>
      </c>
      <c r="AM92" t="s">
        <v>1895</v>
      </c>
      <c r="AN92" t="s">
        <v>1896</v>
      </c>
      <c r="AO92" t="s">
        <v>1897</v>
      </c>
      <c r="AP92" t="s">
        <v>1898</v>
      </c>
      <c r="AQ92" t="s">
        <v>74</v>
      </c>
      <c r="AR92" t="s">
        <v>1899</v>
      </c>
      <c r="AS92" t="s">
        <v>1900</v>
      </c>
      <c r="AT92" t="s">
        <v>1026</v>
      </c>
      <c r="AU92">
        <v>2009</v>
      </c>
      <c r="AV92">
        <v>56</v>
      </c>
      <c r="AW92">
        <v>12</v>
      </c>
      <c r="AX92" t="s">
        <v>74</v>
      </c>
      <c r="AY92" t="s">
        <v>74</v>
      </c>
      <c r="AZ92" t="s">
        <v>74</v>
      </c>
      <c r="BA92" t="s">
        <v>74</v>
      </c>
      <c r="BB92">
        <v>2175</v>
      </c>
      <c r="BC92">
        <v>2192</v>
      </c>
      <c r="BD92" t="s">
        <v>74</v>
      </c>
      <c r="BE92" t="s">
        <v>1919</v>
      </c>
      <c r="BF92" t="str">
        <f>HYPERLINK("http://dx.doi.org/10.1016/j.dsr.2009.09.002","http://dx.doi.org/10.1016/j.dsr.2009.09.002")</f>
        <v>http://dx.doi.org/10.1016/j.dsr.2009.09.002</v>
      </c>
      <c r="BG92" t="s">
        <v>74</v>
      </c>
      <c r="BH92" t="s">
        <v>74</v>
      </c>
      <c r="BI92">
        <v>18</v>
      </c>
      <c r="BJ92" t="s">
        <v>806</v>
      </c>
      <c r="BK92" t="s">
        <v>98</v>
      </c>
      <c r="BL92" t="s">
        <v>806</v>
      </c>
      <c r="BM92" t="s">
        <v>1902</v>
      </c>
      <c r="BN92" t="s">
        <v>74</v>
      </c>
      <c r="BO92" t="s">
        <v>74</v>
      </c>
      <c r="BP92" t="s">
        <v>74</v>
      </c>
      <c r="BQ92" t="s">
        <v>74</v>
      </c>
      <c r="BR92" t="s">
        <v>101</v>
      </c>
      <c r="BS92" t="s">
        <v>1920</v>
      </c>
      <c r="BT92" t="str">
        <f>HYPERLINK("https%3A%2F%2Fwww.webofscience.com%2Fwos%2Fwoscc%2Ffull-record%2FWOS:000272438000008","View Full Record in Web of Science")</f>
        <v>View Full Record in Web of Science</v>
      </c>
    </row>
    <row r="93" spans="1:72" x14ac:dyDescent="0.15">
      <c r="A93" t="s">
        <v>72</v>
      </c>
      <c r="B93" t="s">
        <v>1921</v>
      </c>
      <c r="C93" t="s">
        <v>74</v>
      </c>
      <c r="D93" t="s">
        <v>74</v>
      </c>
      <c r="E93" t="s">
        <v>74</v>
      </c>
      <c r="F93" t="s">
        <v>1922</v>
      </c>
      <c r="G93" t="s">
        <v>74</v>
      </c>
      <c r="H93" t="s">
        <v>74</v>
      </c>
      <c r="I93" t="s">
        <v>1923</v>
      </c>
      <c r="J93" t="s">
        <v>1924</v>
      </c>
      <c r="K93" t="s">
        <v>74</v>
      </c>
      <c r="L93" t="s">
        <v>74</v>
      </c>
      <c r="M93" t="s">
        <v>78</v>
      </c>
      <c r="N93" t="s">
        <v>79</v>
      </c>
      <c r="O93" t="s">
        <v>74</v>
      </c>
      <c r="P93" t="s">
        <v>74</v>
      </c>
      <c r="Q93" t="s">
        <v>74</v>
      </c>
      <c r="R93" t="s">
        <v>74</v>
      </c>
      <c r="S93" t="s">
        <v>74</v>
      </c>
      <c r="T93" t="s">
        <v>74</v>
      </c>
      <c r="U93" t="s">
        <v>74</v>
      </c>
      <c r="V93" t="s">
        <v>74</v>
      </c>
      <c r="W93" t="s">
        <v>1925</v>
      </c>
      <c r="X93" t="s">
        <v>1926</v>
      </c>
      <c r="Y93" t="s">
        <v>1927</v>
      </c>
      <c r="Z93" t="s">
        <v>1928</v>
      </c>
      <c r="AA93" t="s">
        <v>1929</v>
      </c>
      <c r="AB93" t="s">
        <v>1930</v>
      </c>
      <c r="AC93" t="s">
        <v>74</v>
      </c>
      <c r="AD93" t="s">
        <v>74</v>
      </c>
      <c r="AE93" t="s">
        <v>74</v>
      </c>
      <c r="AF93" t="s">
        <v>74</v>
      </c>
      <c r="AG93">
        <v>7</v>
      </c>
      <c r="AH93">
        <v>6</v>
      </c>
      <c r="AI93">
        <v>6</v>
      </c>
      <c r="AJ93">
        <v>0</v>
      </c>
      <c r="AK93">
        <v>7</v>
      </c>
      <c r="AL93" t="s">
        <v>1931</v>
      </c>
      <c r="AM93" t="s">
        <v>684</v>
      </c>
      <c r="AN93" t="s">
        <v>1932</v>
      </c>
      <c r="AO93" t="s">
        <v>1933</v>
      </c>
      <c r="AP93" t="s">
        <v>74</v>
      </c>
      <c r="AQ93" t="s">
        <v>74</v>
      </c>
      <c r="AR93" t="s">
        <v>1934</v>
      </c>
      <c r="AS93" t="s">
        <v>1935</v>
      </c>
      <c r="AT93" t="s">
        <v>1026</v>
      </c>
      <c r="AU93">
        <v>2009</v>
      </c>
      <c r="AV93">
        <v>429</v>
      </c>
      <c r="AW93">
        <v>2</v>
      </c>
      <c r="AX93" t="s">
        <v>74</v>
      </c>
      <c r="AY93" t="s">
        <v>74</v>
      </c>
      <c r="AZ93" t="s">
        <v>74</v>
      </c>
      <c r="BA93" t="s">
        <v>74</v>
      </c>
      <c r="BB93">
        <v>1567</v>
      </c>
      <c r="BC93">
        <v>1569</v>
      </c>
      <c r="BD93" t="s">
        <v>74</v>
      </c>
      <c r="BE93" t="s">
        <v>1936</v>
      </c>
      <c r="BF93" t="str">
        <f>HYPERLINK("http://dx.doi.org/10.1134/S1028334X09090323","http://dx.doi.org/10.1134/S1028334X09090323")</f>
        <v>http://dx.doi.org/10.1134/S1028334X09090323</v>
      </c>
      <c r="BG93" t="s">
        <v>74</v>
      </c>
      <c r="BH93" t="s">
        <v>74</v>
      </c>
      <c r="BI93">
        <v>3</v>
      </c>
      <c r="BJ93" t="s">
        <v>464</v>
      </c>
      <c r="BK93" t="s">
        <v>98</v>
      </c>
      <c r="BL93" t="s">
        <v>465</v>
      </c>
      <c r="BM93" t="s">
        <v>1937</v>
      </c>
      <c r="BN93" t="s">
        <v>74</v>
      </c>
      <c r="BO93" t="s">
        <v>1381</v>
      </c>
      <c r="BP93" t="s">
        <v>74</v>
      </c>
      <c r="BQ93" t="s">
        <v>74</v>
      </c>
      <c r="BR93" t="s">
        <v>101</v>
      </c>
      <c r="BS93" t="s">
        <v>1938</v>
      </c>
      <c r="BT93" t="str">
        <f>HYPERLINK("https%3A%2F%2Fwww.webofscience.com%2Fwos%2Fwoscc%2Ffull-record%2FWOS:000273353100032","View Full Record in Web of Science")</f>
        <v>View Full Record in Web of Science</v>
      </c>
    </row>
    <row r="94" spans="1:72" x14ac:dyDescent="0.15">
      <c r="A94" t="s">
        <v>72</v>
      </c>
      <c r="B94" t="s">
        <v>1939</v>
      </c>
      <c r="C94" t="s">
        <v>74</v>
      </c>
      <c r="D94" t="s">
        <v>74</v>
      </c>
      <c r="E94" t="s">
        <v>74</v>
      </c>
      <c r="F94" t="s">
        <v>1940</v>
      </c>
      <c r="G94" t="s">
        <v>74</v>
      </c>
      <c r="H94" t="s">
        <v>74</v>
      </c>
      <c r="I94" t="s">
        <v>1941</v>
      </c>
      <c r="J94" t="s">
        <v>1942</v>
      </c>
      <c r="K94" t="s">
        <v>74</v>
      </c>
      <c r="L94" t="s">
        <v>74</v>
      </c>
      <c r="M94" t="s">
        <v>78</v>
      </c>
      <c r="N94" t="s">
        <v>79</v>
      </c>
      <c r="O94" t="s">
        <v>74</v>
      </c>
      <c r="P94" t="s">
        <v>74</v>
      </c>
      <c r="Q94" t="s">
        <v>74</v>
      </c>
      <c r="R94" t="s">
        <v>74</v>
      </c>
      <c r="S94" t="s">
        <v>74</v>
      </c>
      <c r="T94" t="s">
        <v>74</v>
      </c>
      <c r="U94" t="s">
        <v>1943</v>
      </c>
      <c r="V94" t="s">
        <v>1944</v>
      </c>
      <c r="W94" t="s">
        <v>1945</v>
      </c>
      <c r="X94" t="s">
        <v>1946</v>
      </c>
      <c r="Y94" t="s">
        <v>1947</v>
      </c>
      <c r="Z94" t="s">
        <v>1948</v>
      </c>
      <c r="AA94" t="s">
        <v>74</v>
      </c>
      <c r="AB94" t="s">
        <v>1949</v>
      </c>
      <c r="AC94" t="s">
        <v>1950</v>
      </c>
      <c r="AD94" t="s">
        <v>1951</v>
      </c>
      <c r="AE94" t="s">
        <v>1952</v>
      </c>
      <c r="AF94" t="s">
        <v>74</v>
      </c>
      <c r="AG94">
        <v>53</v>
      </c>
      <c r="AH94">
        <v>17</v>
      </c>
      <c r="AI94">
        <v>19</v>
      </c>
      <c r="AJ94">
        <v>0</v>
      </c>
      <c r="AK94">
        <v>6</v>
      </c>
      <c r="AL94" t="s">
        <v>1184</v>
      </c>
      <c r="AM94" t="s">
        <v>1185</v>
      </c>
      <c r="AN94" t="s">
        <v>1186</v>
      </c>
      <c r="AO94" t="s">
        <v>1953</v>
      </c>
      <c r="AP94" t="s">
        <v>1954</v>
      </c>
      <c r="AQ94" t="s">
        <v>74</v>
      </c>
      <c r="AR94" t="s">
        <v>1955</v>
      </c>
      <c r="AS94" t="s">
        <v>1956</v>
      </c>
      <c r="AT94" t="s">
        <v>1026</v>
      </c>
      <c r="AU94">
        <v>2009</v>
      </c>
      <c r="AV94">
        <v>11</v>
      </c>
      <c r="AW94">
        <v>12</v>
      </c>
      <c r="AX94" t="s">
        <v>74</v>
      </c>
      <c r="AY94" t="s">
        <v>74</v>
      </c>
      <c r="AZ94" t="s">
        <v>74</v>
      </c>
      <c r="BA94" t="s">
        <v>74</v>
      </c>
      <c r="BB94">
        <v>3189</v>
      </c>
      <c r="BC94">
        <v>3200</v>
      </c>
      <c r="BD94" t="s">
        <v>74</v>
      </c>
      <c r="BE94" t="s">
        <v>1957</v>
      </c>
      <c r="BF94" t="str">
        <f>HYPERLINK("http://dx.doi.org/10.1111/j.1462-2920.2009.02024.x","http://dx.doi.org/10.1111/j.1462-2920.2009.02024.x")</f>
        <v>http://dx.doi.org/10.1111/j.1462-2920.2009.02024.x</v>
      </c>
      <c r="BG94" t="s">
        <v>74</v>
      </c>
      <c r="BH94" t="s">
        <v>74</v>
      </c>
      <c r="BI94">
        <v>12</v>
      </c>
      <c r="BJ94" t="s">
        <v>1958</v>
      </c>
      <c r="BK94" t="s">
        <v>98</v>
      </c>
      <c r="BL94" t="s">
        <v>1958</v>
      </c>
      <c r="BM94" t="s">
        <v>1959</v>
      </c>
      <c r="BN94">
        <v>19678830</v>
      </c>
      <c r="BO94" t="s">
        <v>74</v>
      </c>
      <c r="BP94" t="s">
        <v>74</v>
      </c>
      <c r="BQ94" t="s">
        <v>74</v>
      </c>
      <c r="BR94" t="s">
        <v>101</v>
      </c>
      <c r="BS94" t="s">
        <v>1960</v>
      </c>
      <c r="BT94" t="str">
        <f>HYPERLINK("https%3A%2F%2Fwww.webofscience.com%2Fwos%2Fwoscc%2Ffull-record%2FWOS:000273182500022","View Full Record in Web of Science")</f>
        <v>View Full Record in Web of Science</v>
      </c>
    </row>
    <row r="95" spans="1:72" x14ac:dyDescent="0.15">
      <c r="A95" t="s">
        <v>72</v>
      </c>
      <c r="B95" t="s">
        <v>1961</v>
      </c>
      <c r="C95" t="s">
        <v>74</v>
      </c>
      <c r="D95" t="s">
        <v>74</v>
      </c>
      <c r="E95" t="s">
        <v>74</v>
      </c>
      <c r="F95" t="s">
        <v>1962</v>
      </c>
      <c r="G95" t="s">
        <v>74</v>
      </c>
      <c r="H95" t="s">
        <v>74</v>
      </c>
      <c r="I95" t="s">
        <v>1963</v>
      </c>
      <c r="J95" t="s">
        <v>1964</v>
      </c>
      <c r="K95" t="s">
        <v>74</v>
      </c>
      <c r="L95" t="s">
        <v>74</v>
      </c>
      <c r="M95" t="s">
        <v>78</v>
      </c>
      <c r="N95" t="s">
        <v>1965</v>
      </c>
      <c r="O95" t="s">
        <v>1966</v>
      </c>
      <c r="P95" t="s">
        <v>1967</v>
      </c>
      <c r="Q95" t="s">
        <v>1968</v>
      </c>
      <c r="R95" t="s">
        <v>74</v>
      </c>
      <c r="S95" t="s">
        <v>74</v>
      </c>
      <c r="T95" t="s">
        <v>1969</v>
      </c>
      <c r="U95" t="s">
        <v>1970</v>
      </c>
      <c r="V95" t="s">
        <v>1971</v>
      </c>
      <c r="W95" t="s">
        <v>1972</v>
      </c>
      <c r="X95" t="s">
        <v>1973</v>
      </c>
      <c r="Y95" t="s">
        <v>1974</v>
      </c>
      <c r="Z95" t="s">
        <v>1975</v>
      </c>
      <c r="AA95" t="s">
        <v>1976</v>
      </c>
      <c r="AB95" t="s">
        <v>1977</v>
      </c>
      <c r="AC95" t="s">
        <v>74</v>
      </c>
      <c r="AD95" t="s">
        <v>74</v>
      </c>
      <c r="AE95" t="s">
        <v>74</v>
      </c>
      <c r="AF95" t="s">
        <v>74</v>
      </c>
      <c r="AG95">
        <v>52</v>
      </c>
      <c r="AH95">
        <v>362</v>
      </c>
      <c r="AI95">
        <v>374</v>
      </c>
      <c r="AJ95">
        <v>13</v>
      </c>
      <c r="AK95">
        <v>286</v>
      </c>
      <c r="AL95" t="s">
        <v>1978</v>
      </c>
      <c r="AM95" t="s">
        <v>1895</v>
      </c>
      <c r="AN95" t="s">
        <v>1979</v>
      </c>
      <c r="AO95" t="s">
        <v>1980</v>
      </c>
      <c r="AP95" t="s">
        <v>1981</v>
      </c>
      <c r="AQ95" t="s">
        <v>74</v>
      </c>
      <c r="AR95" t="s">
        <v>1982</v>
      </c>
      <c r="AS95" t="s">
        <v>1983</v>
      </c>
      <c r="AT95" t="s">
        <v>1026</v>
      </c>
      <c r="AU95">
        <v>2009</v>
      </c>
      <c r="AV95">
        <v>24</v>
      </c>
      <c r="AW95">
        <v>12</v>
      </c>
      <c r="AX95" t="s">
        <v>74</v>
      </c>
      <c r="AY95" t="s">
        <v>74</v>
      </c>
      <c r="AZ95" t="s">
        <v>1546</v>
      </c>
      <c r="BA95" t="s">
        <v>74</v>
      </c>
      <c r="BB95">
        <v>1513</v>
      </c>
      <c r="BC95">
        <v>1521</v>
      </c>
      <c r="BD95" t="s">
        <v>74</v>
      </c>
      <c r="BE95" t="s">
        <v>1984</v>
      </c>
      <c r="BF95" t="str">
        <f>HYPERLINK("http://dx.doi.org/10.1016/j.envsoft.2009.06.005","http://dx.doi.org/10.1016/j.envsoft.2009.06.005")</f>
        <v>http://dx.doi.org/10.1016/j.envsoft.2009.06.005</v>
      </c>
      <c r="BG95" t="s">
        <v>74</v>
      </c>
      <c r="BH95" t="s">
        <v>74</v>
      </c>
      <c r="BI95">
        <v>9</v>
      </c>
      <c r="BJ95" t="s">
        <v>1985</v>
      </c>
      <c r="BK95" t="s">
        <v>1986</v>
      </c>
      <c r="BL95" t="s">
        <v>1987</v>
      </c>
      <c r="BM95" t="s">
        <v>1988</v>
      </c>
      <c r="BN95" t="s">
        <v>74</v>
      </c>
      <c r="BO95" t="s">
        <v>74</v>
      </c>
      <c r="BP95" t="s">
        <v>74</v>
      </c>
      <c r="BQ95" t="s">
        <v>74</v>
      </c>
      <c r="BR95" t="s">
        <v>101</v>
      </c>
      <c r="BS95" t="s">
        <v>1989</v>
      </c>
      <c r="BT95" t="str">
        <f>HYPERLINK("https%3A%2F%2Fwww.webofscience.com%2Fwos%2Fwoscc%2Ffull-record%2FWOS:000270611200017","View Full Record in Web of Science")</f>
        <v>View Full Record in Web of Science</v>
      </c>
    </row>
    <row r="96" spans="1:72" x14ac:dyDescent="0.15">
      <c r="A96" t="s">
        <v>72</v>
      </c>
      <c r="B96" t="s">
        <v>1990</v>
      </c>
      <c r="C96" t="s">
        <v>74</v>
      </c>
      <c r="D96" t="s">
        <v>74</v>
      </c>
      <c r="E96" t="s">
        <v>74</v>
      </c>
      <c r="F96" t="s">
        <v>1991</v>
      </c>
      <c r="G96" t="s">
        <v>74</v>
      </c>
      <c r="H96" t="s">
        <v>74</v>
      </c>
      <c r="I96" t="s">
        <v>1992</v>
      </c>
      <c r="J96" t="s">
        <v>1993</v>
      </c>
      <c r="K96" t="s">
        <v>74</v>
      </c>
      <c r="L96" t="s">
        <v>74</v>
      </c>
      <c r="M96" t="s">
        <v>78</v>
      </c>
      <c r="N96" t="s">
        <v>79</v>
      </c>
      <c r="O96" t="s">
        <v>74</v>
      </c>
      <c r="P96" t="s">
        <v>74</v>
      </c>
      <c r="Q96" t="s">
        <v>74</v>
      </c>
      <c r="R96" t="s">
        <v>74</v>
      </c>
      <c r="S96" t="s">
        <v>74</v>
      </c>
      <c r="T96" t="s">
        <v>1994</v>
      </c>
      <c r="U96" t="s">
        <v>1995</v>
      </c>
      <c r="V96" t="s">
        <v>1996</v>
      </c>
      <c r="W96" t="s">
        <v>1997</v>
      </c>
      <c r="X96" t="s">
        <v>1998</v>
      </c>
      <c r="Y96" t="s">
        <v>1999</v>
      </c>
      <c r="Z96" t="s">
        <v>2000</v>
      </c>
      <c r="AA96" t="s">
        <v>74</v>
      </c>
      <c r="AB96" t="s">
        <v>2001</v>
      </c>
      <c r="AC96" t="s">
        <v>2002</v>
      </c>
      <c r="AD96" t="s">
        <v>2003</v>
      </c>
      <c r="AE96" t="s">
        <v>2004</v>
      </c>
      <c r="AF96" t="s">
        <v>74</v>
      </c>
      <c r="AG96">
        <v>39</v>
      </c>
      <c r="AH96">
        <v>14</v>
      </c>
      <c r="AI96">
        <v>14</v>
      </c>
      <c r="AJ96">
        <v>0</v>
      </c>
      <c r="AK96">
        <v>14</v>
      </c>
      <c r="AL96" t="s">
        <v>683</v>
      </c>
      <c r="AM96" t="s">
        <v>684</v>
      </c>
      <c r="AN96" t="s">
        <v>685</v>
      </c>
      <c r="AO96" t="s">
        <v>2005</v>
      </c>
      <c r="AP96" t="s">
        <v>2006</v>
      </c>
      <c r="AQ96" t="s">
        <v>74</v>
      </c>
      <c r="AR96" t="s">
        <v>2007</v>
      </c>
      <c r="AS96" t="s">
        <v>2008</v>
      </c>
      <c r="AT96" t="s">
        <v>1026</v>
      </c>
      <c r="AU96">
        <v>2009</v>
      </c>
      <c r="AV96">
        <v>45</v>
      </c>
      <c r="AW96" t="s">
        <v>2009</v>
      </c>
      <c r="AX96" t="s">
        <v>74</v>
      </c>
      <c r="AY96" t="s">
        <v>74</v>
      </c>
      <c r="AZ96" t="s">
        <v>74</v>
      </c>
      <c r="BA96" t="s">
        <v>74</v>
      </c>
      <c r="BB96">
        <v>498</v>
      </c>
      <c r="BC96">
        <v>506</v>
      </c>
      <c r="BD96" t="s">
        <v>74</v>
      </c>
      <c r="BE96" t="s">
        <v>2010</v>
      </c>
      <c r="BF96" t="str">
        <f>HYPERLINK("http://dx.doi.org/10.1016/j.enzmictec.2009.06.010","http://dx.doi.org/10.1016/j.enzmictec.2009.06.010")</f>
        <v>http://dx.doi.org/10.1016/j.enzmictec.2009.06.010</v>
      </c>
      <c r="BG96" t="s">
        <v>74</v>
      </c>
      <c r="BH96" t="s">
        <v>74</v>
      </c>
      <c r="BI96">
        <v>9</v>
      </c>
      <c r="BJ96" t="s">
        <v>2011</v>
      </c>
      <c r="BK96" t="s">
        <v>98</v>
      </c>
      <c r="BL96" t="s">
        <v>2011</v>
      </c>
      <c r="BM96" t="s">
        <v>2012</v>
      </c>
      <c r="BN96" t="s">
        <v>74</v>
      </c>
      <c r="BO96" t="s">
        <v>239</v>
      </c>
      <c r="BP96" t="s">
        <v>74</v>
      </c>
      <c r="BQ96" t="s">
        <v>74</v>
      </c>
      <c r="BR96" t="s">
        <v>101</v>
      </c>
      <c r="BS96" t="s">
        <v>2013</v>
      </c>
      <c r="BT96" t="str">
        <f>HYPERLINK("https%3A%2F%2Fwww.webofscience.com%2Fwos%2Fwoscc%2Ffull-record%2FWOS:000271260700014","View Full Record in Web of Science")</f>
        <v>View Full Record in Web of Science</v>
      </c>
    </row>
    <row r="97" spans="1:72" x14ac:dyDescent="0.15">
      <c r="A97" t="s">
        <v>72</v>
      </c>
      <c r="B97" t="s">
        <v>2014</v>
      </c>
      <c r="C97" t="s">
        <v>74</v>
      </c>
      <c r="D97" t="s">
        <v>74</v>
      </c>
      <c r="E97" t="s">
        <v>74</v>
      </c>
      <c r="F97" t="s">
        <v>2015</v>
      </c>
      <c r="G97" t="s">
        <v>74</v>
      </c>
      <c r="H97" t="s">
        <v>74</v>
      </c>
      <c r="I97" t="s">
        <v>2016</v>
      </c>
      <c r="J97" t="s">
        <v>2017</v>
      </c>
      <c r="K97" t="s">
        <v>74</v>
      </c>
      <c r="L97" t="s">
        <v>74</v>
      </c>
      <c r="M97" t="s">
        <v>78</v>
      </c>
      <c r="N97" t="s">
        <v>79</v>
      </c>
      <c r="O97" t="s">
        <v>74</v>
      </c>
      <c r="P97" t="s">
        <v>74</v>
      </c>
      <c r="Q97" t="s">
        <v>74</v>
      </c>
      <c r="R97" t="s">
        <v>74</v>
      </c>
      <c r="S97" t="s">
        <v>74</v>
      </c>
      <c r="T97" t="s">
        <v>2018</v>
      </c>
      <c r="U97" t="s">
        <v>2019</v>
      </c>
      <c r="V97" t="s">
        <v>2020</v>
      </c>
      <c r="W97" t="s">
        <v>2021</v>
      </c>
      <c r="X97" t="s">
        <v>2022</v>
      </c>
      <c r="Y97" t="s">
        <v>2023</v>
      </c>
      <c r="Z97" t="s">
        <v>2024</v>
      </c>
      <c r="AA97" t="s">
        <v>2025</v>
      </c>
      <c r="AB97" t="s">
        <v>2026</v>
      </c>
      <c r="AC97" t="s">
        <v>74</v>
      </c>
      <c r="AD97" t="s">
        <v>74</v>
      </c>
      <c r="AE97" t="s">
        <v>74</v>
      </c>
      <c r="AF97" t="s">
        <v>74</v>
      </c>
      <c r="AG97">
        <v>74</v>
      </c>
      <c r="AH97">
        <v>26</v>
      </c>
      <c r="AI97">
        <v>26</v>
      </c>
      <c r="AJ97">
        <v>1</v>
      </c>
      <c r="AK97">
        <v>29</v>
      </c>
      <c r="AL97" t="s">
        <v>2027</v>
      </c>
      <c r="AM97" t="s">
        <v>2028</v>
      </c>
      <c r="AN97" t="s">
        <v>2029</v>
      </c>
      <c r="AO97" t="s">
        <v>2030</v>
      </c>
      <c r="AP97" t="s">
        <v>74</v>
      </c>
      <c r="AQ97" t="s">
        <v>74</v>
      </c>
      <c r="AR97" t="s">
        <v>2031</v>
      </c>
      <c r="AS97" t="s">
        <v>2032</v>
      </c>
      <c r="AT97" t="s">
        <v>1026</v>
      </c>
      <c r="AU97">
        <v>2009</v>
      </c>
      <c r="AV97">
        <v>175</v>
      </c>
      <c r="AW97">
        <v>4</v>
      </c>
      <c r="AX97" t="s">
        <v>74</v>
      </c>
      <c r="AY97" t="s">
        <v>74</v>
      </c>
      <c r="AZ97" t="s">
        <v>74</v>
      </c>
      <c r="BA97" t="s">
        <v>74</v>
      </c>
      <c r="BB97">
        <v>327</v>
      </c>
      <c r="BC97">
        <v>338</v>
      </c>
      <c r="BD97" t="s">
        <v>74</v>
      </c>
      <c r="BE97" t="s">
        <v>2033</v>
      </c>
      <c r="BF97" t="str">
        <f>HYPERLINK("http://dx.doi.org/10.1127/1863-9135/2009/0175-0327","http://dx.doi.org/10.1127/1863-9135/2009/0175-0327")</f>
        <v>http://dx.doi.org/10.1127/1863-9135/2009/0175-0327</v>
      </c>
      <c r="BG97" t="s">
        <v>74</v>
      </c>
      <c r="BH97" t="s">
        <v>74</v>
      </c>
      <c r="BI97">
        <v>12</v>
      </c>
      <c r="BJ97" t="s">
        <v>2034</v>
      </c>
      <c r="BK97" t="s">
        <v>98</v>
      </c>
      <c r="BL97" t="s">
        <v>1052</v>
      </c>
      <c r="BM97" t="s">
        <v>2035</v>
      </c>
      <c r="BN97" t="s">
        <v>74</v>
      </c>
      <c r="BO97" t="s">
        <v>74</v>
      </c>
      <c r="BP97" t="s">
        <v>74</v>
      </c>
      <c r="BQ97" t="s">
        <v>74</v>
      </c>
      <c r="BR97" t="s">
        <v>101</v>
      </c>
      <c r="BS97" t="s">
        <v>2036</v>
      </c>
      <c r="BT97" t="str">
        <f>HYPERLINK("https%3A%2F%2Fwww.webofscience.com%2Fwos%2Fwoscc%2Ffull-record%2FWOS:000274359100006","View Full Record in Web of Science")</f>
        <v>View Full Record in Web of Science</v>
      </c>
    </row>
    <row r="98" spans="1:72" x14ac:dyDescent="0.15">
      <c r="A98" t="s">
        <v>72</v>
      </c>
      <c r="B98" t="s">
        <v>2037</v>
      </c>
      <c r="C98" t="s">
        <v>74</v>
      </c>
      <c r="D98" t="s">
        <v>74</v>
      </c>
      <c r="E98" t="s">
        <v>74</v>
      </c>
      <c r="F98" t="s">
        <v>2038</v>
      </c>
      <c r="G98" t="s">
        <v>74</v>
      </c>
      <c r="H98" t="s">
        <v>74</v>
      </c>
      <c r="I98" t="s">
        <v>2039</v>
      </c>
      <c r="J98" t="s">
        <v>2040</v>
      </c>
      <c r="K98" t="s">
        <v>74</v>
      </c>
      <c r="L98" t="s">
        <v>74</v>
      </c>
      <c r="M98" t="s">
        <v>78</v>
      </c>
      <c r="N98" t="s">
        <v>2041</v>
      </c>
      <c r="O98" t="s">
        <v>74</v>
      </c>
      <c r="P98" t="s">
        <v>74</v>
      </c>
      <c r="Q98" t="s">
        <v>74</v>
      </c>
      <c r="R98" t="s">
        <v>74</v>
      </c>
      <c r="S98" t="s">
        <v>74</v>
      </c>
      <c r="T98" t="s">
        <v>74</v>
      </c>
      <c r="U98" t="s">
        <v>74</v>
      </c>
      <c r="V98" t="s">
        <v>74</v>
      </c>
      <c r="W98" t="s">
        <v>2042</v>
      </c>
      <c r="X98" t="s">
        <v>2043</v>
      </c>
      <c r="Y98" t="s">
        <v>2044</v>
      </c>
      <c r="Z98" t="s">
        <v>74</v>
      </c>
      <c r="AA98" t="s">
        <v>74</v>
      </c>
      <c r="AB98" t="s">
        <v>74</v>
      </c>
      <c r="AC98" t="s">
        <v>74</v>
      </c>
      <c r="AD98" t="s">
        <v>74</v>
      </c>
      <c r="AE98" t="s">
        <v>74</v>
      </c>
      <c r="AF98" t="s">
        <v>74</v>
      </c>
      <c r="AG98">
        <v>1</v>
      </c>
      <c r="AH98">
        <v>0</v>
      </c>
      <c r="AI98">
        <v>0</v>
      </c>
      <c r="AJ98">
        <v>0</v>
      </c>
      <c r="AK98">
        <v>3</v>
      </c>
      <c r="AL98" t="s">
        <v>2045</v>
      </c>
      <c r="AM98" t="s">
        <v>2046</v>
      </c>
      <c r="AN98" t="s">
        <v>2047</v>
      </c>
      <c r="AO98" t="s">
        <v>2048</v>
      </c>
      <c r="AP98" t="s">
        <v>74</v>
      </c>
      <c r="AQ98" t="s">
        <v>74</v>
      </c>
      <c r="AR98" t="s">
        <v>2049</v>
      </c>
      <c r="AS98" t="s">
        <v>2050</v>
      </c>
      <c r="AT98" t="s">
        <v>1026</v>
      </c>
      <c r="AU98">
        <v>2009</v>
      </c>
      <c r="AV98">
        <v>47</v>
      </c>
      <c r="AW98">
        <v>4</v>
      </c>
      <c r="AX98" t="s">
        <v>74</v>
      </c>
      <c r="AY98" t="s">
        <v>74</v>
      </c>
      <c r="AZ98" t="s">
        <v>74</v>
      </c>
      <c r="BA98" t="s">
        <v>74</v>
      </c>
      <c r="BB98">
        <v>455</v>
      </c>
      <c r="BC98">
        <v>457</v>
      </c>
      <c r="BD98" t="s">
        <v>74</v>
      </c>
      <c r="BE98" t="s">
        <v>2051</v>
      </c>
      <c r="BF98" t="str">
        <f>HYPERLINK("http://dx.doi.org/10.1111/j.1745-5871.2009.00612.x","http://dx.doi.org/10.1111/j.1745-5871.2009.00612.x")</f>
        <v>http://dx.doi.org/10.1111/j.1745-5871.2009.00612.x</v>
      </c>
      <c r="BG98" t="s">
        <v>74</v>
      </c>
      <c r="BH98" t="s">
        <v>74</v>
      </c>
      <c r="BI98">
        <v>3</v>
      </c>
      <c r="BJ98" t="s">
        <v>2052</v>
      </c>
      <c r="BK98" t="s">
        <v>2053</v>
      </c>
      <c r="BL98" t="s">
        <v>2052</v>
      </c>
      <c r="BM98" t="s">
        <v>2054</v>
      </c>
      <c r="BN98" t="s">
        <v>74</v>
      </c>
      <c r="BO98" t="s">
        <v>263</v>
      </c>
      <c r="BP98" t="s">
        <v>74</v>
      </c>
      <c r="BQ98" t="s">
        <v>74</v>
      </c>
      <c r="BR98" t="s">
        <v>101</v>
      </c>
      <c r="BS98" t="s">
        <v>2055</v>
      </c>
      <c r="BT98" t="str">
        <f>HYPERLINK("https%3A%2F%2Fwww.webofscience.com%2Fwos%2Fwoscc%2Ffull-record%2FWOS:000271050800012","View Full Record in Web of Science")</f>
        <v>View Full Record in Web of Science</v>
      </c>
    </row>
    <row r="99" spans="1:72" x14ac:dyDescent="0.15">
      <c r="A99" t="s">
        <v>72</v>
      </c>
      <c r="B99" t="s">
        <v>2056</v>
      </c>
      <c r="C99" t="s">
        <v>74</v>
      </c>
      <c r="D99" t="s">
        <v>74</v>
      </c>
      <c r="E99" t="s">
        <v>74</v>
      </c>
      <c r="F99" t="s">
        <v>2057</v>
      </c>
      <c r="G99" t="s">
        <v>74</v>
      </c>
      <c r="H99" t="s">
        <v>74</v>
      </c>
      <c r="I99" t="s">
        <v>2058</v>
      </c>
      <c r="J99" t="s">
        <v>2059</v>
      </c>
      <c r="K99" t="s">
        <v>74</v>
      </c>
      <c r="L99" t="s">
        <v>74</v>
      </c>
      <c r="M99" t="s">
        <v>78</v>
      </c>
      <c r="N99" t="s">
        <v>79</v>
      </c>
      <c r="O99" t="s">
        <v>74</v>
      </c>
      <c r="P99" t="s">
        <v>74</v>
      </c>
      <c r="Q99" t="s">
        <v>74</v>
      </c>
      <c r="R99" t="s">
        <v>74</v>
      </c>
      <c r="S99" t="s">
        <v>74</v>
      </c>
      <c r="T99" t="s">
        <v>74</v>
      </c>
      <c r="U99" t="s">
        <v>2060</v>
      </c>
      <c r="V99" t="s">
        <v>2061</v>
      </c>
      <c r="W99" t="s">
        <v>2062</v>
      </c>
      <c r="X99" t="s">
        <v>2063</v>
      </c>
      <c r="Y99" t="s">
        <v>2064</v>
      </c>
      <c r="Z99" t="s">
        <v>2065</v>
      </c>
      <c r="AA99" t="s">
        <v>74</v>
      </c>
      <c r="AB99" t="s">
        <v>2066</v>
      </c>
      <c r="AC99" t="s">
        <v>2067</v>
      </c>
      <c r="AD99" t="s">
        <v>2068</v>
      </c>
      <c r="AE99" t="s">
        <v>2069</v>
      </c>
      <c r="AF99" t="s">
        <v>74</v>
      </c>
      <c r="AG99">
        <v>18</v>
      </c>
      <c r="AH99">
        <v>0</v>
      </c>
      <c r="AI99">
        <v>0</v>
      </c>
      <c r="AJ99">
        <v>0</v>
      </c>
      <c r="AK99">
        <v>2</v>
      </c>
      <c r="AL99" t="s">
        <v>1931</v>
      </c>
      <c r="AM99" t="s">
        <v>684</v>
      </c>
      <c r="AN99" t="s">
        <v>1932</v>
      </c>
      <c r="AO99" t="s">
        <v>2070</v>
      </c>
      <c r="AP99" t="s">
        <v>2071</v>
      </c>
      <c r="AQ99" t="s">
        <v>74</v>
      </c>
      <c r="AR99" t="s">
        <v>2072</v>
      </c>
      <c r="AS99" t="s">
        <v>2073</v>
      </c>
      <c r="AT99" t="s">
        <v>1026</v>
      </c>
      <c r="AU99">
        <v>2009</v>
      </c>
      <c r="AV99">
        <v>49</v>
      </c>
      <c r="AW99">
        <v>6</v>
      </c>
      <c r="AX99" t="s">
        <v>74</v>
      </c>
      <c r="AY99" t="s">
        <v>74</v>
      </c>
      <c r="AZ99" t="s">
        <v>74</v>
      </c>
      <c r="BA99" t="s">
        <v>74</v>
      </c>
      <c r="BB99">
        <v>786</v>
      </c>
      <c r="BC99">
        <v>796</v>
      </c>
      <c r="BD99" t="s">
        <v>74</v>
      </c>
      <c r="BE99" t="s">
        <v>2074</v>
      </c>
      <c r="BF99" t="str">
        <f>HYPERLINK("http://dx.doi.org/10.1134/S0016793209060127","http://dx.doi.org/10.1134/S0016793209060127")</f>
        <v>http://dx.doi.org/10.1134/S0016793209060127</v>
      </c>
      <c r="BG99" t="s">
        <v>74</v>
      </c>
      <c r="BH99" t="s">
        <v>74</v>
      </c>
      <c r="BI99">
        <v>11</v>
      </c>
      <c r="BJ99" t="s">
        <v>261</v>
      </c>
      <c r="BK99" t="s">
        <v>98</v>
      </c>
      <c r="BL99" t="s">
        <v>261</v>
      </c>
      <c r="BM99" t="s">
        <v>2075</v>
      </c>
      <c r="BN99" t="s">
        <v>74</v>
      </c>
      <c r="BO99" t="s">
        <v>74</v>
      </c>
      <c r="BP99" t="s">
        <v>74</v>
      </c>
      <c r="BQ99" t="s">
        <v>74</v>
      </c>
      <c r="BR99" t="s">
        <v>101</v>
      </c>
      <c r="BS99" t="s">
        <v>2076</v>
      </c>
      <c r="BT99" t="str">
        <f>HYPERLINK("https%3A%2F%2Fwww.webofscience.com%2Fwos%2Fwoscc%2Ffull-record%2FWOS:000272463300012","View Full Record in Web of Science")</f>
        <v>View Full Record in Web of Science</v>
      </c>
    </row>
    <row r="100" spans="1:72" x14ac:dyDescent="0.15">
      <c r="A100" t="s">
        <v>72</v>
      </c>
      <c r="B100" t="s">
        <v>2077</v>
      </c>
      <c r="C100" t="s">
        <v>74</v>
      </c>
      <c r="D100" t="s">
        <v>74</v>
      </c>
      <c r="E100" t="s">
        <v>74</v>
      </c>
      <c r="F100" t="s">
        <v>2078</v>
      </c>
      <c r="G100" t="s">
        <v>74</v>
      </c>
      <c r="H100" t="s">
        <v>74</v>
      </c>
      <c r="I100" t="s">
        <v>2079</v>
      </c>
      <c r="J100" t="s">
        <v>2059</v>
      </c>
      <c r="K100" t="s">
        <v>74</v>
      </c>
      <c r="L100" t="s">
        <v>74</v>
      </c>
      <c r="M100" t="s">
        <v>78</v>
      </c>
      <c r="N100" t="s">
        <v>2080</v>
      </c>
      <c r="O100" t="s">
        <v>74</v>
      </c>
      <c r="P100" t="s">
        <v>74</v>
      </c>
      <c r="Q100" t="s">
        <v>74</v>
      </c>
      <c r="R100" t="s">
        <v>74</v>
      </c>
      <c r="S100" t="s">
        <v>74</v>
      </c>
      <c r="T100" t="s">
        <v>74</v>
      </c>
      <c r="U100" t="s">
        <v>74</v>
      </c>
      <c r="V100" t="s">
        <v>74</v>
      </c>
      <c r="W100" t="s">
        <v>2081</v>
      </c>
      <c r="X100" t="s">
        <v>2082</v>
      </c>
      <c r="Y100" t="s">
        <v>2083</v>
      </c>
      <c r="Z100" t="s">
        <v>2084</v>
      </c>
      <c r="AA100" t="s">
        <v>2085</v>
      </c>
      <c r="AB100" t="s">
        <v>2086</v>
      </c>
      <c r="AC100" t="s">
        <v>2087</v>
      </c>
      <c r="AD100" t="s">
        <v>2088</v>
      </c>
      <c r="AE100" t="s">
        <v>74</v>
      </c>
      <c r="AF100" t="s">
        <v>74</v>
      </c>
      <c r="AG100">
        <v>1</v>
      </c>
      <c r="AH100">
        <v>0</v>
      </c>
      <c r="AI100">
        <v>0</v>
      </c>
      <c r="AJ100">
        <v>0</v>
      </c>
      <c r="AK100">
        <v>0</v>
      </c>
      <c r="AL100" t="s">
        <v>1931</v>
      </c>
      <c r="AM100" t="s">
        <v>684</v>
      </c>
      <c r="AN100" t="s">
        <v>1932</v>
      </c>
      <c r="AO100" t="s">
        <v>2070</v>
      </c>
      <c r="AP100" t="s">
        <v>74</v>
      </c>
      <c r="AQ100" t="s">
        <v>74</v>
      </c>
      <c r="AR100" t="s">
        <v>2072</v>
      </c>
      <c r="AS100" t="s">
        <v>2073</v>
      </c>
      <c r="AT100" t="s">
        <v>1026</v>
      </c>
      <c r="AU100">
        <v>2009</v>
      </c>
      <c r="AV100">
        <v>49</v>
      </c>
      <c r="AW100">
        <v>6</v>
      </c>
      <c r="AX100" t="s">
        <v>74</v>
      </c>
      <c r="AY100" t="s">
        <v>74</v>
      </c>
      <c r="AZ100" t="s">
        <v>74</v>
      </c>
      <c r="BA100" t="s">
        <v>74</v>
      </c>
      <c r="BB100">
        <v>822</v>
      </c>
      <c r="BC100">
        <v>822</v>
      </c>
      <c r="BD100" t="s">
        <v>74</v>
      </c>
      <c r="BE100" t="s">
        <v>2089</v>
      </c>
      <c r="BF100" t="str">
        <f>HYPERLINK("http://dx.doi.org/10.1134/S0016793209060176","http://dx.doi.org/10.1134/S0016793209060176")</f>
        <v>http://dx.doi.org/10.1134/S0016793209060176</v>
      </c>
      <c r="BG100" t="s">
        <v>74</v>
      </c>
      <c r="BH100" t="s">
        <v>74</v>
      </c>
      <c r="BI100">
        <v>1</v>
      </c>
      <c r="BJ100" t="s">
        <v>261</v>
      </c>
      <c r="BK100" t="s">
        <v>98</v>
      </c>
      <c r="BL100" t="s">
        <v>261</v>
      </c>
      <c r="BM100" t="s">
        <v>2075</v>
      </c>
      <c r="BN100" t="s">
        <v>74</v>
      </c>
      <c r="BO100" t="s">
        <v>263</v>
      </c>
      <c r="BP100" t="s">
        <v>74</v>
      </c>
      <c r="BQ100" t="s">
        <v>74</v>
      </c>
      <c r="BR100" t="s">
        <v>101</v>
      </c>
      <c r="BS100" t="s">
        <v>2090</v>
      </c>
      <c r="BT100" t="str">
        <f>HYPERLINK("https%3A%2F%2Fwww.webofscience.com%2Fwos%2Fwoscc%2Ffull-record%2FWOS:000272463300017","View Full Record in Web of Science")</f>
        <v>View Full Record in Web of Science</v>
      </c>
    </row>
    <row r="101" spans="1:72" x14ac:dyDescent="0.15">
      <c r="A101" t="s">
        <v>72</v>
      </c>
      <c r="B101" t="s">
        <v>2091</v>
      </c>
      <c r="C101" t="s">
        <v>74</v>
      </c>
      <c r="D101" t="s">
        <v>74</v>
      </c>
      <c r="E101" t="s">
        <v>74</v>
      </c>
      <c r="F101" t="s">
        <v>2092</v>
      </c>
      <c r="G101" t="s">
        <v>74</v>
      </c>
      <c r="H101" t="s">
        <v>74</v>
      </c>
      <c r="I101" t="s">
        <v>2093</v>
      </c>
      <c r="J101" t="s">
        <v>2059</v>
      </c>
      <c r="K101" t="s">
        <v>74</v>
      </c>
      <c r="L101" t="s">
        <v>74</v>
      </c>
      <c r="M101" t="s">
        <v>78</v>
      </c>
      <c r="N101" t="s">
        <v>79</v>
      </c>
      <c r="O101" t="s">
        <v>74</v>
      </c>
      <c r="P101" t="s">
        <v>74</v>
      </c>
      <c r="Q101" t="s">
        <v>74</v>
      </c>
      <c r="R101" t="s">
        <v>74</v>
      </c>
      <c r="S101" t="s">
        <v>74</v>
      </c>
      <c r="T101" t="s">
        <v>74</v>
      </c>
      <c r="U101" t="s">
        <v>74</v>
      </c>
      <c r="V101" t="s">
        <v>2094</v>
      </c>
      <c r="W101" t="s">
        <v>2095</v>
      </c>
      <c r="X101" t="s">
        <v>2096</v>
      </c>
      <c r="Y101" t="s">
        <v>74</v>
      </c>
      <c r="Z101" t="s">
        <v>74</v>
      </c>
      <c r="AA101" t="s">
        <v>74</v>
      </c>
      <c r="AB101" t="s">
        <v>74</v>
      </c>
      <c r="AC101" t="s">
        <v>74</v>
      </c>
      <c r="AD101" t="s">
        <v>74</v>
      </c>
      <c r="AE101" t="s">
        <v>74</v>
      </c>
      <c r="AF101" t="s">
        <v>74</v>
      </c>
      <c r="AG101">
        <v>6</v>
      </c>
      <c r="AH101">
        <v>0</v>
      </c>
      <c r="AI101">
        <v>0</v>
      </c>
      <c r="AJ101">
        <v>0</v>
      </c>
      <c r="AK101">
        <v>1</v>
      </c>
      <c r="AL101" t="s">
        <v>1931</v>
      </c>
      <c r="AM101" t="s">
        <v>684</v>
      </c>
      <c r="AN101" t="s">
        <v>1932</v>
      </c>
      <c r="AO101" t="s">
        <v>2070</v>
      </c>
      <c r="AP101" t="s">
        <v>2071</v>
      </c>
      <c r="AQ101" t="s">
        <v>74</v>
      </c>
      <c r="AR101" t="s">
        <v>2072</v>
      </c>
      <c r="AS101" t="s">
        <v>2073</v>
      </c>
      <c r="AT101" t="s">
        <v>1026</v>
      </c>
      <c r="AU101">
        <v>2009</v>
      </c>
      <c r="AV101">
        <v>49</v>
      </c>
      <c r="AW101">
        <v>7</v>
      </c>
      <c r="AX101" t="s">
        <v>74</v>
      </c>
      <c r="AY101" t="s">
        <v>74</v>
      </c>
      <c r="AZ101" t="s">
        <v>74</v>
      </c>
      <c r="BA101" t="s">
        <v>74</v>
      </c>
      <c r="BB101">
        <v>1034</v>
      </c>
      <c r="BC101">
        <v>1041</v>
      </c>
      <c r="BD101" t="s">
        <v>74</v>
      </c>
      <c r="BE101" t="s">
        <v>2097</v>
      </c>
      <c r="BF101" t="str">
        <f>HYPERLINK("http://dx.doi.org/10.1134/S0016793209070329","http://dx.doi.org/10.1134/S0016793209070329")</f>
        <v>http://dx.doi.org/10.1134/S0016793209070329</v>
      </c>
      <c r="BG101" t="s">
        <v>74</v>
      </c>
      <c r="BH101" t="s">
        <v>74</v>
      </c>
      <c r="BI101">
        <v>8</v>
      </c>
      <c r="BJ101" t="s">
        <v>261</v>
      </c>
      <c r="BK101" t="s">
        <v>98</v>
      </c>
      <c r="BL101" t="s">
        <v>261</v>
      </c>
      <c r="BM101" t="s">
        <v>2098</v>
      </c>
      <c r="BN101" t="s">
        <v>74</v>
      </c>
      <c r="BO101" t="s">
        <v>74</v>
      </c>
      <c r="BP101" t="s">
        <v>74</v>
      </c>
      <c r="BQ101" t="s">
        <v>74</v>
      </c>
      <c r="BR101" t="s">
        <v>101</v>
      </c>
      <c r="BS101" t="s">
        <v>2099</v>
      </c>
      <c r="BT101" t="str">
        <f>HYPERLINK("https%3A%2F%2Fwww.webofscience.com%2Fwos%2Fwoscc%2Ffull-record%2FWOS:000273312400032","View Full Record in Web of Science")</f>
        <v>View Full Record in Web of Science</v>
      </c>
    </row>
    <row r="102" spans="1:72" x14ac:dyDescent="0.15">
      <c r="A102" t="s">
        <v>72</v>
      </c>
      <c r="B102" t="s">
        <v>2100</v>
      </c>
      <c r="C102" t="s">
        <v>74</v>
      </c>
      <c r="D102" t="s">
        <v>74</v>
      </c>
      <c r="E102" t="s">
        <v>74</v>
      </c>
      <c r="F102" t="s">
        <v>2101</v>
      </c>
      <c r="G102" t="s">
        <v>74</v>
      </c>
      <c r="H102" t="s">
        <v>74</v>
      </c>
      <c r="I102" t="s">
        <v>2102</v>
      </c>
      <c r="J102" t="s">
        <v>2103</v>
      </c>
      <c r="K102" t="s">
        <v>74</v>
      </c>
      <c r="L102" t="s">
        <v>74</v>
      </c>
      <c r="M102" t="s">
        <v>78</v>
      </c>
      <c r="N102" t="s">
        <v>79</v>
      </c>
      <c r="O102" t="s">
        <v>74</v>
      </c>
      <c r="P102" t="s">
        <v>74</v>
      </c>
      <c r="Q102" t="s">
        <v>74</v>
      </c>
      <c r="R102" t="s">
        <v>74</v>
      </c>
      <c r="S102" t="s">
        <v>74</v>
      </c>
      <c r="T102" t="s">
        <v>2104</v>
      </c>
      <c r="U102" t="s">
        <v>2105</v>
      </c>
      <c r="V102" t="s">
        <v>2106</v>
      </c>
      <c r="W102" t="s">
        <v>2107</v>
      </c>
      <c r="X102" t="s">
        <v>2108</v>
      </c>
      <c r="Y102" t="s">
        <v>2109</v>
      </c>
      <c r="Z102" t="s">
        <v>2110</v>
      </c>
      <c r="AA102" t="s">
        <v>2111</v>
      </c>
      <c r="AB102" t="s">
        <v>2112</v>
      </c>
      <c r="AC102" t="s">
        <v>2113</v>
      </c>
      <c r="AD102" t="s">
        <v>2114</v>
      </c>
      <c r="AE102" t="s">
        <v>2115</v>
      </c>
      <c r="AF102" t="s">
        <v>74</v>
      </c>
      <c r="AG102">
        <v>76</v>
      </c>
      <c r="AH102">
        <v>24</v>
      </c>
      <c r="AI102">
        <v>24</v>
      </c>
      <c r="AJ102">
        <v>0</v>
      </c>
      <c r="AK102">
        <v>13</v>
      </c>
      <c r="AL102" t="s">
        <v>305</v>
      </c>
      <c r="AM102" t="s">
        <v>281</v>
      </c>
      <c r="AN102" t="s">
        <v>306</v>
      </c>
      <c r="AO102" t="s">
        <v>2116</v>
      </c>
      <c r="AP102" t="s">
        <v>2117</v>
      </c>
      <c r="AQ102" t="s">
        <v>74</v>
      </c>
      <c r="AR102" t="s">
        <v>2118</v>
      </c>
      <c r="AS102" t="s">
        <v>2119</v>
      </c>
      <c r="AT102" t="s">
        <v>1026</v>
      </c>
      <c r="AU102">
        <v>2009</v>
      </c>
      <c r="AV102">
        <v>69</v>
      </c>
      <c r="AW102">
        <v>4</v>
      </c>
      <c r="AX102" t="s">
        <v>74</v>
      </c>
      <c r="AY102" t="s">
        <v>74</v>
      </c>
      <c r="AZ102" t="s">
        <v>74</v>
      </c>
      <c r="BA102" t="s">
        <v>74</v>
      </c>
      <c r="BB102">
        <v>205</v>
      </c>
      <c r="BC102">
        <v>213</v>
      </c>
      <c r="BD102" t="s">
        <v>74</v>
      </c>
      <c r="BE102" t="s">
        <v>2120</v>
      </c>
      <c r="BF102" t="str">
        <f>HYPERLINK("http://dx.doi.org/10.1016/j.gloplacha.2009.09.001","http://dx.doi.org/10.1016/j.gloplacha.2009.09.001")</f>
        <v>http://dx.doi.org/10.1016/j.gloplacha.2009.09.001</v>
      </c>
      <c r="BG102" t="s">
        <v>74</v>
      </c>
      <c r="BH102" t="s">
        <v>74</v>
      </c>
      <c r="BI102">
        <v>9</v>
      </c>
      <c r="BJ102" t="s">
        <v>2121</v>
      </c>
      <c r="BK102" t="s">
        <v>98</v>
      </c>
      <c r="BL102" t="s">
        <v>2122</v>
      </c>
      <c r="BM102" t="s">
        <v>2123</v>
      </c>
      <c r="BN102" t="s">
        <v>74</v>
      </c>
      <c r="BO102" t="s">
        <v>74</v>
      </c>
      <c r="BP102" t="s">
        <v>74</v>
      </c>
      <c r="BQ102" t="s">
        <v>74</v>
      </c>
      <c r="BR102" t="s">
        <v>101</v>
      </c>
      <c r="BS102" t="s">
        <v>2124</v>
      </c>
      <c r="BT102" t="str">
        <f>HYPERLINK("https%3A%2F%2Fwww.webofscience.com%2Fwos%2Fwoscc%2Ffull-record%2FWOS:000272901500003","View Full Record in Web of Science")</f>
        <v>View Full Record in Web of Science</v>
      </c>
    </row>
    <row r="103" spans="1:72" x14ac:dyDescent="0.15">
      <c r="A103" t="s">
        <v>72</v>
      </c>
      <c r="B103" t="s">
        <v>2125</v>
      </c>
      <c r="C103" t="s">
        <v>74</v>
      </c>
      <c r="D103" t="s">
        <v>74</v>
      </c>
      <c r="E103" t="s">
        <v>74</v>
      </c>
      <c r="F103" t="s">
        <v>2126</v>
      </c>
      <c r="G103" t="s">
        <v>74</v>
      </c>
      <c r="H103" t="s">
        <v>74</v>
      </c>
      <c r="I103" t="s">
        <v>2127</v>
      </c>
      <c r="J103" t="s">
        <v>2128</v>
      </c>
      <c r="K103" t="s">
        <v>74</v>
      </c>
      <c r="L103" t="s">
        <v>74</v>
      </c>
      <c r="M103" t="s">
        <v>78</v>
      </c>
      <c r="N103" t="s">
        <v>79</v>
      </c>
      <c r="O103" t="s">
        <v>74</v>
      </c>
      <c r="P103" t="s">
        <v>74</v>
      </c>
      <c r="Q103" t="s">
        <v>74</v>
      </c>
      <c r="R103" t="s">
        <v>74</v>
      </c>
      <c r="S103" t="s">
        <v>74</v>
      </c>
      <c r="T103" t="s">
        <v>2129</v>
      </c>
      <c r="U103" t="s">
        <v>2130</v>
      </c>
      <c r="V103" t="s">
        <v>2131</v>
      </c>
      <c r="W103" t="s">
        <v>2132</v>
      </c>
      <c r="X103" t="s">
        <v>2133</v>
      </c>
      <c r="Y103" t="s">
        <v>2134</v>
      </c>
      <c r="Z103" t="s">
        <v>2135</v>
      </c>
      <c r="AA103" t="s">
        <v>2136</v>
      </c>
      <c r="AB103" t="s">
        <v>74</v>
      </c>
      <c r="AC103" t="s">
        <v>2137</v>
      </c>
      <c r="AD103" t="s">
        <v>2138</v>
      </c>
      <c r="AE103" t="s">
        <v>2139</v>
      </c>
      <c r="AF103" t="s">
        <v>74</v>
      </c>
      <c r="AG103">
        <v>55</v>
      </c>
      <c r="AH103">
        <v>62</v>
      </c>
      <c r="AI103">
        <v>66</v>
      </c>
      <c r="AJ103">
        <v>1</v>
      </c>
      <c r="AK103">
        <v>13</v>
      </c>
      <c r="AL103" t="s">
        <v>305</v>
      </c>
      <c r="AM103" t="s">
        <v>281</v>
      </c>
      <c r="AN103" t="s">
        <v>306</v>
      </c>
      <c r="AO103" t="s">
        <v>2140</v>
      </c>
      <c r="AP103" t="s">
        <v>2141</v>
      </c>
      <c r="AQ103" t="s">
        <v>74</v>
      </c>
      <c r="AR103" t="s">
        <v>2142</v>
      </c>
      <c r="AS103" t="s">
        <v>2143</v>
      </c>
      <c r="AT103" t="s">
        <v>1026</v>
      </c>
      <c r="AU103">
        <v>2009</v>
      </c>
      <c r="AV103">
        <v>16</v>
      </c>
      <c r="AW103" t="s">
        <v>288</v>
      </c>
      <c r="AX103" t="s">
        <v>74</v>
      </c>
      <c r="AY103" t="s">
        <v>74</v>
      </c>
      <c r="AZ103" t="s">
        <v>74</v>
      </c>
      <c r="BA103" t="s">
        <v>74</v>
      </c>
      <c r="BB103">
        <v>633</v>
      </c>
      <c r="BC103">
        <v>654</v>
      </c>
      <c r="BD103" t="s">
        <v>74</v>
      </c>
      <c r="BE103" t="s">
        <v>2144</v>
      </c>
      <c r="BF103" t="str">
        <f>HYPERLINK("http://dx.doi.org/10.1016/j.gr.2009.05.013","http://dx.doi.org/10.1016/j.gr.2009.05.013")</f>
        <v>http://dx.doi.org/10.1016/j.gr.2009.05.013</v>
      </c>
      <c r="BG103" t="s">
        <v>74</v>
      </c>
      <c r="BH103" t="s">
        <v>74</v>
      </c>
      <c r="BI103">
        <v>22</v>
      </c>
      <c r="BJ103" t="s">
        <v>464</v>
      </c>
      <c r="BK103" t="s">
        <v>98</v>
      </c>
      <c r="BL103" t="s">
        <v>465</v>
      </c>
      <c r="BM103" t="s">
        <v>2145</v>
      </c>
      <c r="BN103" t="s">
        <v>74</v>
      </c>
      <c r="BO103" t="s">
        <v>74</v>
      </c>
      <c r="BP103" t="s">
        <v>74</v>
      </c>
      <c r="BQ103" t="s">
        <v>74</v>
      </c>
      <c r="BR103" t="s">
        <v>101</v>
      </c>
      <c r="BS103" t="s">
        <v>2146</v>
      </c>
      <c r="BT103" t="str">
        <f>HYPERLINK("https%3A%2F%2Fwww.webofscience.com%2Fwos%2Fwoscc%2Ffull-record%2FWOS:000270643000023","View Full Record in Web of Science")</f>
        <v>View Full Record in Web of Science</v>
      </c>
    </row>
    <row r="104" spans="1:72" x14ac:dyDescent="0.15">
      <c r="A104" t="s">
        <v>72</v>
      </c>
      <c r="B104" t="s">
        <v>2147</v>
      </c>
      <c r="C104" t="s">
        <v>74</v>
      </c>
      <c r="D104" t="s">
        <v>74</v>
      </c>
      <c r="E104" t="s">
        <v>74</v>
      </c>
      <c r="F104" t="s">
        <v>2148</v>
      </c>
      <c r="G104" t="s">
        <v>74</v>
      </c>
      <c r="H104" t="s">
        <v>74</v>
      </c>
      <c r="I104" t="s">
        <v>2149</v>
      </c>
      <c r="J104" t="s">
        <v>2128</v>
      </c>
      <c r="K104" t="s">
        <v>74</v>
      </c>
      <c r="L104" t="s">
        <v>74</v>
      </c>
      <c r="M104" t="s">
        <v>78</v>
      </c>
      <c r="N104" t="s">
        <v>297</v>
      </c>
      <c r="O104" t="s">
        <v>74</v>
      </c>
      <c r="P104" t="s">
        <v>74</v>
      </c>
      <c r="Q104" t="s">
        <v>74</v>
      </c>
      <c r="R104" t="s">
        <v>74</v>
      </c>
      <c r="S104" t="s">
        <v>74</v>
      </c>
      <c r="T104" t="s">
        <v>2150</v>
      </c>
      <c r="U104" t="s">
        <v>2151</v>
      </c>
      <c r="V104" t="s">
        <v>2152</v>
      </c>
      <c r="W104" t="s">
        <v>74</v>
      </c>
      <c r="X104" t="s">
        <v>74</v>
      </c>
      <c r="Y104" t="s">
        <v>74</v>
      </c>
      <c r="Z104" t="s">
        <v>2153</v>
      </c>
      <c r="AA104" t="s">
        <v>74</v>
      </c>
      <c r="AB104" t="s">
        <v>74</v>
      </c>
      <c r="AC104" t="s">
        <v>74</v>
      </c>
      <c r="AD104" t="s">
        <v>74</v>
      </c>
      <c r="AE104" t="s">
        <v>74</v>
      </c>
      <c r="AF104" t="s">
        <v>74</v>
      </c>
      <c r="AG104">
        <v>129</v>
      </c>
      <c r="AH104">
        <v>15</v>
      </c>
      <c r="AI104">
        <v>15</v>
      </c>
      <c r="AJ104">
        <v>2</v>
      </c>
      <c r="AK104">
        <v>11</v>
      </c>
      <c r="AL104" t="s">
        <v>305</v>
      </c>
      <c r="AM104" t="s">
        <v>281</v>
      </c>
      <c r="AN104" t="s">
        <v>306</v>
      </c>
      <c r="AO104" t="s">
        <v>2140</v>
      </c>
      <c r="AP104" t="s">
        <v>2141</v>
      </c>
      <c r="AQ104" t="s">
        <v>74</v>
      </c>
      <c r="AR104" t="s">
        <v>2142</v>
      </c>
      <c r="AS104" t="s">
        <v>2143</v>
      </c>
      <c r="AT104" t="s">
        <v>1026</v>
      </c>
      <c r="AU104">
        <v>2009</v>
      </c>
      <c r="AV104">
        <v>16</v>
      </c>
      <c r="AW104" t="s">
        <v>288</v>
      </c>
      <c r="AX104" t="s">
        <v>74</v>
      </c>
      <c r="AY104" t="s">
        <v>74</v>
      </c>
      <c r="AZ104" t="s">
        <v>74</v>
      </c>
      <c r="BA104" t="s">
        <v>74</v>
      </c>
      <c r="BB104">
        <v>655</v>
      </c>
      <c r="BC104">
        <v>668</v>
      </c>
      <c r="BD104" t="s">
        <v>74</v>
      </c>
      <c r="BE104" t="s">
        <v>2154</v>
      </c>
      <c r="BF104" t="str">
        <f>HYPERLINK("http://dx.doi.org/10.1016/j.gr.2009.06.002","http://dx.doi.org/10.1016/j.gr.2009.06.002")</f>
        <v>http://dx.doi.org/10.1016/j.gr.2009.06.002</v>
      </c>
      <c r="BG104" t="s">
        <v>74</v>
      </c>
      <c r="BH104" t="s">
        <v>74</v>
      </c>
      <c r="BI104">
        <v>14</v>
      </c>
      <c r="BJ104" t="s">
        <v>464</v>
      </c>
      <c r="BK104" t="s">
        <v>98</v>
      </c>
      <c r="BL104" t="s">
        <v>465</v>
      </c>
      <c r="BM104" t="s">
        <v>2145</v>
      </c>
      <c r="BN104" t="s">
        <v>74</v>
      </c>
      <c r="BO104" t="s">
        <v>74</v>
      </c>
      <c r="BP104" t="s">
        <v>74</v>
      </c>
      <c r="BQ104" t="s">
        <v>74</v>
      </c>
      <c r="BR104" t="s">
        <v>101</v>
      </c>
      <c r="BS104" t="s">
        <v>2155</v>
      </c>
      <c r="BT104" t="str">
        <f>HYPERLINK("https%3A%2F%2Fwww.webofscience.com%2Fwos%2Fwoscc%2Ffull-record%2FWOS:000270643000024","View Full Record in Web of Science")</f>
        <v>View Full Record in Web of Science</v>
      </c>
    </row>
    <row r="105" spans="1:72" x14ac:dyDescent="0.15">
      <c r="A105" t="s">
        <v>72</v>
      </c>
      <c r="B105" t="s">
        <v>2156</v>
      </c>
      <c r="C105" t="s">
        <v>74</v>
      </c>
      <c r="D105" t="s">
        <v>74</v>
      </c>
      <c r="E105" t="s">
        <v>74</v>
      </c>
      <c r="F105" t="s">
        <v>2157</v>
      </c>
      <c r="G105" t="s">
        <v>74</v>
      </c>
      <c r="H105" t="s">
        <v>74</v>
      </c>
      <c r="I105" t="s">
        <v>2158</v>
      </c>
      <c r="J105" t="s">
        <v>2159</v>
      </c>
      <c r="K105" t="s">
        <v>74</v>
      </c>
      <c r="L105" t="s">
        <v>74</v>
      </c>
      <c r="M105" t="s">
        <v>78</v>
      </c>
      <c r="N105" t="s">
        <v>79</v>
      </c>
      <c r="O105" t="s">
        <v>74</v>
      </c>
      <c r="P105" t="s">
        <v>74</v>
      </c>
      <c r="Q105" t="s">
        <v>74</v>
      </c>
      <c r="R105" t="s">
        <v>74</v>
      </c>
      <c r="S105" t="s">
        <v>74</v>
      </c>
      <c r="T105" t="s">
        <v>2160</v>
      </c>
      <c r="U105" t="s">
        <v>2161</v>
      </c>
      <c r="V105" t="s">
        <v>2162</v>
      </c>
      <c r="W105" t="s">
        <v>2163</v>
      </c>
      <c r="X105" t="s">
        <v>2164</v>
      </c>
      <c r="Y105" t="s">
        <v>2165</v>
      </c>
      <c r="Z105" t="s">
        <v>2166</v>
      </c>
      <c r="AA105" t="s">
        <v>2167</v>
      </c>
      <c r="AB105" t="s">
        <v>74</v>
      </c>
      <c r="AC105" t="s">
        <v>2168</v>
      </c>
      <c r="AD105" t="s">
        <v>2169</v>
      </c>
      <c r="AE105" t="s">
        <v>2170</v>
      </c>
      <c r="AF105" t="s">
        <v>74</v>
      </c>
      <c r="AG105">
        <v>37</v>
      </c>
      <c r="AH105">
        <v>25</v>
      </c>
      <c r="AI105">
        <v>27</v>
      </c>
      <c r="AJ105">
        <v>1</v>
      </c>
      <c r="AK105">
        <v>23</v>
      </c>
      <c r="AL105" t="s">
        <v>2171</v>
      </c>
      <c r="AM105" t="s">
        <v>1895</v>
      </c>
      <c r="AN105" t="s">
        <v>2172</v>
      </c>
      <c r="AO105" t="s">
        <v>2173</v>
      </c>
      <c r="AP105" t="s">
        <v>2174</v>
      </c>
      <c r="AQ105" t="s">
        <v>74</v>
      </c>
      <c r="AR105" t="s">
        <v>2175</v>
      </c>
      <c r="AS105" t="s">
        <v>2176</v>
      </c>
      <c r="AT105" t="s">
        <v>1026</v>
      </c>
      <c r="AU105">
        <v>2009</v>
      </c>
      <c r="AV105">
        <v>66</v>
      </c>
      <c r="AW105">
        <v>10</v>
      </c>
      <c r="AX105" t="s">
        <v>74</v>
      </c>
      <c r="AY105" t="s">
        <v>74</v>
      </c>
      <c r="AZ105" t="s">
        <v>74</v>
      </c>
      <c r="BA105" t="s">
        <v>74</v>
      </c>
      <c r="BB105">
        <v>2148</v>
      </c>
      <c r="BC105">
        <v>2154</v>
      </c>
      <c r="BD105" t="s">
        <v>74</v>
      </c>
      <c r="BE105" t="s">
        <v>2177</v>
      </c>
      <c r="BF105" t="str">
        <f>HYPERLINK("http://dx.doi.org/10.1093/icesjms/fsp172","http://dx.doi.org/10.1093/icesjms/fsp172")</f>
        <v>http://dx.doi.org/10.1093/icesjms/fsp172</v>
      </c>
      <c r="BG105" t="s">
        <v>74</v>
      </c>
      <c r="BH105" t="s">
        <v>74</v>
      </c>
      <c r="BI105">
        <v>7</v>
      </c>
      <c r="BJ105" t="s">
        <v>2178</v>
      </c>
      <c r="BK105" t="s">
        <v>98</v>
      </c>
      <c r="BL105" t="s">
        <v>2178</v>
      </c>
      <c r="BM105" t="s">
        <v>2179</v>
      </c>
      <c r="BN105" t="s">
        <v>74</v>
      </c>
      <c r="BO105" t="s">
        <v>263</v>
      </c>
      <c r="BP105" t="s">
        <v>74</v>
      </c>
      <c r="BQ105" t="s">
        <v>74</v>
      </c>
      <c r="BR105" t="s">
        <v>101</v>
      </c>
      <c r="BS105" t="s">
        <v>2180</v>
      </c>
      <c r="BT105" t="str">
        <f>HYPERLINK("https%3A%2F%2Fwww.webofscience.com%2Fwos%2Fwoscc%2Ffull-record%2FWOS:000272080600009","View Full Record in Web of Science")</f>
        <v>View Full Record in Web of Science</v>
      </c>
    </row>
    <row r="106" spans="1:72" x14ac:dyDescent="0.15">
      <c r="A106" t="s">
        <v>72</v>
      </c>
      <c r="B106" t="s">
        <v>2181</v>
      </c>
      <c r="C106" t="s">
        <v>74</v>
      </c>
      <c r="D106" t="s">
        <v>74</v>
      </c>
      <c r="E106" t="s">
        <v>74</v>
      </c>
      <c r="F106" t="s">
        <v>2182</v>
      </c>
      <c r="G106" t="s">
        <v>74</v>
      </c>
      <c r="H106" t="s">
        <v>74</v>
      </c>
      <c r="I106" t="s">
        <v>2183</v>
      </c>
      <c r="J106" t="s">
        <v>2184</v>
      </c>
      <c r="K106" t="s">
        <v>74</v>
      </c>
      <c r="L106" t="s">
        <v>74</v>
      </c>
      <c r="M106" t="s">
        <v>78</v>
      </c>
      <c r="N106" t="s">
        <v>79</v>
      </c>
      <c r="O106" t="s">
        <v>74</v>
      </c>
      <c r="P106" t="s">
        <v>74</v>
      </c>
      <c r="Q106" t="s">
        <v>74</v>
      </c>
      <c r="R106" t="s">
        <v>74</v>
      </c>
      <c r="S106" t="s">
        <v>74</v>
      </c>
      <c r="T106" t="s">
        <v>2185</v>
      </c>
      <c r="U106" t="s">
        <v>2186</v>
      </c>
      <c r="V106" t="s">
        <v>2187</v>
      </c>
      <c r="W106" t="s">
        <v>2188</v>
      </c>
      <c r="X106" t="s">
        <v>2189</v>
      </c>
      <c r="Y106" t="s">
        <v>2190</v>
      </c>
      <c r="Z106" t="s">
        <v>2191</v>
      </c>
      <c r="AA106" t="s">
        <v>2192</v>
      </c>
      <c r="AB106" t="s">
        <v>2193</v>
      </c>
      <c r="AC106" t="s">
        <v>2194</v>
      </c>
      <c r="AD106" t="s">
        <v>2195</v>
      </c>
      <c r="AE106" t="s">
        <v>2196</v>
      </c>
      <c r="AF106" t="s">
        <v>74</v>
      </c>
      <c r="AG106">
        <v>30</v>
      </c>
      <c r="AH106">
        <v>6</v>
      </c>
      <c r="AI106">
        <v>8</v>
      </c>
      <c r="AJ106">
        <v>2</v>
      </c>
      <c r="AK106">
        <v>21</v>
      </c>
      <c r="AL106" t="s">
        <v>2197</v>
      </c>
      <c r="AM106" t="s">
        <v>2198</v>
      </c>
      <c r="AN106" t="s">
        <v>2199</v>
      </c>
      <c r="AO106" t="s">
        <v>2200</v>
      </c>
      <c r="AP106" t="s">
        <v>2201</v>
      </c>
      <c r="AQ106" t="s">
        <v>74</v>
      </c>
      <c r="AR106" t="s">
        <v>2202</v>
      </c>
      <c r="AS106" t="s">
        <v>2203</v>
      </c>
      <c r="AT106" t="s">
        <v>1026</v>
      </c>
      <c r="AU106">
        <v>2009</v>
      </c>
      <c r="AV106">
        <v>47</v>
      </c>
      <c r="AW106">
        <v>12</v>
      </c>
      <c r="AX106">
        <v>2</v>
      </c>
      <c r="AY106" t="s">
        <v>74</v>
      </c>
      <c r="AZ106" t="s">
        <v>74</v>
      </c>
      <c r="BA106" t="s">
        <v>74</v>
      </c>
      <c r="BB106">
        <v>4223</v>
      </c>
      <c r="BC106">
        <v>4228</v>
      </c>
      <c r="BD106" t="s">
        <v>74</v>
      </c>
      <c r="BE106" t="s">
        <v>2204</v>
      </c>
      <c r="BF106" t="str">
        <f>HYPERLINK("http://dx.doi.org/10.1109/TGRS.2009.2023665","http://dx.doi.org/10.1109/TGRS.2009.2023665")</f>
        <v>http://dx.doi.org/10.1109/TGRS.2009.2023665</v>
      </c>
      <c r="BG106" t="s">
        <v>74</v>
      </c>
      <c r="BH106" t="s">
        <v>74</v>
      </c>
      <c r="BI106">
        <v>6</v>
      </c>
      <c r="BJ106" t="s">
        <v>2205</v>
      </c>
      <c r="BK106" t="s">
        <v>98</v>
      </c>
      <c r="BL106" t="s">
        <v>2206</v>
      </c>
      <c r="BM106" t="s">
        <v>2207</v>
      </c>
      <c r="BN106" t="s">
        <v>74</v>
      </c>
      <c r="BO106" t="s">
        <v>74</v>
      </c>
      <c r="BP106" t="s">
        <v>74</v>
      </c>
      <c r="BQ106" t="s">
        <v>74</v>
      </c>
      <c r="BR106" t="s">
        <v>101</v>
      </c>
      <c r="BS106" t="s">
        <v>2208</v>
      </c>
      <c r="BT106" t="str">
        <f>HYPERLINK("https%3A%2F%2Fwww.webofscience.com%2Fwos%2Fwoscc%2Ffull-record%2FWOS:000271952800012","View Full Record in Web of Science")</f>
        <v>View Full Record in Web of Science</v>
      </c>
    </row>
    <row r="107" spans="1:72" x14ac:dyDescent="0.15">
      <c r="A107" t="s">
        <v>72</v>
      </c>
      <c r="B107" t="s">
        <v>2209</v>
      </c>
      <c r="C107" t="s">
        <v>74</v>
      </c>
      <c r="D107" t="s">
        <v>74</v>
      </c>
      <c r="E107" t="s">
        <v>74</v>
      </c>
      <c r="F107" t="s">
        <v>2210</v>
      </c>
      <c r="G107" t="s">
        <v>74</v>
      </c>
      <c r="H107" t="s">
        <v>74</v>
      </c>
      <c r="I107" t="s">
        <v>2211</v>
      </c>
      <c r="J107" t="s">
        <v>2212</v>
      </c>
      <c r="K107" t="s">
        <v>74</v>
      </c>
      <c r="L107" t="s">
        <v>74</v>
      </c>
      <c r="M107" t="s">
        <v>78</v>
      </c>
      <c r="N107" t="s">
        <v>79</v>
      </c>
      <c r="O107" t="s">
        <v>74</v>
      </c>
      <c r="P107" t="s">
        <v>74</v>
      </c>
      <c r="Q107" t="s">
        <v>74</v>
      </c>
      <c r="R107" t="s">
        <v>74</v>
      </c>
      <c r="S107" t="s">
        <v>74</v>
      </c>
      <c r="T107" t="s">
        <v>2213</v>
      </c>
      <c r="U107" t="s">
        <v>2214</v>
      </c>
      <c r="V107" t="s">
        <v>2215</v>
      </c>
      <c r="W107" t="s">
        <v>2216</v>
      </c>
      <c r="X107" t="s">
        <v>2217</v>
      </c>
      <c r="Y107" t="s">
        <v>2218</v>
      </c>
      <c r="Z107" t="s">
        <v>2219</v>
      </c>
      <c r="AA107" t="s">
        <v>74</v>
      </c>
      <c r="AB107" t="s">
        <v>2220</v>
      </c>
      <c r="AC107" t="s">
        <v>2221</v>
      </c>
      <c r="AD107" t="s">
        <v>2222</v>
      </c>
      <c r="AE107" t="s">
        <v>2223</v>
      </c>
      <c r="AF107" t="s">
        <v>74</v>
      </c>
      <c r="AG107">
        <v>65</v>
      </c>
      <c r="AH107">
        <v>9</v>
      </c>
      <c r="AI107">
        <v>10</v>
      </c>
      <c r="AJ107">
        <v>0</v>
      </c>
      <c r="AK107">
        <v>7</v>
      </c>
      <c r="AL107" t="s">
        <v>2224</v>
      </c>
      <c r="AM107" t="s">
        <v>2225</v>
      </c>
      <c r="AN107" t="s">
        <v>2226</v>
      </c>
      <c r="AO107" t="s">
        <v>2227</v>
      </c>
      <c r="AP107" t="s">
        <v>74</v>
      </c>
      <c r="AQ107" t="s">
        <v>74</v>
      </c>
      <c r="AR107" t="s">
        <v>2228</v>
      </c>
      <c r="AS107" t="s">
        <v>2229</v>
      </c>
      <c r="AT107" t="s">
        <v>1026</v>
      </c>
      <c r="AU107">
        <v>2009</v>
      </c>
      <c r="AV107">
        <v>38</v>
      </c>
      <c r="AW107">
        <v>4</v>
      </c>
      <c r="AX107" t="s">
        <v>74</v>
      </c>
      <c r="AY107" t="s">
        <v>74</v>
      </c>
      <c r="AZ107" t="s">
        <v>74</v>
      </c>
      <c r="BA107" t="s">
        <v>74</v>
      </c>
      <c r="BB107">
        <v>423</v>
      </c>
      <c r="BC107">
        <v>431</v>
      </c>
      <c r="BD107" t="s">
        <v>74</v>
      </c>
      <c r="BE107" t="s">
        <v>74</v>
      </c>
      <c r="BF107" t="s">
        <v>74</v>
      </c>
      <c r="BG107" t="s">
        <v>74</v>
      </c>
      <c r="BH107" t="s">
        <v>74</v>
      </c>
      <c r="BI107">
        <v>9</v>
      </c>
      <c r="BJ107" t="s">
        <v>806</v>
      </c>
      <c r="BK107" t="s">
        <v>98</v>
      </c>
      <c r="BL107" t="s">
        <v>806</v>
      </c>
      <c r="BM107" t="s">
        <v>2230</v>
      </c>
      <c r="BN107" t="s">
        <v>74</v>
      </c>
      <c r="BO107" t="s">
        <v>74</v>
      </c>
      <c r="BP107" t="s">
        <v>74</v>
      </c>
      <c r="BQ107" t="s">
        <v>74</v>
      </c>
      <c r="BR107" t="s">
        <v>101</v>
      </c>
      <c r="BS107" t="s">
        <v>2231</v>
      </c>
      <c r="BT107" t="str">
        <f>HYPERLINK("https%3A%2F%2Fwww.webofscience.com%2Fwos%2Fwoscc%2Ffull-record%2FWOS:000274305000008","View Full Record in Web of Science")</f>
        <v>View Full Record in Web of Science</v>
      </c>
    </row>
    <row r="108" spans="1:72" x14ac:dyDescent="0.15">
      <c r="A108" t="s">
        <v>72</v>
      </c>
      <c r="B108" t="s">
        <v>2232</v>
      </c>
      <c r="C108" t="s">
        <v>74</v>
      </c>
      <c r="D108" t="s">
        <v>74</v>
      </c>
      <c r="E108" t="s">
        <v>74</v>
      </c>
      <c r="F108" t="s">
        <v>2233</v>
      </c>
      <c r="G108" t="s">
        <v>74</v>
      </c>
      <c r="H108" t="s">
        <v>74</v>
      </c>
      <c r="I108" t="s">
        <v>2234</v>
      </c>
      <c r="J108" t="s">
        <v>2212</v>
      </c>
      <c r="K108" t="s">
        <v>74</v>
      </c>
      <c r="L108" t="s">
        <v>74</v>
      </c>
      <c r="M108" t="s">
        <v>78</v>
      </c>
      <c r="N108" t="s">
        <v>79</v>
      </c>
      <c r="O108" t="s">
        <v>74</v>
      </c>
      <c r="P108" t="s">
        <v>74</v>
      </c>
      <c r="Q108" t="s">
        <v>74</v>
      </c>
      <c r="R108" t="s">
        <v>74</v>
      </c>
      <c r="S108" t="s">
        <v>74</v>
      </c>
      <c r="T108" t="s">
        <v>2235</v>
      </c>
      <c r="U108" t="s">
        <v>2236</v>
      </c>
      <c r="V108" t="s">
        <v>2237</v>
      </c>
      <c r="W108" t="s">
        <v>2238</v>
      </c>
      <c r="X108" t="s">
        <v>374</v>
      </c>
      <c r="Y108" t="s">
        <v>2239</v>
      </c>
      <c r="Z108" t="s">
        <v>2240</v>
      </c>
      <c r="AA108" t="s">
        <v>74</v>
      </c>
      <c r="AB108" t="s">
        <v>74</v>
      </c>
      <c r="AC108" t="s">
        <v>74</v>
      </c>
      <c r="AD108" t="s">
        <v>74</v>
      </c>
      <c r="AE108" t="s">
        <v>74</v>
      </c>
      <c r="AF108" t="s">
        <v>74</v>
      </c>
      <c r="AG108">
        <v>44</v>
      </c>
      <c r="AH108">
        <v>18</v>
      </c>
      <c r="AI108">
        <v>19</v>
      </c>
      <c r="AJ108">
        <v>0</v>
      </c>
      <c r="AK108">
        <v>3</v>
      </c>
      <c r="AL108" t="s">
        <v>2224</v>
      </c>
      <c r="AM108" t="s">
        <v>2225</v>
      </c>
      <c r="AN108" t="s">
        <v>2226</v>
      </c>
      <c r="AO108" t="s">
        <v>2227</v>
      </c>
      <c r="AP108" t="s">
        <v>74</v>
      </c>
      <c r="AQ108" t="s">
        <v>74</v>
      </c>
      <c r="AR108" t="s">
        <v>2228</v>
      </c>
      <c r="AS108" t="s">
        <v>2229</v>
      </c>
      <c r="AT108" t="s">
        <v>1026</v>
      </c>
      <c r="AU108">
        <v>2009</v>
      </c>
      <c r="AV108">
        <v>38</v>
      </c>
      <c r="AW108">
        <v>4</v>
      </c>
      <c r="AX108" t="s">
        <v>74</v>
      </c>
      <c r="AY108" t="s">
        <v>74</v>
      </c>
      <c r="AZ108" t="s">
        <v>74</v>
      </c>
      <c r="BA108" t="s">
        <v>74</v>
      </c>
      <c r="BB108">
        <v>432</v>
      </c>
      <c r="BC108">
        <v>438</v>
      </c>
      <c r="BD108" t="s">
        <v>74</v>
      </c>
      <c r="BE108" t="s">
        <v>74</v>
      </c>
      <c r="BF108" t="s">
        <v>74</v>
      </c>
      <c r="BG108" t="s">
        <v>74</v>
      </c>
      <c r="BH108" t="s">
        <v>74</v>
      </c>
      <c r="BI108">
        <v>7</v>
      </c>
      <c r="BJ108" t="s">
        <v>806</v>
      </c>
      <c r="BK108" t="s">
        <v>98</v>
      </c>
      <c r="BL108" t="s">
        <v>806</v>
      </c>
      <c r="BM108" t="s">
        <v>2230</v>
      </c>
      <c r="BN108" t="s">
        <v>74</v>
      </c>
      <c r="BO108" t="s">
        <v>74</v>
      </c>
      <c r="BP108" t="s">
        <v>74</v>
      </c>
      <c r="BQ108" t="s">
        <v>74</v>
      </c>
      <c r="BR108" t="s">
        <v>101</v>
      </c>
      <c r="BS108" t="s">
        <v>2241</v>
      </c>
      <c r="BT108" t="str">
        <f>HYPERLINK("https%3A%2F%2Fwww.webofscience.com%2Fwos%2Fwoscc%2Ffull-record%2FWOS:000274305000009","View Full Record in Web of Science")</f>
        <v>View Full Record in Web of Science</v>
      </c>
    </row>
    <row r="109" spans="1:72" x14ac:dyDescent="0.15">
      <c r="A109" t="s">
        <v>72</v>
      </c>
      <c r="B109" t="s">
        <v>2242</v>
      </c>
      <c r="C109" t="s">
        <v>74</v>
      </c>
      <c r="D109" t="s">
        <v>74</v>
      </c>
      <c r="E109" t="s">
        <v>74</v>
      </c>
      <c r="F109" t="s">
        <v>2243</v>
      </c>
      <c r="G109" t="s">
        <v>74</v>
      </c>
      <c r="H109" t="s">
        <v>74</v>
      </c>
      <c r="I109" t="s">
        <v>2244</v>
      </c>
      <c r="J109" t="s">
        <v>2245</v>
      </c>
      <c r="K109" t="s">
        <v>74</v>
      </c>
      <c r="L109" t="s">
        <v>74</v>
      </c>
      <c r="M109" t="s">
        <v>78</v>
      </c>
      <c r="N109" t="s">
        <v>79</v>
      </c>
      <c r="O109" t="s">
        <v>74</v>
      </c>
      <c r="P109" t="s">
        <v>74</v>
      </c>
      <c r="Q109" t="s">
        <v>74</v>
      </c>
      <c r="R109" t="s">
        <v>74</v>
      </c>
      <c r="S109" t="s">
        <v>74</v>
      </c>
      <c r="T109" t="s">
        <v>2246</v>
      </c>
      <c r="U109" t="s">
        <v>2247</v>
      </c>
      <c r="V109" t="s">
        <v>2248</v>
      </c>
      <c r="W109" t="s">
        <v>2249</v>
      </c>
      <c r="X109" t="s">
        <v>725</v>
      </c>
      <c r="Y109" t="s">
        <v>2250</v>
      </c>
      <c r="Z109" t="s">
        <v>2251</v>
      </c>
      <c r="AA109" t="s">
        <v>74</v>
      </c>
      <c r="AB109" t="s">
        <v>74</v>
      </c>
      <c r="AC109" t="s">
        <v>572</v>
      </c>
      <c r="AD109" t="s">
        <v>573</v>
      </c>
      <c r="AE109" t="s">
        <v>74</v>
      </c>
      <c r="AF109" t="s">
        <v>74</v>
      </c>
      <c r="AG109">
        <v>56</v>
      </c>
      <c r="AH109">
        <v>27</v>
      </c>
      <c r="AI109">
        <v>28</v>
      </c>
      <c r="AJ109">
        <v>1</v>
      </c>
      <c r="AK109">
        <v>23</v>
      </c>
      <c r="AL109" t="s">
        <v>1184</v>
      </c>
      <c r="AM109" t="s">
        <v>1185</v>
      </c>
      <c r="AN109" t="s">
        <v>1186</v>
      </c>
      <c r="AO109" t="s">
        <v>2252</v>
      </c>
      <c r="AP109" t="s">
        <v>2253</v>
      </c>
      <c r="AQ109" t="s">
        <v>74</v>
      </c>
      <c r="AR109" t="s">
        <v>2254</v>
      </c>
      <c r="AS109" t="s">
        <v>2255</v>
      </c>
      <c r="AT109" t="s">
        <v>1026</v>
      </c>
      <c r="AU109">
        <v>2009</v>
      </c>
      <c r="AV109">
        <v>29</v>
      </c>
      <c r="AW109">
        <v>15</v>
      </c>
      <c r="AX109" t="s">
        <v>74</v>
      </c>
      <c r="AY109" t="s">
        <v>74</v>
      </c>
      <c r="AZ109" t="s">
        <v>74</v>
      </c>
      <c r="BA109" t="s">
        <v>74</v>
      </c>
      <c r="BB109">
        <v>2298</v>
      </c>
      <c r="BC109">
        <v>2308</v>
      </c>
      <c r="BD109" t="s">
        <v>74</v>
      </c>
      <c r="BE109" t="s">
        <v>2256</v>
      </c>
      <c r="BF109" t="str">
        <f>HYPERLINK("http://dx.doi.org/10.1002/joc.1810","http://dx.doi.org/10.1002/joc.1810")</f>
        <v>http://dx.doi.org/10.1002/joc.1810</v>
      </c>
      <c r="BG109" t="s">
        <v>74</v>
      </c>
      <c r="BH109" t="s">
        <v>74</v>
      </c>
      <c r="BI109">
        <v>11</v>
      </c>
      <c r="BJ109" t="s">
        <v>413</v>
      </c>
      <c r="BK109" t="s">
        <v>98</v>
      </c>
      <c r="BL109" t="s">
        <v>413</v>
      </c>
      <c r="BM109" t="s">
        <v>2257</v>
      </c>
      <c r="BN109" t="s">
        <v>74</v>
      </c>
      <c r="BO109" t="s">
        <v>74</v>
      </c>
      <c r="BP109" t="s">
        <v>74</v>
      </c>
      <c r="BQ109" t="s">
        <v>74</v>
      </c>
      <c r="BR109" t="s">
        <v>101</v>
      </c>
      <c r="BS109" t="s">
        <v>2258</v>
      </c>
      <c r="BT109" t="str">
        <f>HYPERLINK("https%3A%2F%2Fwww.webofscience.com%2Fwos%2Fwoscc%2Ffull-record%2FWOS:000272896000007","View Full Record in Web of Science")</f>
        <v>View Full Record in Web of Science</v>
      </c>
    </row>
    <row r="110" spans="1:72" x14ac:dyDescent="0.15">
      <c r="A110" t="s">
        <v>72</v>
      </c>
      <c r="B110" t="s">
        <v>2259</v>
      </c>
      <c r="C110" t="s">
        <v>74</v>
      </c>
      <c r="D110" t="s">
        <v>74</v>
      </c>
      <c r="E110" t="s">
        <v>74</v>
      </c>
      <c r="F110" t="s">
        <v>2260</v>
      </c>
      <c r="G110" t="s">
        <v>74</v>
      </c>
      <c r="H110" t="s">
        <v>74</v>
      </c>
      <c r="I110" t="s">
        <v>2261</v>
      </c>
      <c r="J110" t="s">
        <v>2262</v>
      </c>
      <c r="K110" t="s">
        <v>74</v>
      </c>
      <c r="L110" t="s">
        <v>74</v>
      </c>
      <c r="M110" t="s">
        <v>78</v>
      </c>
      <c r="N110" t="s">
        <v>297</v>
      </c>
      <c r="O110" t="s">
        <v>74</v>
      </c>
      <c r="P110" t="s">
        <v>74</v>
      </c>
      <c r="Q110" t="s">
        <v>74</v>
      </c>
      <c r="R110" t="s">
        <v>74</v>
      </c>
      <c r="S110" t="s">
        <v>74</v>
      </c>
      <c r="T110" t="s">
        <v>2263</v>
      </c>
      <c r="U110" t="s">
        <v>2264</v>
      </c>
      <c r="V110" t="s">
        <v>2265</v>
      </c>
      <c r="W110" t="s">
        <v>2266</v>
      </c>
      <c r="X110" t="s">
        <v>2267</v>
      </c>
      <c r="Y110" t="s">
        <v>2268</v>
      </c>
      <c r="Z110" t="s">
        <v>2269</v>
      </c>
      <c r="AA110" t="s">
        <v>2270</v>
      </c>
      <c r="AB110" t="s">
        <v>2271</v>
      </c>
      <c r="AC110" t="s">
        <v>74</v>
      </c>
      <c r="AD110" t="s">
        <v>74</v>
      </c>
      <c r="AE110" t="s">
        <v>74</v>
      </c>
      <c r="AF110" t="s">
        <v>74</v>
      </c>
      <c r="AG110">
        <v>47</v>
      </c>
      <c r="AH110">
        <v>5</v>
      </c>
      <c r="AI110">
        <v>5</v>
      </c>
      <c r="AJ110">
        <v>0</v>
      </c>
      <c r="AK110">
        <v>14</v>
      </c>
      <c r="AL110" t="s">
        <v>1850</v>
      </c>
      <c r="AM110" t="s">
        <v>684</v>
      </c>
      <c r="AN110" t="s">
        <v>2272</v>
      </c>
      <c r="AO110" t="s">
        <v>2273</v>
      </c>
      <c r="AP110" t="s">
        <v>74</v>
      </c>
      <c r="AQ110" t="s">
        <v>74</v>
      </c>
      <c r="AR110" t="s">
        <v>2274</v>
      </c>
      <c r="AS110" t="s">
        <v>2275</v>
      </c>
      <c r="AT110" t="s">
        <v>1026</v>
      </c>
      <c r="AU110">
        <v>2009</v>
      </c>
      <c r="AV110">
        <v>98</v>
      </c>
      <c r="AW110">
        <v>8</v>
      </c>
      <c r="AX110" t="s">
        <v>74</v>
      </c>
      <c r="AY110" t="s">
        <v>74</v>
      </c>
      <c r="AZ110" t="s">
        <v>74</v>
      </c>
      <c r="BA110" t="s">
        <v>74</v>
      </c>
      <c r="BB110">
        <v>1991</v>
      </c>
      <c r="BC110">
        <v>2007</v>
      </c>
      <c r="BD110" t="s">
        <v>74</v>
      </c>
      <c r="BE110" t="s">
        <v>2276</v>
      </c>
      <c r="BF110" t="str">
        <f>HYPERLINK("http://dx.doi.org/10.1007/s00531-008-0356-6","http://dx.doi.org/10.1007/s00531-008-0356-6")</f>
        <v>http://dx.doi.org/10.1007/s00531-008-0356-6</v>
      </c>
      <c r="BG110" t="s">
        <v>74</v>
      </c>
      <c r="BH110" t="s">
        <v>74</v>
      </c>
      <c r="BI110">
        <v>17</v>
      </c>
      <c r="BJ110" t="s">
        <v>464</v>
      </c>
      <c r="BK110" t="s">
        <v>98</v>
      </c>
      <c r="BL110" t="s">
        <v>465</v>
      </c>
      <c r="BM110" t="s">
        <v>2277</v>
      </c>
      <c r="BN110" t="s">
        <v>74</v>
      </c>
      <c r="BO110" t="s">
        <v>74</v>
      </c>
      <c r="BP110" t="s">
        <v>74</v>
      </c>
      <c r="BQ110" t="s">
        <v>74</v>
      </c>
      <c r="BR110" t="s">
        <v>101</v>
      </c>
      <c r="BS110" t="s">
        <v>2278</v>
      </c>
      <c r="BT110" t="str">
        <f>HYPERLINK("https%3A%2F%2Fwww.webofscience.com%2Fwos%2Fwoscc%2Ffull-record%2FWOS:000272176600013","View Full Record in Web of Science")</f>
        <v>View Full Record in Web of Science</v>
      </c>
    </row>
    <row r="111" spans="1:72" x14ac:dyDescent="0.15">
      <c r="A111" t="s">
        <v>72</v>
      </c>
      <c r="B111" t="s">
        <v>2279</v>
      </c>
      <c r="C111" t="s">
        <v>74</v>
      </c>
      <c r="D111" t="s">
        <v>74</v>
      </c>
      <c r="E111" t="s">
        <v>74</v>
      </c>
      <c r="F111" t="s">
        <v>2280</v>
      </c>
      <c r="G111" t="s">
        <v>74</v>
      </c>
      <c r="H111" t="s">
        <v>74</v>
      </c>
      <c r="I111" t="s">
        <v>2281</v>
      </c>
      <c r="J111" t="s">
        <v>2282</v>
      </c>
      <c r="K111" t="s">
        <v>74</v>
      </c>
      <c r="L111" t="s">
        <v>74</v>
      </c>
      <c r="M111" t="s">
        <v>78</v>
      </c>
      <c r="N111" t="s">
        <v>79</v>
      </c>
      <c r="O111" t="s">
        <v>74</v>
      </c>
      <c r="P111" t="s">
        <v>74</v>
      </c>
      <c r="Q111" t="s">
        <v>74</v>
      </c>
      <c r="R111" t="s">
        <v>74</v>
      </c>
      <c r="S111" t="s">
        <v>74</v>
      </c>
      <c r="T111" t="s">
        <v>74</v>
      </c>
      <c r="U111" t="s">
        <v>2283</v>
      </c>
      <c r="V111" t="s">
        <v>2284</v>
      </c>
      <c r="W111" t="s">
        <v>2285</v>
      </c>
      <c r="X111" t="s">
        <v>2286</v>
      </c>
      <c r="Y111" t="s">
        <v>2287</v>
      </c>
      <c r="Z111" t="s">
        <v>2288</v>
      </c>
      <c r="AA111" t="s">
        <v>74</v>
      </c>
      <c r="AB111" t="s">
        <v>2289</v>
      </c>
      <c r="AC111" t="s">
        <v>2290</v>
      </c>
      <c r="AD111" t="s">
        <v>2291</v>
      </c>
      <c r="AE111" t="s">
        <v>2292</v>
      </c>
      <c r="AF111" t="s">
        <v>74</v>
      </c>
      <c r="AG111">
        <v>38</v>
      </c>
      <c r="AH111">
        <v>33</v>
      </c>
      <c r="AI111">
        <v>33</v>
      </c>
      <c r="AJ111">
        <v>0</v>
      </c>
      <c r="AK111">
        <v>7</v>
      </c>
      <c r="AL111" t="s">
        <v>2293</v>
      </c>
      <c r="AM111" t="s">
        <v>433</v>
      </c>
      <c r="AN111" t="s">
        <v>2294</v>
      </c>
      <c r="AO111" t="s">
        <v>2295</v>
      </c>
      <c r="AP111" t="s">
        <v>2296</v>
      </c>
      <c r="AQ111" t="s">
        <v>74</v>
      </c>
      <c r="AR111" t="s">
        <v>2297</v>
      </c>
      <c r="AS111" t="s">
        <v>2298</v>
      </c>
      <c r="AT111" t="s">
        <v>1026</v>
      </c>
      <c r="AU111">
        <v>2009</v>
      </c>
      <c r="AV111">
        <v>59</v>
      </c>
      <c r="AW111" t="s">
        <v>74</v>
      </c>
      <c r="AX111">
        <v>12</v>
      </c>
      <c r="AY111" t="s">
        <v>74</v>
      </c>
      <c r="AZ111" t="s">
        <v>74</v>
      </c>
      <c r="BA111" t="s">
        <v>74</v>
      </c>
      <c r="BB111">
        <v>3019</v>
      </c>
      <c r="BC111">
        <v>3024</v>
      </c>
      <c r="BD111" t="s">
        <v>74</v>
      </c>
      <c r="BE111" t="s">
        <v>2299</v>
      </c>
      <c r="BF111" t="str">
        <f>HYPERLINK("http://dx.doi.org/10.1099/ijs.0.008102-0","http://dx.doi.org/10.1099/ijs.0.008102-0")</f>
        <v>http://dx.doi.org/10.1099/ijs.0.008102-0</v>
      </c>
      <c r="BG111" t="s">
        <v>74</v>
      </c>
      <c r="BH111" t="s">
        <v>74</v>
      </c>
      <c r="BI111">
        <v>6</v>
      </c>
      <c r="BJ111" t="s">
        <v>1958</v>
      </c>
      <c r="BK111" t="s">
        <v>98</v>
      </c>
      <c r="BL111" t="s">
        <v>1958</v>
      </c>
      <c r="BM111" t="s">
        <v>2300</v>
      </c>
      <c r="BN111">
        <v>19643900</v>
      </c>
      <c r="BO111" t="s">
        <v>263</v>
      </c>
      <c r="BP111" t="s">
        <v>74</v>
      </c>
      <c r="BQ111" t="s">
        <v>74</v>
      </c>
      <c r="BR111" t="s">
        <v>101</v>
      </c>
      <c r="BS111" t="s">
        <v>2301</v>
      </c>
      <c r="BT111" t="str">
        <f>HYPERLINK("https%3A%2F%2Fwww.webofscience.com%2Fwos%2Fwoscc%2Ffull-record%2FWOS:000273135700015","View Full Record in Web of Science")</f>
        <v>View Full Record in Web of Science</v>
      </c>
    </row>
    <row r="112" spans="1:72" x14ac:dyDescent="0.15">
      <c r="A112" t="s">
        <v>72</v>
      </c>
      <c r="B112" t="s">
        <v>2302</v>
      </c>
      <c r="C112" t="s">
        <v>74</v>
      </c>
      <c r="D112" t="s">
        <v>74</v>
      </c>
      <c r="E112" t="s">
        <v>74</v>
      </c>
      <c r="F112" t="s">
        <v>2303</v>
      </c>
      <c r="G112" t="s">
        <v>74</v>
      </c>
      <c r="H112" t="s">
        <v>74</v>
      </c>
      <c r="I112" t="s">
        <v>2304</v>
      </c>
      <c r="J112" t="s">
        <v>2305</v>
      </c>
      <c r="K112" t="s">
        <v>74</v>
      </c>
      <c r="L112" t="s">
        <v>74</v>
      </c>
      <c r="M112" t="s">
        <v>78</v>
      </c>
      <c r="N112" t="s">
        <v>79</v>
      </c>
      <c r="O112" t="s">
        <v>74</v>
      </c>
      <c r="P112" t="s">
        <v>74</v>
      </c>
      <c r="Q112" t="s">
        <v>74</v>
      </c>
      <c r="R112" t="s">
        <v>74</v>
      </c>
      <c r="S112" t="s">
        <v>74</v>
      </c>
      <c r="T112" t="s">
        <v>74</v>
      </c>
      <c r="U112" t="s">
        <v>2306</v>
      </c>
      <c r="V112" t="s">
        <v>2307</v>
      </c>
      <c r="W112" t="s">
        <v>2308</v>
      </c>
      <c r="X112" t="s">
        <v>2309</v>
      </c>
      <c r="Y112" t="s">
        <v>2310</v>
      </c>
      <c r="Z112" t="s">
        <v>2311</v>
      </c>
      <c r="AA112" t="s">
        <v>2312</v>
      </c>
      <c r="AB112" t="s">
        <v>2313</v>
      </c>
      <c r="AC112" t="s">
        <v>2314</v>
      </c>
      <c r="AD112" t="s">
        <v>2315</v>
      </c>
      <c r="AE112" t="s">
        <v>2316</v>
      </c>
      <c r="AF112" t="s">
        <v>74</v>
      </c>
      <c r="AG112">
        <v>25</v>
      </c>
      <c r="AH112">
        <v>23</v>
      </c>
      <c r="AI112">
        <v>28</v>
      </c>
      <c r="AJ112">
        <v>0</v>
      </c>
      <c r="AK112">
        <v>7</v>
      </c>
      <c r="AL112" t="s">
        <v>1931</v>
      </c>
      <c r="AM112" t="s">
        <v>684</v>
      </c>
      <c r="AN112" t="s">
        <v>1932</v>
      </c>
      <c r="AO112" t="s">
        <v>2317</v>
      </c>
      <c r="AP112" t="s">
        <v>2318</v>
      </c>
      <c r="AQ112" t="s">
        <v>74</v>
      </c>
      <c r="AR112" t="s">
        <v>2319</v>
      </c>
      <c r="AS112" t="s">
        <v>2320</v>
      </c>
      <c r="AT112" t="s">
        <v>1026</v>
      </c>
      <c r="AU112">
        <v>2009</v>
      </c>
      <c r="AV112">
        <v>45</v>
      </c>
      <c r="AW112">
        <v>6</v>
      </c>
      <c r="AX112" t="s">
        <v>74</v>
      </c>
      <c r="AY112" t="s">
        <v>74</v>
      </c>
      <c r="AZ112" t="s">
        <v>74</v>
      </c>
      <c r="BA112" t="s">
        <v>74</v>
      </c>
      <c r="BB112">
        <v>675</v>
      </c>
      <c r="BC112">
        <v>686</v>
      </c>
      <c r="BD112" t="s">
        <v>74</v>
      </c>
      <c r="BE112" t="s">
        <v>2321</v>
      </c>
      <c r="BF112" t="str">
        <f>HYPERLINK("http://dx.doi.org/10.1134/S0001433809060012","http://dx.doi.org/10.1134/S0001433809060012")</f>
        <v>http://dx.doi.org/10.1134/S0001433809060012</v>
      </c>
      <c r="BG112" t="s">
        <v>74</v>
      </c>
      <c r="BH112" t="s">
        <v>74</v>
      </c>
      <c r="BI112">
        <v>12</v>
      </c>
      <c r="BJ112" t="s">
        <v>2322</v>
      </c>
      <c r="BK112" t="s">
        <v>98</v>
      </c>
      <c r="BL112" t="s">
        <v>2322</v>
      </c>
      <c r="BM112" t="s">
        <v>2323</v>
      </c>
      <c r="BN112" t="s">
        <v>74</v>
      </c>
      <c r="BO112" t="s">
        <v>74</v>
      </c>
      <c r="BP112" t="s">
        <v>74</v>
      </c>
      <c r="BQ112" t="s">
        <v>74</v>
      </c>
      <c r="BR112" t="s">
        <v>101</v>
      </c>
      <c r="BS112" t="s">
        <v>2324</v>
      </c>
      <c r="BT112" t="str">
        <f>HYPERLINK("https%3A%2F%2Fwww.webofscience.com%2Fwos%2Fwoscc%2Ffull-record%2FWOS:000272799700001","View Full Record in Web of Science")</f>
        <v>View Full Record in Web of Science</v>
      </c>
    </row>
    <row r="113" spans="1:72" x14ac:dyDescent="0.15">
      <c r="A113" t="s">
        <v>72</v>
      </c>
      <c r="B113" t="s">
        <v>2325</v>
      </c>
      <c r="C113" t="s">
        <v>74</v>
      </c>
      <c r="D113" t="s">
        <v>74</v>
      </c>
      <c r="E113" t="s">
        <v>74</v>
      </c>
      <c r="F113" t="s">
        <v>2326</v>
      </c>
      <c r="G113" t="s">
        <v>74</v>
      </c>
      <c r="H113" t="s">
        <v>74</v>
      </c>
      <c r="I113" t="s">
        <v>2327</v>
      </c>
      <c r="J113" t="s">
        <v>2328</v>
      </c>
      <c r="K113" t="s">
        <v>74</v>
      </c>
      <c r="L113" t="s">
        <v>74</v>
      </c>
      <c r="M113" t="s">
        <v>78</v>
      </c>
      <c r="N113" t="s">
        <v>297</v>
      </c>
      <c r="O113" t="s">
        <v>74</v>
      </c>
      <c r="P113" t="s">
        <v>74</v>
      </c>
      <c r="Q113" t="s">
        <v>74</v>
      </c>
      <c r="R113" t="s">
        <v>74</v>
      </c>
      <c r="S113" t="s">
        <v>74</v>
      </c>
      <c r="T113" t="s">
        <v>2329</v>
      </c>
      <c r="U113" t="s">
        <v>2330</v>
      </c>
      <c r="V113" t="s">
        <v>2331</v>
      </c>
      <c r="W113" t="s">
        <v>2332</v>
      </c>
      <c r="X113" t="s">
        <v>2333</v>
      </c>
      <c r="Y113" t="s">
        <v>2334</v>
      </c>
      <c r="Z113" t="s">
        <v>2335</v>
      </c>
      <c r="AA113" t="s">
        <v>2336</v>
      </c>
      <c r="AB113" t="s">
        <v>2337</v>
      </c>
      <c r="AC113" t="s">
        <v>2338</v>
      </c>
      <c r="AD113" t="s">
        <v>2339</v>
      </c>
      <c r="AE113" t="s">
        <v>2340</v>
      </c>
      <c r="AF113" t="s">
        <v>74</v>
      </c>
      <c r="AG113">
        <v>22</v>
      </c>
      <c r="AH113">
        <v>13</v>
      </c>
      <c r="AI113">
        <v>13</v>
      </c>
      <c r="AJ113">
        <v>2</v>
      </c>
      <c r="AK113">
        <v>17</v>
      </c>
      <c r="AL113" t="s">
        <v>1894</v>
      </c>
      <c r="AM113" t="s">
        <v>1895</v>
      </c>
      <c r="AN113" t="s">
        <v>1896</v>
      </c>
      <c r="AO113" t="s">
        <v>2341</v>
      </c>
      <c r="AP113" t="s">
        <v>2342</v>
      </c>
      <c r="AQ113" t="s">
        <v>74</v>
      </c>
      <c r="AR113" t="s">
        <v>2343</v>
      </c>
      <c r="AS113" t="s">
        <v>2344</v>
      </c>
      <c r="AT113" t="s">
        <v>1026</v>
      </c>
      <c r="AU113">
        <v>2009</v>
      </c>
      <c r="AV113">
        <v>71</v>
      </c>
      <c r="AW113" t="s">
        <v>2345</v>
      </c>
      <c r="AX113" t="s">
        <v>74</v>
      </c>
      <c r="AY113" t="s">
        <v>74</v>
      </c>
      <c r="AZ113" t="s">
        <v>74</v>
      </c>
      <c r="BA113" t="s">
        <v>74</v>
      </c>
      <c r="BB113">
        <v>1757</v>
      </c>
      <c r="BC113">
        <v>1765</v>
      </c>
      <c r="BD113" t="s">
        <v>74</v>
      </c>
      <c r="BE113" t="s">
        <v>2346</v>
      </c>
      <c r="BF113" t="str">
        <f>HYPERLINK("http://dx.doi.org/10.1016/j.jastp.2009.09.014","http://dx.doi.org/10.1016/j.jastp.2009.09.014")</f>
        <v>http://dx.doi.org/10.1016/j.jastp.2009.09.014</v>
      </c>
      <c r="BG113" t="s">
        <v>74</v>
      </c>
      <c r="BH113" t="s">
        <v>74</v>
      </c>
      <c r="BI113">
        <v>9</v>
      </c>
      <c r="BJ113" t="s">
        <v>2347</v>
      </c>
      <c r="BK113" t="s">
        <v>98</v>
      </c>
      <c r="BL113" t="s">
        <v>2347</v>
      </c>
      <c r="BM113" t="s">
        <v>2348</v>
      </c>
      <c r="BN113" t="s">
        <v>74</v>
      </c>
      <c r="BO113" t="s">
        <v>74</v>
      </c>
      <c r="BP113" t="s">
        <v>74</v>
      </c>
      <c r="BQ113" t="s">
        <v>74</v>
      </c>
      <c r="BR113" t="s">
        <v>101</v>
      </c>
      <c r="BS113" t="s">
        <v>2349</v>
      </c>
      <c r="BT113" t="str">
        <f>HYPERLINK("https%3A%2F%2Fwww.webofscience.com%2Fwos%2Fwoscc%2Ffull-record%2FWOS:000272985200010","View Full Record in Web of Science")</f>
        <v>View Full Record in Web of Science</v>
      </c>
    </row>
    <row r="114" spans="1:72" x14ac:dyDescent="0.15">
      <c r="A114" t="s">
        <v>72</v>
      </c>
      <c r="B114" t="s">
        <v>2350</v>
      </c>
      <c r="C114" t="s">
        <v>74</v>
      </c>
      <c r="D114" t="s">
        <v>74</v>
      </c>
      <c r="E114" t="s">
        <v>74</v>
      </c>
      <c r="F114" t="s">
        <v>2351</v>
      </c>
      <c r="G114" t="s">
        <v>74</v>
      </c>
      <c r="H114" t="s">
        <v>74</v>
      </c>
      <c r="I114" t="s">
        <v>2352</v>
      </c>
      <c r="J114" t="s">
        <v>2328</v>
      </c>
      <c r="K114" t="s">
        <v>74</v>
      </c>
      <c r="L114" t="s">
        <v>74</v>
      </c>
      <c r="M114" t="s">
        <v>78</v>
      </c>
      <c r="N114" t="s">
        <v>79</v>
      </c>
      <c r="O114" t="s">
        <v>74</v>
      </c>
      <c r="P114" t="s">
        <v>74</v>
      </c>
      <c r="Q114" t="s">
        <v>74</v>
      </c>
      <c r="R114" t="s">
        <v>74</v>
      </c>
      <c r="S114" t="s">
        <v>74</v>
      </c>
      <c r="T114" t="s">
        <v>2353</v>
      </c>
      <c r="U114" t="s">
        <v>2354</v>
      </c>
      <c r="V114" t="s">
        <v>2355</v>
      </c>
      <c r="W114" t="s">
        <v>2356</v>
      </c>
      <c r="X114" t="s">
        <v>2357</v>
      </c>
      <c r="Y114" t="s">
        <v>2358</v>
      </c>
      <c r="Z114" t="s">
        <v>2359</v>
      </c>
      <c r="AA114" t="s">
        <v>2360</v>
      </c>
      <c r="AB114" t="s">
        <v>2361</v>
      </c>
      <c r="AC114" t="s">
        <v>2362</v>
      </c>
      <c r="AD114" t="s">
        <v>2363</v>
      </c>
      <c r="AE114" t="s">
        <v>2364</v>
      </c>
      <c r="AF114" t="s">
        <v>74</v>
      </c>
      <c r="AG114">
        <v>25</v>
      </c>
      <c r="AH114">
        <v>6</v>
      </c>
      <c r="AI114">
        <v>6</v>
      </c>
      <c r="AJ114">
        <v>0</v>
      </c>
      <c r="AK114">
        <v>8</v>
      </c>
      <c r="AL114" t="s">
        <v>1894</v>
      </c>
      <c r="AM114" t="s">
        <v>1895</v>
      </c>
      <c r="AN114" t="s">
        <v>1896</v>
      </c>
      <c r="AO114" t="s">
        <v>2341</v>
      </c>
      <c r="AP114" t="s">
        <v>2342</v>
      </c>
      <c r="AQ114" t="s">
        <v>74</v>
      </c>
      <c r="AR114" t="s">
        <v>2343</v>
      </c>
      <c r="AS114" t="s">
        <v>2344</v>
      </c>
      <c r="AT114" t="s">
        <v>1026</v>
      </c>
      <c r="AU114">
        <v>2009</v>
      </c>
      <c r="AV114">
        <v>71</v>
      </c>
      <c r="AW114" t="s">
        <v>2345</v>
      </c>
      <c r="AX114" t="s">
        <v>74</v>
      </c>
      <c r="AY114" t="s">
        <v>74</v>
      </c>
      <c r="AZ114" t="s">
        <v>74</v>
      </c>
      <c r="BA114" t="s">
        <v>74</v>
      </c>
      <c r="BB114">
        <v>1899</v>
      </c>
      <c r="BC114">
        <v>1903</v>
      </c>
      <c r="BD114" t="s">
        <v>74</v>
      </c>
      <c r="BE114" t="s">
        <v>2365</v>
      </c>
      <c r="BF114" t="str">
        <f>HYPERLINK("http://dx.doi.org/10.1016/j.jastp.2009.07.011","http://dx.doi.org/10.1016/j.jastp.2009.07.011")</f>
        <v>http://dx.doi.org/10.1016/j.jastp.2009.07.011</v>
      </c>
      <c r="BG114" t="s">
        <v>74</v>
      </c>
      <c r="BH114" t="s">
        <v>74</v>
      </c>
      <c r="BI114">
        <v>5</v>
      </c>
      <c r="BJ114" t="s">
        <v>2347</v>
      </c>
      <c r="BK114" t="s">
        <v>98</v>
      </c>
      <c r="BL114" t="s">
        <v>2347</v>
      </c>
      <c r="BM114" t="s">
        <v>2348</v>
      </c>
      <c r="BN114" t="s">
        <v>74</v>
      </c>
      <c r="BO114" t="s">
        <v>74</v>
      </c>
      <c r="BP114" t="s">
        <v>74</v>
      </c>
      <c r="BQ114" t="s">
        <v>74</v>
      </c>
      <c r="BR114" t="s">
        <v>101</v>
      </c>
      <c r="BS114" t="s">
        <v>2366</v>
      </c>
      <c r="BT114" t="str">
        <f>HYPERLINK("https%3A%2F%2Fwww.webofscience.com%2Fwos%2Fwoscc%2Ffull-record%2FWOS:000272985200025","View Full Record in Web of Science")</f>
        <v>View Full Record in Web of Science</v>
      </c>
    </row>
    <row r="115" spans="1:72" x14ac:dyDescent="0.15">
      <c r="A115" t="s">
        <v>72</v>
      </c>
      <c r="B115" t="s">
        <v>2367</v>
      </c>
      <c r="C115" t="s">
        <v>74</v>
      </c>
      <c r="D115" t="s">
        <v>74</v>
      </c>
      <c r="E115" t="s">
        <v>74</v>
      </c>
      <c r="F115" t="s">
        <v>2368</v>
      </c>
      <c r="G115" t="s">
        <v>74</v>
      </c>
      <c r="H115" t="s">
        <v>74</v>
      </c>
      <c r="I115" t="s">
        <v>2369</v>
      </c>
      <c r="J115" t="s">
        <v>2328</v>
      </c>
      <c r="K115" t="s">
        <v>74</v>
      </c>
      <c r="L115" t="s">
        <v>74</v>
      </c>
      <c r="M115" t="s">
        <v>78</v>
      </c>
      <c r="N115" t="s">
        <v>79</v>
      </c>
      <c r="O115" t="s">
        <v>74</v>
      </c>
      <c r="P115" t="s">
        <v>74</v>
      </c>
      <c r="Q115" t="s">
        <v>74</v>
      </c>
      <c r="R115" t="s">
        <v>74</v>
      </c>
      <c r="S115" t="s">
        <v>74</v>
      </c>
      <c r="T115" t="s">
        <v>2370</v>
      </c>
      <c r="U115" t="s">
        <v>2371</v>
      </c>
      <c r="V115" t="s">
        <v>2372</v>
      </c>
      <c r="W115" t="s">
        <v>2373</v>
      </c>
      <c r="X115" t="s">
        <v>2374</v>
      </c>
      <c r="Y115" t="s">
        <v>2375</v>
      </c>
      <c r="Z115" t="s">
        <v>2376</v>
      </c>
      <c r="AA115" t="s">
        <v>74</v>
      </c>
      <c r="AB115" t="s">
        <v>2377</v>
      </c>
      <c r="AC115" t="s">
        <v>2378</v>
      </c>
      <c r="AD115" t="s">
        <v>2379</v>
      </c>
      <c r="AE115" t="s">
        <v>2380</v>
      </c>
      <c r="AF115" t="s">
        <v>74</v>
      </c>
      <c r="AG115">
        <v>43</v>
      </c>
      <c r="AH115">
        <v>10</v>
      </c>
      <c r="AI115">
        <v>11</v>
      </c>
      <c r="AJ115">
        <v>0</v>
      </c>
      <c r="AK115">
        <v>6</v>
      </c>
      <c r="AL115" t="s">
        <v>1894</v>
      </c>
      <c r="AM115" t="s">
        <v>1895</v>
      </c>
      <c r="AN115" t="s">
        <v>1896</v>
      </c>
      <c r="AO115" t="s">
        <v>2341</v>
      </c>
      <c r="AP115" t="s">
        <v>2342</v>
      </c>
      <c r="AQ115" t="s">
        <v>74</v>
      </c>
      <c r="AR115" t="s">
        <v>2343</v>
      </c>
      <c r="AS115" t="s">
        <v>2344</v>
      </c>
      <c r="AT115" t="s">
        <v>1026</v>
      </c>
      <c r="AU115">
        <v>2009</v>
      </c>
      <c r="AV115">
        <v>71</v>
      </c>
      <c r="AW115" t="s">
        <v>2345</v>
      </c>
      <c r="AX115" t="s">
        <v>74</v>
      </c>
      <c r="AY115" t="s">
        <v>74</v>
      </c>
      <c r="AZ115" t="s">
        <v>74</v>
      </c>
      <c r="BA115" t="s">
        <v>74</v>
      </c>
      <c r="BB115">
        <v>1904</v>
      </c>
      <c r="BC115">
        <v>1915</v>
      </c>
      <c r="BD115" t="s">
        <v>74</v>
      </c>
      <c r="BE115" t="s">
        <v>2381</v>
      </c>
      <c r="BF115" t="str">
        <f>HYPERLINK("http://dx.doi.org/10.1016/j.jastp.2009.07.006","http://dx.doi.org/10.1016/j.jastp.2009.07.006")</f>
        <v>http://dx.doi.org/10.1016/j.jastp.2009.07.006</v>
      </c>
      <c r="BG115" t="s">
        <v>74</v>
      </c>
      <c r="BH115" t="s">
        <v>74</v>
      </c>
      <c r="BI115">
        <v>12</v>
      </c>
      <c r="BJ115" t="s">
        <v>2347</v>
      </c>
      <c r="BK115" t="s">
        <v>98</v>
      </c>
      <c r="BL115" t="s">
        <v>2347</v>
      </c>
      <c r="BM115" t="s">
        <v>2348</v>
      </c>
      <c r="BN115" t="s">
        <v>74</v>
      </c>
      <c r="BO115" t="s">
        <v>74</v>
      </c>
      <c r="BP115" t="s">
        <v>74</v>
      </c>
      <c r="BQ115" t="s">
        <v>74</v>
      </c>
      <c r="BR115" t="s">
        <v>101</v>
      </c>
      <c r="BS115" t="s">
        <v>2382</v>
      </c>
      <c r="BT115" t="str">
        <f>HYPERLINK("https%3A%2F%2Fwww.webofscience.com%2Fwos%2Fwoscc%2Ffull-record%2FWOS:000272985200026","View Full Record in Web of Science")</f>
        <v>View Full Record in Web of Science</v>
      </c>
    </row>
    <row r="116" spans="1:72" x14ac:dyDescent="0.15">
      <c r="A116" t="s">
        <v>72</v>
      </c>
      <c r="B116" t="s">
        <v>2383</v>
      </c>
      <c r="C116" t="s">
        <v>74</v>
      </c>
      <c r="D116" t="s">
        <v>74</v>
      </c>
      <c r="E116" t="s">
        <v>74</v>
      </c>
      <c r="F116" t="s">
        <v>2384</v>
      </c>
      <c r="G116" t="s">
        <v>74</v>
      </c>
      <c r="H116" t="s">
        <v>74</v>
      </c>
      <c r="I116" t="s">
        <v>2385</v>
      </c>
      <c r="J116" t="s">
        <v>2386</v>
      </c>
      <c r="K116" t="s">
        <v>74</v>
      </c>
      <c r="L116" t="s">
        <v>74</v>
      </c>
      <c r="M116" t="s">
        <v>78</v>
      </c>
      <c r="N116" t="s">
        <v>79</v>
      </c>
      <c r="O116" t="s">
        <v>74</v>
      </c>
      <c r="P116" t="s">
        <v>74</v>
      </c>
      <c r="Q116" t="s">
        <v>74</v>
      </c>
      <c r="R116" t="s">
        <v>74</v>
      </c>
      <c r="S116" t="s">
        <v>74</v>
      </c>
      <c r="T116" t="s">
        <v>74</v>
      </c>
      <c r="U116" t="s">
        <v>2387</v>
      </c>
      <c r="V116" t="s">
        <v>2388</v>
      </c>
      <c r="W116" t="s">
        <v>2389</v>
      </c>
      <c r="X116" t="s">
        <v>2390</v>
      </c>
      <c r="Y116" t="s">
        <v>2391</v>
      </c>
      <c r="Z116" t="s">
        <v>2392</v>
      </c>
      <c r="AA116" t="s">
        <v>2393</v>
      </c>
      <c r="AB116" t="s">
        <v>2394</v>
      </c>
      <c r="AC116" t="s">
        <v>2395</v>
      </c>
      <c r="AD116" t="s">
        <v>2396</v>
      </c>
      <c r="AE116" t="s">
        <v>74</v>
      </c>
      <c r="AF116" t="s">
        <v>74</v>
      </c>
      <c r="AG116">
        <v>52</v>
      </c>
      <c r="AH116">
        <v>54</v>
      </c>
      <c r="AI116">
        <v>58</v>
      </c>
      <c r="AJ116">
        <v>0</v>
      </c>
      <c r="AK116">
        <v>17</v>
      </c>
      <c r="AL116" t="s">
        <v>2397</v>
      </c>
      <c r="AM116" t="s">
        <v>2398</v>
      </c>
      <c r="AN116" t="s">
        <v>2399</v>
      </c>
      <c r="AO116" t="s">
        <v>2400</v>
      </c>
      <c r="AP116" t="s">
        <v>2401</v>
      </c>
      <c r="AQ116" t="s">
        <v>74</v>
      </c>
      <c r="AR116" t="s">
        <v>2402</v>
      </c>
      <c r="AS116" t="s">
        <v>2403</v>
      </c>
      <c r="AT116" t="s">
        <v>1431</v>
      </c>
      <c r="AU116">
        <v>2009</v>
      </c>
      <c r="AV116">
        <v>22</v>
      </c>
      <c r="AW116">
        <v>23</v>
      </c>
      <c r="AX116" t="s">
        <v>74</v>
      </c>
      <c r="AY116" t="s">
        <v>74</v>
      </c>
      <c r="AZ116" t="s">
        <v>74</v>
      </c>
      <c r="BA116" t="s">
        <v>74</v>
      </c>
      <c r="BB116">
        <v>6325</v>
      </c>
      <c r="BC116">
        <v>6341</v>
      </c>
      <c r="BD116" t="s">
        <v>74</v>
      </c>
      <c r="BE116" t="s">
        <v>2404</v>
      </c>
      <c r="BF116" t="str">
        <f>HYPERLINK("http://dx.doi.org/10.1175/2009JCLI2971.1","http://dx.doi.org/10.1175/2009JCLI2971.1")</f>
        <v>http://dx.doi.org/10.1175/2009JCLI2971.1</v>
      </c>
      <c r="BG116" t="s">
        <v>74</v>
      </c>
      <c r="BH116" t="s">
        <v>74</v>
      </c>
      <c r="BI116">
        <v>17</v>
      </c>
      <c r="BJ116" t="s">
        <v>413</v>
      </c>
      <c r="BK116" t="s">
        <v>98</v>
      </c>
      <c r="BL116" t="s">
        <v>413</v>
      </c>
      <c r="BM116" t="s">
        <v>2405</v>
      </c>
      <c r="BN116" t="s">
        <v>74</v>
      </c>
      <c r="BO116" t="s">
        <v>263</v>
      </c>
      <c r="BP116" t="s">
        <v>74</v>
      </c>
      <c r="BQ116" t="s">
        <v>74</v>
      </c>
      <c r="BR116" t="s">
        <v>101</v>
      </c>
      <c r="BS116" t="s">
        <v>2406</v>
      </c>
      <c r="BT116" t="str">
        <f>HYPERLINK("https%3A%2F%2Fwww.webofscience.com%2Fwos%2Fwoscc%2Ffull-record%2FWOS:000272274700011","View Full Record in Web of Science")</f>
        <v>View Full Record in Web of Science</v>
      </c>
    </row>
    <row r="117" spans="1:72" x14ac:dyDescent="0.15">
      <c r="A117" t="s">
        <v>72</v>
      </c>
      <c r="B117" t="s">
        <v>2407</v>
      </c>
      <c r="C117" t="s">
        <v>74</v>
      </c>
      <c r="D117" t="s">
        <v>74</v>
      </c>
      <c r="E117" t="s">
        <v>74</v>
      </c>
      <c r="F117" t="s">
        <v>2408</v>
      </c>
      <c r="G117" t="s">
        <v>74</v>
      </c>
      <c r="H117" t="s">
        <v>74</v>
      </c>
      <c r="I117" t="s">
        <v>2409</v>
      </c>
      <c r="J117" t="s">
        <v>2386</v>
      </c>
      <c r="K117" t="s">
        <v>74</v>
      </c>
      <c r="L117" t="s">
        <v>74</v>
      </c>
      <c r="M117" t="s">
        <v>78</v>
      </c>
      <c r="N117" t="s">
        <v>79</v>
      </c>
      <c r="O117" t="s">
        <v>74</v>
      </c>
      <c r="P117" t="s">
        <v>74</v>
      </c>
      <c r="Q117" t="s">
        <v>74</v>
      </c>
      <c r="R117" t="s">
        <v>74</v>
      </c>
      <c r="S117" t="s">
        <v>74</v>
      </c>
      <c r="T117" t="s">
        <v>74</v>
      </c>
      <c r="U117" t="s">
        <v>2410</v>
      </c>
      <c r="V117" t="s">
        <v>2411</v>
      </c>
      <c r="W117" t="s">
        <v>2412</v>
      </c>
      <c r="X117" t="s">
        <v>2413</v>
      </c>
      <c r="Y117" t="s">
        <v>2414</v>
      </c>
      <c r="Z117" t="s">
        <v>2415</v>
      </c>
      <c r="AA117" t="s">
        <v>2416</v>
      </c>
      <c r="AB117" t="s">
        <v>2417</v>
      </c>
      <c r="AC117" t="s">
        <v>2418</v>
      </c>
      <c r="AD117" t="s">
        <v>2419</v>
      </c>
      <c r="AE117" t="s">
        <v>2420</v>
      </c>
      <c r="AF117" t="s">
        <v>74</v>
      </c>
      <c r="AG117">
        <v>45</v>
      </c>
      <c r="AH117">
        <v>39</v>
      </c>
      <c r="AI117">
        <v>40</v>
      </c>
      <c r="AJ117">
        <v>0</v>
      </c>
      <c r="AK117">
        <v>26</v>
      </c>
      <c r="AL117" t="s">
        <v>2397</v>
      </c>
      <c r="AM117" t="s">
        <v>2398</v>
      </c>
      <c r="AN117" t="s">
        <v>2399</v>
      </c>
      <c r="AO117" t="s">
        <v>2400</v>
      </c>
      <c r="AP117" t="s">
        <v>2401</v>
      </c>
      <c r="AQ117" t="s">
        <v>74</v>
      </c>
      <c r="AR117" t="s">
        <v>2402</v>
      </c>
      <c r="AS117" t="s">
        <v>2403</v>
      </c>
      <c r="AT117" t="s">
        <v>1026</v>
      </c>
      <c r="AU117">
        <v>2009</v>
      </c>
      <c r="AV117">
        <v>22</v>
      </c>
      <c r="AW117">
        <v>24</v>
      </c>
      <c r="AX117" t="s">
        <v>74</v>
      </c>
      <c r="AY117" t="s">
        <v>74</v>
      </c>
      <c r="AZ117" t="s">
        <v>74</v>
      </c>
      <c r="BA117" t="s">
        <v>74</v>
      </c>
      <c r="BB117">
        <v>6639</v>
      </c>
      <c r="BC117">
        <v>6652</v>
      </c>
      <c r="BD117" t="s">
        <v>74</v>
      </c>
      <c r="BE117" t="s">
        <v>2421</v>
      </c>
      <c r="BF117" t="str">
        <f>HYPERLINK("http://dx.doi.org/10.1175/2009JCLI3003.1","http://dx.doi.org/10.1175/2009JCLI3003.1")</f>
        <v>http://dx.doi.org/10.1175/2009JCLI3003.1</v>
      </c>
      <c r="BG117" t="s">
        <v>74</v>
      </c>
      <c r="BH117" t="s">
        <v>74</v>
      </c>
      <c r="BI117">
        <v>14</v>
      </c>
      <c r="BJ117" t="s">
        <v>413</v>
      </c>
      <c r="BK117" t="s">
        <v>98</v>
      </c>
      <c r="BL117" t="s">
        <v>413</v>
      </c>
      <c r="BM117" t="s">
        <v>2422</v>
      </c>
      <c r="BN117" t="s">
        <v>74</v>
      </c>
      <c r="BO117" t="s">
        <v>263</v>
      </c>
      <c r="BP117" t="s">
        <v>74</v>
      </c>
      <c r="BQ117" t="s">
        <v>74</v>
      </c>
      <c r="BR117" t="s">
        <v>101</v>
      </c>
      <c r="BS117" t="s">
        <v>2423</v>
      </c>
      <c r="BT117" t="str">
        <f>HYPERLINK("https%3A%2F%2Fwww.webofscience.com%2Fwos%2Fwoscc%2Ffull-record%2FWOS:000273359000009","View Full Record in Web of Science")</f>
        <v>View Full Record in Web of Science</v>
      </c>
    </row>
    <row r="118" spans="1:72" x14ac:dyDescent="0.15">
      <c r="A118" t="s">
        <v>72</v>
      </c>
      <c r="B118" t="s">
        <v>2424</v>
      </c>
      <c r="C118" t="s">
        <v>74</v>
      </c>
      <c r="D118" t="s">
        <v>74</v>
      </c>
      <c r="E118" t="s">
        <v>74</v>
      </c>
      <c r="F118" t="s">
        <v>2425</v>
      </c>
      <c r="G118" t="s">
        <v>74</v>
      </c>
      <c r="H118" t="s">
        <v>74</v>
      </c>
      <c r="I118" t="s">
        <v>2426</v>
      </c>
      <c r="J118" t="s">
        <v>2386</v>
      </c>
      <c r="K118" t="s">
        <v>74</v>
      </c>
      <c r="L118" t="s">
        <v>74</v>
      </c>
      <c r="M118" t="s">
        <v>78</v>
      </c>
      <c r="N118" t="s">
        <v>79</v>
      </c>
      <c r="O118" t="s">
        <v>74</v>
      </c>
      <c r="P118" t="s">
        <v>74</v>
      </c>
      <c r="Q118" t="s">
        <v>74</v>
      </c>
      <c r="R118" t="s">
        <v>74</v>
      </c>
      <c r="S118" t="s">
        <v>74</v>
      </c>
      <c r="T118" t="s">
        <v>74</v>
      </c>
      <c r="U118" t="s">
        <v>2427</v>
      </c>
      <c r="V118" t="s">
        <v>2428</v>
      </c>
      <c r="W118" t="s">
        <v>2429</v>
      </c>
      <c r="X118" t="s">
        <v>2043</v>
      </c>
      <c r="Y118" t="s">
        <v>2430</v>
      </c>
      <c r="Z118" t="s">
        <v>2431</v>
      </c>
      <c r="AA118" t="s">
        <v>2432</v>
      </c>
      <c r="AB118" t="s">
        <v>2433</v>
      </c>
      <c r="AC118" t="s">
        <v>2434</v>
      </c>
      <c r="AD118" t="s">
        <v>2435</v>
      </c>
      <c r="AE118" t="s">
        <v>2436</v>
      </c>
      <c r="AF118" t="s">
        <v>74</v>
      </c>
      <c r="AG118">
        <v>49</v>
      </c>
      <c r="AH118">
        <v>23</v>
      </c>
      <c r="AI118">
        <v>24</v>
      </c>
      <c r="AJ118">
        <v>0</v>
      </c>
      <c r="AK118">
        <v>13</v>
      </c>
      <c r="AL118" t="s">
        <v>2397</v>
      </c>
      <c r="AM118" t="s">
        <v>2398</v>
      </c>
      <c r="AN118" t="s">
        <v>2399</v>
      </c>
      <c r="AO118" t="s">
        <v>2400</v>
      </c>
      <c r="AP118" t="s">
        <v>2401</v>
      </c>
      <c r="AQ118" t="s">
        <v>74</v>
      </c>
      <c r="AR118" t="s">
        <v>2402</v>
      </c>
      <c r="AS118" t="s">
        <v>2403</v>
      </c>
      <c r="AT118" t="s">
        <v>1026</v>
      </c>
      <c r="AU118">
        <v>2009</v>
      </c>
      <c r="AV118">
        <v>22</v>
      </c>
      <c r="AW118">
        <v>24</v>
      </c>
      <c r="AX118" t="s">
        <v>74</v>
      </c>
      <c r="AY118" t="s">
        <v>74</v>
      </c>
      <c r="AZ118" t="s">
        <v>74</v>
      </c>
      <c r="BA118" t="s">
        <v>74</v>
      </c>
      <c r="BB118">
        <v>6679</v>
      </c>
      <c r="BC118">
        <v>6698</v>
      </c>
      <c r="BD118" t="s">
        <v>74</v>
      </c>
      <c r="BE118" t="s">
        <v>2437</v>
      </c>
      <c r="BF118" t="str">
        <f>HYPERLINK("http://dx.doi.org/10.1175/2009JCLI2997.1","http://dx.doi.org/10.1175/2009JCLI2997.1")</f>
        <v>http://dx.doi.org/10.1175/2009JCLI2997.1</v>
      </c>
      <c r="BG118" t="s">
        <v>74</v>
      </c>
      <c r="BH118" t="s">
        <v>74</v>
      </c>
      <c r="BI118">
        <v>20</v>
      </c>
      <c r="BJ118" t="s">
        <v>413</v>
      </c>
      <c r="BK118" t="s">
        <v>98</v>
      </c>
      <c r="BL118" t="s">
        <v>413</v>
      </c>
      <c r="BM118" t="s">
        <v>2422</v>
      </c>
      <c r="BN118" t="s">
        <v>74</v>
      </c>
      <c r="BO118" t="s">
        <v>765</v>
      </c>
      <c r="BP118" t="s">
        <v>74</v>
      </c>
      <c r="BQ118" t="s">
        <v>74</v>
      </c>
      <c r="BR118" t="s">
        <v>101</v>
      </c>
      <c r="BS118" t="s">
        <v>2438</v>
      </c>
      <c r="BT118" t="str">
        <f>HYPERLINK("https%3A%2F%2Fwww.webofscience.com%2Fwos%2Fwoscc%2Ffull-record%2FWOS:000273359000011","View Full Record in Web of Science")</f>
        <v>View Full Record in Web of Science</v>
      </c>
    </row>
    <row r="119" spans="1:72" x14ac:dyDescent="0.15">
      <c r="A119" t="s">
        <v>72</v>
      </c>
      <c r="B119" t="s">
        <v>2439</v>
      </c>
      <c r="C119" t="s">
        <v>74</v>
      </c>
      <c r="D119" t="s">
        <v>74</v>
      </c>
      <c r="E119" t="s">
        <v>74</v>
      </c>
      <c r="F119" t="s">
        <v>2440</v>
      </c>
      <c r="G119" t="s">
        <v>74</v>
      </c>
      <c r="H119" t="s">
        <v>74</v>
      </c>
      <c r="I119" t="s">
        <v>2441</v>
      </c>
      <c r="J119" t="s">
        <v>2442</v>
      </c>
      <c r="K119" t="s">
        <v>74</v>
      </c>
      <c r="L119" t="s">
        <v>74</v>
      </c>
      <c r="M119" t="s">
        <v>78</v>
      </c>
      <c r="N119" t="s">
        <v>79</v>
      </c>
      <c r="O119" t="s">
        <v>74</v>
      </c>
      <c r="P119" t="s">
        <v>74</v>
      </c>
      <c r="Q119" t="s">
        <v>74</v>
      </c>
      <c r="R119" t="s">
        <v>74</v>
      </c>
      <c r="S119" t="s">
        <v>74</v>
      </c>
      <c r="T119" t="s">
        <v>2443</v>
      </c>
      <c r="U119" t="s">
        <v>2444</v>
      </c>
      <c r="V119" t="s">
        <v>2445</v>
      </c>
      <c r="W119" t="s">
        <v>2446</v>
      </c>
      <c r="X119" t="s">
        <v>2447</v>
      </c>
      <c r="Y119" t="s">
        <v>2448</v>
      </c>
      <c r="Z119" t="s">
        <v>2449</v>
      </c>
      <c r="AA119" t="s">
        <v>2450</v>
      </c>
      <c r="AB119" t="s">
        <v>2451</v>
      </c>
      <c r="AC119" t="s">
        <v>2452</v>
      </c>
      <c r="AD119" t="s">
        <v>2453</v>
      </c>
      <c r="AE119" t="s">
        <v>2454</v>
      </c>
      <c r="AF119" t="s">
        <v>74</v>
      </c>
      <c r="AG119">
        <v>23</v>
      </c>
      <c r="AH119">
        <v>23</v>
      </c>
      <c r="AI119">
        <v>28</v>
      </c>
      <c r="AJ119">
        <v>0</v>
      </c>
      <c r="AK119">
        <v>38</v>
      </c>
      <c r="AL119" t="s">
        <v>1184</v>
      </c>
      <c r="AM119" t="s">
        <v>1185</v>
      </c>
      <c r="AN119" t="s">
        <v>1186</v>
      </c>
      <c r="AO119" t="s">
        <v>2455</v>
      </c>
      <c r="AP119" t="s">
        <v>2456</v>
      </c>
      <c r="AQ119" t="s">
        <v>74</v>
      </c>
      <c r="AR119" t="s">
        <v>2457</v>
      </c>
      <c r="AS119" t="s">
        <v>2458</v>
      </c>
      <c r="AT119" t="s">
        <v>1026</v>
      </c>
      <c r="AU119">
        <v>2009</v>
      </c>
      <c r="AV119">
        <v>80</v>
      </c>
      <c r="AW119">
        <v>4</v>
      </c>
      <c r="AX119" t="s">
        <v>74</v>
      </c>
      <c r="AY119" t="s">
        <v>74</v>
      </c>
      <c r="AZ119" t="s">
        <v>74</v>
      </c>
      <c r="BA119" t="s">
        <v>74</v>
      </c>
      <c r="BB119">
        <v>399</v>
      </c>
      <c r="BC119">
        <v>407</v>
      </c>
      <c r="BD119" t="s">
        <v>74</v>
      </c>
      <c r="BE119" t="s">
        <v>2459</v>
      </c>
      <c r="BF119" t="str">
        <f>HYPERLINK("http://dx.doi.org/10.1111/j.1557-9263.2009.00247.x","http://dx.doi.org/10.1111/j.1557-9263.2009.00247.x")</f>
        <v>http://dx.doi.org/10.1111/j.1557-9263.2009.00247.x</v>
      </c>
      <c r="BG119" t="s">
        <v>74</v>
      </c>
      <c r="BH119" t="s">
        <v>74</v>
      </c>
      <c r="BI119">
        <v>9</v>
      </c>
      <c r="BJ119" t="s">
        <v>2460</v>
      </c>
      <c r="BK119" t="s">
        <v>98</v>
      </c>
      <c r="BL119" t="s">
        <v>207</v>
      </c>
      <c r="BM119" t="s">
        <v>2461</v>
      </c>
      <c r="BN119" t="s">
        <v>74</v>
      </c>
      <c r="BO119" t="s">
        <v>1119</v>
      </c>
      <c r="BP119" t="s">
        <v>74</v>
      </c>
      <c r="BQ119" t="s">
        <v>74</v>
      </c>
      <c r="BR119" t="s">
        <v>101</v>
      </c>
      <c r="BS119" t="s">
        <v>2462</v>
      </c>
      <c r="BT119" t="str">
        <f>HYPERLINK("https%3A%2F%2Fwww.webofscience.com%2Fwos%2Fwoscc%2Ffull-record%2FWOS:000272188100010","View Full Record in Web of Science")</f>
        <v>View Full Record in Web of Science</v>
      </c>
    </row>
    <row r="120" spans="1:72" x14ac:dyDescent="0.15">
      <c r="A120" t="s">
        <v>72</v>
      </c>
      <c r="B120" t="s">
        <v>2463</v>
      </c>
      <c r="C120" t="s">
        <v>74</v>
      </c>
      <c r="D120" t="s">
        <v>74</v>
      </c>
      <c r="E120" t="s">
        <v>74</v>
      </c>
      <c r="F120" t="s">
        <v>2464</v>
      </c>
      <c r="G120" t="s">
        <v>74</v>
      </c>
      <c r="H120" t="s">
        <v>74</v>
      </c>
      <c r="I120" t="s">
        <v>2465</v>
      </c>
      <c r="J120" t="s">
        <v>789</v>
      </c>
      <c r="K120" t="s">
        <v>74</v>
      </c>
      <c r="L120" t="s">
        <v>74</v>
      </c>
      <c r="M120" t="s">
        <v>78</v>
      </c>
      <c r="N120" t="s">
        <v>79</v>
      </c>
      <c r="O120" t="s">
        <v>74</v>
      </c>
      <c r="P120" t="s">
        <v>74</v>
      </c>
      <c r="Q120" t="s">
        <v>74</v>
      </c>
      <c r="R120" t="s">
        <v>74</v>
      </c>
      <c r="S120" t="s">
        <v>74</v>
      </c>
      <c r="T120" t="s">
        <v>74</v>
      </c>
      <c r="U120" t="s">
        <v>2466</v>
      </c>
      <c r="V120" t="s">
        <v>2467</v>
      </c>
      <c r="W120" t="s">
        <v>2468</v>
      </c>
      <c r="X120" t="s">
        <v>2469</v>
      </c>
      <c r="Y120" t="s">
        <v>2470</v>
      </c>
      <c r="Z120" t="s">
        <v>2471</v>
      </c>
      <c r="AA120" t="s">
        <v>2472</v>
      </c>
      <c r="AB120" t="s">
        <v>2473</v>
      </c>
      <c r="AC120" t="s">
        <v>2474</v>
      </c>
      <c r="AD120" t="s">
        <v>2475</v>
      </c>
      <c r="AE120" t="s">
        <v>2476</v>
      </c>
      <c r="AF120" t="s">
        <v>74</v>
      </c>
      <c r="AG120">
        <v>35</v>
      </c>
      <c r="AH120">
        <v>42</v>
      </c>
      <c r="AI120">
        <v>46</v>
      </c>
      <c r="AJ120">
        <v>0</v>
      </c>
      <c r="AK120">
        <v>19</v>
      </c>
      <c r="AL120" t="s">
        <v>226</v>
      </c>
      <c r="AM120" t="s">
        <v>227</v>
      </c>
      <c r="AN120" t="s">
        <v>228</v>
      </c>
      <c r="AO120" t="s">
        <v>800</v>
      </c>
      <c r="AP120" t="s">
        <v>801</v>
      </c>
      <c r="AQ120" t="s">
        <v>74</v>
      </c>
      <c r="AR120" t="s">
        <v>802</v>
      </c>
      <c r="AS120" t="s">
        <v>803</v>
      </c>
      <c r="AT120" t="s">
        <v>1431</v>
      </c>
      <c r="AU120">
        <v>2009</v>
      </c>
      <c r="AV120">
        <v>114</v>
      </c>
      <c r="AW120" t="s">
        <v>74</v>
      </c>
      <c r="AX120" t="s">
        <v>74</v>
      </c>
      <c r="AY120" t="s">
        <v>74</v>
      </c>
      <c r="AZ120" t="s">
        <v>74</v>
      </c>
      <c r="BA120" t="s">
        <v>74</v>
      </c>
      <c r="BB120" t="s">
        <v>74</v>
      </c>
      <c r="BC120" t="s">
        <v>74</v>
      </c>
      <c r="BD120" t="s">
        <v>2477</v>
      </c>
      <c r="BE120" t="s">
        <v>2478</v>
      </c>
      <c r="BF120" t="str">
        <f>HYPERLINK("http://dx.doi.org/10.1029/2008JC005258","http://dx.doi.org/10.1029/2008JC005258")</f>
        <v>http://dx.doi.org/10.1029/2008JC005258</v>
      </c>
      <c r="BG120" t="s">
        <v>74</v>
      </c>
      <c r="BH120" t="s">
        <v>74</v>
      </c>
      <c r="BI120">
        <v>16</v>
      </c>
      <c r="BJ120" t="s">
        <v>806</v>
      </c>
      <c r="BK120" t="s">
        <v>98</v>
      </c>
      <c r="BL120" t="s">
        <v>806</v>
      </c>
      <c r="BM120" t="s">
        <v>2479</v>
      </c>
      <c r="BN120" t="s">
        <v>74</v>
      </c>
      <c r="BO120" t="s">
        <v>263</v>
      </c>
      <c r="BP120" t="s">
        <v>74</v>
      </c>
      <c r="BQ120" t="s">
        <v>74</v>
      </c>
      <c r="BR120" t="s">
        <v>101</v>
      </c>
      <c r="BS120" t="s">
        <v>2480</v>
      </c>
      <c r="BT120" t="str">
        <f>HYPERLINK("https%3A%2F%2Fwww.webofscience.com%2Fwos%2Fwoscc%2Ffull-record%2FWOS:000272445700001","View Full Record in Web of Science")</f>
        <v>View Full Record in Web of Science</v>
      </c>
    </row>
    <row r="121" spans="1:72" x14ac:dyDescent="0.15">
      <c r="A121" t="s">
        <v>72</v>
      </c>
      <c r="B121" t="s">
        <v>2481</v>
      </c>
      <c r="C121" t="s">
        <v>74</v>
      </c>
      <c r="D121" t="s">
        <v>74</v>
      </c>
      <c r="E121" t="s">
        <v>74</v>
      </c>
      <c r="F121" t="s">
        <v>2482</v>
      </c>
      <c r="G121" t="s">
        <v>74</v>
      </c>
      <c r="H121" t="s">
        <v>74</v>
      </c>
      <c r="I121" t="s">
        <v>2483</v>
      </c>
      <c r="J121" t="s">
        <v>2484</v>
      </c>
      <c r="K121" t="s">
        <v>74</v>
      </c>
      <c r="L121" t="s">
        <v>74</v>
      </c>
      <c r="M121" t="s">
        <v>78</v>
      </c>
      <c r="N121" t="s">
        <v>52</v>
      </c>
      <c r="O121" t="s">
        <v>74</v>
      </c>
      <c r="P121" t="s">
        <v>74</v>
      </c>
      <c r="Q121" t="s">
        <v>74</v>
      </c>
      <c r="R121" t="s">
        <v>74</v>
      </c>
      <c r="S121" t="s">
        <v>74</v>
      </c>
      <c r="T121" t="s">
        <v>74</v>
      </c>
      <c r="U121" t="s">
        <v>74</v>
      </c>
      <c r="V121" t="s">
        <v>74</v>
      </c>
      <c r="W121" t="s">
        <v>2485</v>
      </c>
      <c r="X121" t="s">
        <v>2486</v>
      </c>
      <c r="Y121" t="s">
        <v>74</v>
      </c>
      <c r="Z121" t="s">
        <v>74</v>
      </c>
      <c r="AA121" t="s">
        <v>2487</v>
      </c>
      <c r="AB121" t="s">
        <v>2488</v>
      </c>
      <c r="AC121" t="s">
        <v>74</v>
      </c>
      <c r="AD121" t="s">
        <v>74</v>
      </c>
      <c r="AE121" t="s">
        <v>74</v>
      </c>
      <c r="AF121" t="s">
        <v>74</v>
      </c>
      <c r="AG121">
        <v>0</v>
      </c>
      <c r="AH121">
        <v>0</v>
      </c>
      <c r="AI121">
        <v>0</v>
      </c>
      <c r="AJ121">
        <v>0</v>
      </c>
      <c r="AK121">
        <v>7</v>
      </c>
      <c r="AL121" t="s">
        <v>2489</v>
      </c>
      <c r="AM121" t="s">
        <v>2490</v>
      </c>
      <c r="AN121" t="s">
        <v>2491</v>
      </c>
      <c r="AO121" t="s">
        <v>2492</v>
      </c>
      <c r="AP121" t="s">
        <v>74</v>
      </c>
      <c r="AQ121" t="s">
        <v>74</v>
      </c>
      <c r="AR121" t="s">
        <v>2493</v>
      </c>
      <c r="AS121" t="s">
        <v>2494</v>
      </c>
      <c r="AT121" t="s">
        <v>1026</v>
      </c>
      <c r="AU121">
        <v>2009</v>
      </c>
      <c r="AV121">
        <v>41</v>
      </c>
      <c r="AW121">
        <v>4</v>
      </c>
      <c r="AX121" t="s">
        <v>74</v>
      </c>
      <c r="AY121" t="s">
        <v>74</v>
      </c>
      <c r="AZ121" t="s">
        <v>74</v>
      </c>
      <c r="BA121" t="s">
        <v>74</v>
      </c>
      <c r="BB121">
        <v>378</v>
      </c>
      <c r="BC121">
        <v>379</v>
      </c>
      <c r="BD121" t="s">
        <v>74</v>
      </c>
      <c r="BE121" t="s">
        <v>74</v>
      </c>
      <c r="BF121" t="s">
        <v>74</v>
      </c>
      <c r="BG121" t="s">
        <v>74</v>
      </c>
      <c r="BH121" t="s">
        <v>74</v>
      </c>
      <c r="BI121">
        <v>2</v>
      </c>
      <c r="BJ121" t="s">
        <v>207</v>
      </c>
      <c r="BK121" t="s">
        <v>98</v>
      </c>
      <c r="BL121" t="s">
        <v>207</v>
      </c>
      <c r="BM121" t="s">
        <v>2495</v>
      </c>
      <c r="BN121" t="s">
        <v>74</v>
      </c>
      <c r="BO121" t="s">
        <v>74</v>
      </c>
      <c r="BP121" t="s">
        <v>74</v>
      </c>
      <c r="BQ121" t="s">
        <v>74</v>
      </c>
      <c r="BR121" t="s">
        <v>101</v>
      </c>
      <c r="BS121" t="s">
        <v>2496</v>
      </c>
      <c r="BT121" t="str">
        <f>HYPERLINK("https%3A%2F%2Fwww.webofscience.com%2Fwos%2Fwoscc%2Ffull-record%2FWOS:000281590300214","View Full Record in Web of Science")</f>
        <v>View Full Record in Web of Science</v>
      </c>
    </row>
    <row r="122" spans="1:72" x14ac:dyDescent="0.15">
      <c r="A122" t="s">
        <v>72</v>
      </c>
      <c r="B122" t="s">
        <v>2497</v>
      </c>
      <c r="C122" t="s">
        <v>74</v>
      </c>
      <c r="D122" t="s">
        <v>74</v>
      </c>
      <c r="E122" t="s">
        <v>74</v>
      </c>
      <c r="F122" t="s">
        <v>2498</v>
      </c>
      <c r="G122" t="s">
        <v>74</v>
      </c>
      <c r="H122" t="s">
        <v>74</v>
      </c>
      <c r="I122" t="s">
        <v>2499</v>
      </c>
      <c r="J122" t="s">
        <v>2484</v>
      </c>
      <c r="K122" t="s">
        <v>74</v>
      </c>
      <c r="L122" t="s">
        <v>74</v>
      </c>
      <c r="M122" t="s">
        <v>78</v>
      </c>
      <c r="N122" t="s">
        <v>52</v>
      </c>
      <c r="O122" t="s">
        <v>74</v>
      </c>
      <c r="P122" t="s">
        <v>74</v>
      </c>
      <c r="Q122" t="s">
        <v>74</v>
      </c>
      <c r="R122" t="s">
        <v>74</v>
      </c>
      <c r="S122" t="s">
        <v>74</v>
      </c>
      <c r="T122" t="s">
        <v>74</v>
      </c>
      <c r="U122" t="s">
        <v>74</v>
      </c>
      <c r="V122" t="s">
        <v>74</v>
      </c>
      <c r="W122" t="s">
        <v>2500</v>
      </c>
      <c r="X122" t="s">
        <v>2501</v>
      </c>
      <c r="Y122" t="s">
        <v>74</v>
      </c>
      <c r="Z122" t="s">
        <v>74</v>
      </c>
      <c r="AA122" t="s">
        <v>2502</v>
      </c>
      <c r="AB122" t="s">
        <v>2488</v>
      </c>
      <c r="AC122" t="s">
        <v>74</v>
      </c>
      <c r="AD122" t="s">
        <v>74</v>
      </c>
      <c r="AE122" t="s">
        <v>74</v>
      </c>
      <c r="AF122" t="s">
        <v>74</v>
      </c>
      <c r="AG122">
        <v>0</v>
      </c>
      <c r="AH122">
        <v>0</v>
      </c>
      <c r="AI122">
        <v>1</v>
      </c>
      <c r="AJ122">
        <v>0</v>
      </c>
      <c r="AK122">
        <v>10</v>
      </c>
      <c r="AL122" t="s">
        <v>2489</v>
      </c>
      <c r="AM122" t="s">
        <v>2490</v>
      </c>
      <c r="AN122" t="s">
        <v>2491</v>
      </c>
      <c r="AO122" t="s">
        <v>2492</v>
      </c>
      <c r="AP122" t="s">
        <v>74</v>
      </c>
      <c r="AQ122" t="s">
        <v>74</v>
      </c>
      <c r="AR122" t="s">
        <v>2493</v>
      </c>
      <c r="AS122" t="s">
        <v>2494</v>
      </c>
      <c r="AT122" t="s">
        <v>1026</v>
      </c>
      <c r="AU122">
        <v>2009</v>
      </c>
      <c r="AV122">
        <v>41</v>
      </c>
      <c r="AW122">
        <v>4</v>
      </c>
      <c r="AX122" t="s">
        <v>74</v>
      </c>
      <c r="AY122" t="s">
        <v>74</v>
      </c>
      <c r="AZ122" t="s">
        <v>74</v>
      </c>
      <c r="BA122" t="s">
        <v>74</v>
      </c>
      <c r="BB122">
        <v>388</v>
      </c>
      <c r="BC122">
        <v>389</v>
      </c>
      <c r="BD122" t="s">
        <v>74</v>
      </c>
      <c r="BE122" t="s">
        <v>74</v>
      </c>
      <c r="BF122" t="s">
        <v>74</v>
      </c>
      <c r="BG122" t="s">
        <v>74</v>
      </c>
      <c r="BH122" t="s">
        <v>74</v>
      </c>
      <c r="BI122">
        <v>2</v>
      </c>
      <c r="BJ122" t="s">
        <v>207</v>
      </c>
      <c r="BK122" t="s">
        <v>98</v>
      </c>
      <c r="BL122" t="s">
        <v>207</v>
      </c>
      <c r="BM122" t="s">
        <v>2495</v>
      </c>
      <c r="BN122" t="s">
        <v>74</v>
      </c>
      <c r="BO122" t="s">
        <v>74</v>
      </c>
      <c r="BP122" t="s">
        <v>74</v>
      </c>
      <c r="BQ122" t="s">
        <v>74</v>
      </c>
      <c r="BR122" t="s">
        <v>101</v>
      </c>
      <c r="BS122" t="s">
        <v>2503</v>
      </c>
      <c r="BT122" t="str">
        <f>HYPERLINK("https%3A%2F%2Fwww.webofscience.com%2Fwos%2Fwoscc%2Ffull-record%2FWOS:000281590300238","View Full Record in Web of Science")</f>
        <v>View Full Record in Web of Science</v>
      </c>
    </row>
    <row r="123" spans="1:72" x14ac:dyDescent="0.15">
      <c r="A123" t="s">
        <v>72</v>
      </c>
      <c r="B123" t="s">
        <v>2504</v>
      </c>
      <c r="C123" t="s">
        <v>74</v>
      </c>
      <c r="D123" t="s">
        <v>74</v>
      </c>
      <c r="E123" t="s">
        <v>74</v>
      </c>
      <c r="F123" t="s">
        <v>2505</v>
      </c>
      <c r="G123" t="s">
        <v>74</v>
      </c>
      <c r="H123" t="s">
        <v>74</v>
      </c>
      <c r="I123" t="s">
        <v>2506</v>
      </c>
      <c r="J123" t="s">
        <v>2507</v>
      </c>
      <c r="K123" t="s">
        <v>74</v>
      </c>
      <c r="L123" t="s">
        <v>74</v>
      </c>
      <c r="M123" t="s">
        <v>78</v>
      </c>
      <c r="N123" t="s">
        <v>79</v>
      </c>
      <c r="O123" t="s">
        <v>74</v>
      </c>
      <c r="P123" t="s">
        <v>74</v>
      </c>
      <c r="Q123" t="s">
        <v>74</v>
      </c>
      <c r="R123" t="s">
        <v>74</v>
      </c>
      <c r="S123" t="s">
        <v>74</v>
      </c>
      <c r="T123" t="s">
        <v>74</v>
      </c>
      <c r="U123" t="s">
        <v>2508</v>
      </c>
      <c r="V123" t="s">
        <v>2509</v>
      </c>
      <c r="W123" t="s">
        <v>2510</v>
      </c>
      <c r="X123" t="s">
        <v>2511</v>
      </c>
      <c r="Y123" t="s">
        <v>2512</v>
      </c>
      <c r="Z123" t="s">
        <v>2513</v>
      </c>
      <c r="AA123" t="s">
        <v>2514</v>
      </c>
      <c r="AB123" t="s">
        <v>2515</v>
      </c>
      <c r="AC123" t="s">
        <v>74</v>
      </c>
      <c r="AD123" t="s">
        <v>74</v>
      </c>
      <c r="AE123" t="s">
        <v>74</v>
      </c>
      <c r="AF123" t="s">
        <v>74</v>
      </c>
      <c r="AG123">
        <v>9</v>
      </c>
      <c r="AH123">
        <v>9</v>
      </c>
      <c r="AI123">
        <v>13</v>
      </c>
      <c r="AJ123">
        <v>0</v>
      </c>
      <c r="AK123">
        <v>10</v>
      </c>
      <c r="AL123" t="s">
        <v>2516</v>
      </c>
      <c r="AM123" t="s">
        <v>2517</v>
      </c>
      <c r="AN123" t="s">
        <v>2518</v>
      </c>
      <c r="AO123" t="s">
        <v>2519</v>
      </c>
      <c r="AP123" t="s">
        <v>2520</v>
      </c>
      <c r="AQ123" t="s">
        <v>74</v>
      </c>
      <c r="AR123" t="s">
        <v>2521</v>
      </c>
      <c r="AS123" t="s">
        <v>2522</v>
      </c>
      <c r="AT123" t="s">
        <v>1026</v>
      </c>
      <c r="AU123">
        <v>2009</v>
      </c>
      <c r="AV123">
        <v>95</v>
      </c>
      <c r="AW123">
        <v>6</v>
      </c>
      <c r="AX123" t="s">
        <v>74</v>
      </c>
      <c r="AY123" t="s">
        <v>74</v>
      </c>
      <c r="AZ123" t="s">
        <v>74</v>
      </c>
      <c r="BA123" t="s">
        <v>74</v>
      </c>
      <c r="BB123">
        <v>1489</v>
      </c>
      <c r="BC123">
        <v>1492</v>
      </c>
      <c r="BD123" t="s">
        <v>74</v>
      </c>
      <c r="BE123" t="s">
        <v>2523</v>
      </c>
      <c r="BF123" t="str">
        <f>HYPERLINK("http://dx.doi.org/10.1645/GE-2160.1","http://dx.doi.org/10.1645/GE-2160.1")</f>
        <v>http://dx.doi.org/10.1645/GE-2160.1</v>
      </c>
      <c r="BG123" t="s">
        <v>74</v>
      </c>
      <c r="BH123" t="s">
        <v>74</v>
      </c>
      <c r="BI123">
        <v>4</v>
      </c>
      <c r="BJ123" t="s">
        <v>2524</v>
      </c>
      <c r="BK123" t="s">
        <v>98</v>
      </c>
      <c r="BL123" t="s">
        <v>2524</v>
      </c>
      <c r="BM123" t="s">
        <v>2525</v>
      </c>
      <c r="BN123">
        <v>19604027</v>
      </c>
      <c r="BO123" t="s">
        <v>74</v>
      </c>
      <c r="BP123" t="s">
        <v>74</v>
      </c>
      <c r="BQ123" t="s">
        <v>74</v>
      </c>
      <c r="BR123" t="s">
        <v>101</v>
      </c>
      <c r="BS123" t="s">
        <v>2526</v>
      </c>
      <c r="BT123" t="str">
        <f>HYPERLINK("https%3A%2F%2Fwww.webofscience.com%2Fwos%2Fwoscc%2Ffull-record%2FWOS:000274068400035","View Full Record in Web of Science")</f>
        <v>View Full Record in Web of Science</v>
      </c>
    </row>
    <row r="124" spans="1:72" x14ac:dyDescent="0.15">
      <c r="A124" t="s">
        <v>72</v>
      </c>
      <c r="B124" t="s">
        <v>2527</v>
      </c>
      <c r="C124" t="s">
        <v>74</v>
      </c>
      <c r="D124" t="s">
        <v>74</v>
      </c>
      <c r="E124" t="s">
        <v>74</v>
      </c>
      <c r="F124" t="s">
        <v>2528</v>
      </c>
      <c r="G124" t="s">
        <v>74</v>
      </c>
      <c r="H124" t="s">
        <v>74</v>
      </c>
      <c r="I124" t="s">
        <v>2529</v>
      </c>
      <c r="J124" t="s">
        <v>2530</v>
      </c>
      <c r="K124" t="s">
        <v>74</v>
      </c>
      <c r="L124" t="s">
        <v>74</v>
      </c>
      <c r="M124" t="s">
        <v>78</v>
      </c>
      <c r="N124" t="s">
        <v>79</v>
      </c>
      <c r="O124" t="s">
        <v>74</v>
      </c>
      <c r="P124" t="s">
        <v>74</v>
      </c>
      <c r="Q124" t="s">
        <v>74</v>
      </c>
      <c r="R124" t="s">
        <v>74</v>
      </c>
      <c r="S124" t="s">
        <v>74</v>
      </c>
      <c r="T124" t="s">
        <v>2531</v>
      </c>
      <c r="U124" t="s">
        <v>2532</v>
      </c>
      <c r="V124" t="s">
        <v>2533</v>
      </c>
      <c r="W124" t="s">
        <v>2534</v>
      </c>
      <c r="X124" t="s">
        <v>2535</v>
      </c>
      <c r="Y124" t="s">
        <v>2536</v>
      </c>
      <c r="Z124" t="s">
        <v>2537</v>
      </c>
      <c r="AA124" t="s">
        <v>2538</v>
      </c>
      <c r="AB124" t="s">
        <v>2539</v>
      </c>
      <c r="AC124" t="s">
        <v>2540</v>
      </c>
      <c r="AD124" t="s">
        <v>2541</v>
      </c>
      <c r="AE124" t="s">
        <v>2542</v>
      </c>
      <c r="AF124" t="s">
        <v>74</v>
      </c>
      <c r="AG124">
        <v>33</v>
      </c>
      <c r="AH124">
        <v>16</v>
      </c>
      <c r="AI124">
        <v>16</v>
      </c>
      <c r="AJ124">
        <v>0</v>
      </c>
      <c r="AK124">
        <v>13</v>
      </c>
      <c r="AL124" t="s">
        <v>1184</v>
      </c>
      <c r="AM124" t="s">
        <v>1185</v>
      </c>
      <c r="AN124" t="s">
        <v>1186</v>
      </c>
      <c r="AO124" t="s">
        <v>2543</v>
      </c>
      <c r="AP124" t="s">
        <v>2544</v>
      </c>
      <c r="AQ124" t="s">
        <v>74</v>
      </c>
      <c r="AR124" t="s">
        <v>2545</v>
      </c>
      <c r="AS124" t="s">
        <v>2546</v>
      </c>
      <c r="AT124" t="s">
        <v>1026</v>
      </c>
      <c r="AU124">
        <v>2009</v>
      </c>
      <c r="AV124">
        <v>45</v>
      </c>
      <c r="AW124">
        <v>6</v>
      </c>
      <c r="AX124" t="s">
        <v>74</v>
      </c>
      <c r="AY124" t="s">
        <v>74</v>
      </c>
      <c r="AZ124" t="s">
        <v>74</v>
      </c>
      <c r="BA124" t="s">
        <v>74</v>
      </c>
      <c r="BB124">
        <v>1290</v>
      </c>
      <c r="BC124">
        <v>1298</v>
      </c>
      <c r="BD124" t="s">
        <v>74</v>
      </c>
      <c r="BE124" t="s">
        <v>2547</v>
      </c>
      <c r="BF124" t="str">
        <f>HYPERLINK("http://dx.doi.org/10.1111/j.1529-8817.2009.00764.x","http://dx.doi.org/10.1111/j.1529-8817.2009.00764.x")</f>
        <v>http://dx.doi.org/10.1111/j.1529-8817.2009.00764.x</v>
      </c>
      <c r="BG124" t="s">
        <v>74</v>
      </c>
      <c r="BH124" t="s">
        <v>74</v>
      </c>
      <c r="BI124">
        <v>9</v>
      </c>
      <c r="BJ124" t="s">
        <v>1586</v>
      </c>
      <c r="BK124" t="s">
        <v>98</v>
      </c>
      <c r="BL124" t="s">
        <v>1586</v>
      </c>
      <c r="BM124" t="s">
        <v>2548</v>
      </c>
      <c r="BN124">
        <v>27032585</v>
      </c>
      <c r="BO124" t="s">
        <v>263</v>
      </c>
      <c r="BP124" t="s">
        <v>74</v>
      </c>
      <c r="BQ124" t="s">
        <v>74</v>
      </c>
      <c r="BR124" t="s">
        <v>101</v>
      </c>
      <c r="BS124" t="s">
        <v>2549</v>
      </c>
      <c r="BT124" t="str">
        <f>HYPERLINK("https%3A%2F%2Fwww.webofscience.com%2Fwos%2Fwoscc%2Ffull-record%2FWOS:000272837600007","View Full Record in Web of Science")</f>
        <v>View Full Record in Web of Science</v>
      </c>
    </row>
    <row r="125" spans="1:72" x14ac:dyDescent="0.15">
      <c r="A125" t="s">
        <v>72</v>
      </c>
      <c r="B125" t="s">
        <v>2550</v>
      </c>
      <c r="C125" t="s">
        <v>74</v>
      </c>
      <c r="D125" t="s">
        <v>74</v>
      </c>
      <c r="E125" t="s">
        <v>74</v>
      </c>
      <c r="F125" t="s">
        <v>2551</v>
      </c>
      <c r="G125" t="s">
        <v>74</v>
      </c>
      <c r="H125" t="s">
        <v>74</v>
      </c>
      <c r="I125" t="s">
        <v>2552</v>
      </c>
      <c r="J125" t="s">
        <v>2553</v>
      </c>
      <c r="K125" t="s">
        <v>74</v>
      </c>
      <c r="L125" t="s">
        <v>74</v>
      </c>
      <c r="M125" t="s">
        <v>78</v>
      </c>
      <c r="N125" t="s">
        <v>79</v>
      </c>
      <c r="O125" t="s">
        <v>74</v>
      </c>
      <c r="P125" t="s">
        <v>74</v>
      </c>
      <c r="Q125" t="s">
        <v>74</v>
      </c>
      <c r="R125" t="s">
        <v>74</v>
      </c>
      <c r="S125" t="s">
        <v>74</v>
      </c>
      <c r="T125" t="s">
        <v>74</v>
      </c>
      <c r="U125" t="s">
        <v>2554</v>
      </c>
      <c r="V125" t="s">
        <v>2555</v>
      </c>
      <c r="W125" t="s">
        <v>2556</v>
      </c>
      <c r="X125" t="s">
        <v>2557</v>
      </c>
      <c r="Y125" t="s">
        <v>2558</v>
      </c>
      <c r="Z125" t="s">
        <v>2559</v>
      </c>
      <c r="AA125" t="s">
        <v>2560</v>
      </c>
      <c r="AB125" t="s">
        <v>2561</v>
      </c>
      <c r="AC125" t="s">
        <v>2562</v>
      </c>
      <c r="AD125" t="s">
        <v>2563</v>
      </c>
      <c r="AE125" t="s">
        <v>2564</v>
      </c>
      <c r="AF125" t="s">
        <v>74</v>
      </c>
      <c r="AG125">
        <v>51</v>
      </c>
      <c r="AH125">
        <v>79</v>
      </c>
      <c r="AI125">
        <v>81</v>
      </c>
      <c r="AJ125">
        <v>0</v>
      </c>
      <c r="AK125">
        <v>14</v>
      </c>
      <c r="AL125" t="s">
        <v>2397</v>
      </c>
      <c r="AM125" t="s">
        <v>2398</v>
      </c>
      <c r="AN125" t="s">
        <v>2399</v>
      </c>
      <c r="AO125" t="s">
        <v>2565</v>
      </c>
      <c r="AP125" t="s">
        <v>2566</v>
      </c>
      <c r="AQ125" t="s">
        <v>74</v>
      </c>
      <c r="AR125" t="s">
        <v>2567</v>
      </c>
      <c r="AS125" t="s">
        <v>2568</v>
      </c>
      <c r="AT125" t="s">
        <v>1026</v>
      </c>
      <c r="AU125">
        <v>2009</v>
      </c>
      <c r="AV125">
        <v>39</v>
      </c>
      <c r="AW125">
        <v>12</v>
      </c>
      <c r="AX125" t="s">
        <v>74</v>
      </c>
      <c r="AY125" t="s">
        <v>74</v>
      </c>
      <c r="AZ125" t="s">
        <v>74</v>
      </c>
      <c r="BA125" t="s">
        <v>74</v>
      </c>
      <c r="BB125">
        <v>3091</v>
      </c>
      <c r="BC125">
        <v>3110</v>
      </c>
      <c r="BD125" t="s">
        <v>74</v>
      </c>
      <c r="BE125" t="s">
        <v>2569</v>
      </c>
      <c r="BF125" t="str">
        <f>HYPERLINK("http://dx.doi.org/10.1175/2009JPO4185.1","http://dx.doi.org/10.1175/2009JPO4185.1")</f>
        <v>http://dx.doi.org/10.1175/2009JPO4185.1</v>
      </c>
      <c r="BG125" t="s">
        <v>74</v>
      </c>
      <c r="BH125" t="s">
        <v>74</v>
      </c>
      <c r="BI125">
        <v>20</v>
      </c>
      <c r="BJ125" t="s">
        <v>806</v>
      </c>
      <c r="BK125" t="s">
        <v>98</v>
      </c>
      <c r="BL125" t="s">
        <v>806</v>
      </c>
      <c r="BM125" t="s">
        <v>2570</v>
      </c>
      <c r="BN125" t="s">
        <v>74</v>
      </c>
      <c r="BO125" t="s">
        <v>2571</v>
      </c>
      <c r="BP125" t="s">
        <v>74</v>
      </c>
      <c r="BQ125" t="s">
        <v>74</v>
      </c>
      <c r="BR125" t="s">
        <v>101</v>
      </c>
      <c r="BS125" t="s">
        <v>2572</v>
      </c>
      <c r="BT125" t="str">
        <f>HYPERLINK("https%3A%2F%2Fwww.webofscience.com%2Fwos%2Fwoscc%2Ffull-record%2FWOS:000272624800003","View Full Record in Web of Science")</f>
        <v>View Full Record in Web of Science</v>
      </c>
    </row>
    <row r="126" spans="1:72" x14ac:dyDescent="0.15">
      <c r="A126" t="s">
        <v>72</v>
      </c>
      <c r="B126" t="s">
        <v>2573</v>
      </c>
      <c r="C126" t="s">
        <v>74</v>
      </c>
      <c r="D126" t="s">
        <v>74</v>
      </c>
      <c r="E126" t="s">
        <v>74</v>
      </c>
      <c r="F126" t="s">
        <v>2574</v>
      </c>
      <c r="G126" t="s">
        <v>74</v>
      </c>
      <c r="H126" t="s">
        <v>74</v>
      </c>
      <c r="I126" t="s">
        <v>2575</v>
      </c>
      <c r="J126" t="s">
        <v>2576</v>
      </c>
      <c r="K126" t="s">
        <v>74</v>
      </c>
      <c r="L126" t="s">
        <v>74</v>
      </c>
      <c r="M126" t="s">
        <v>78</v>
      </c>
      <c r="N126" t="s">
        <v>79</v>
      </c>
      <c r="O126" t="s">
        <v>74</v>
      </c>
      <c r="P126" t="s">
        <v>74</v>
      </c>
      <c r="Q126" t="s">
        <v>74</v>
      </c>
      <c r="R126" t="s">
        <v>74</v>
      </c>
      <c r="S126" t="s">
        <v>74</v>
      </c>
      <c r="T126" t="s">
        <v>2577</v>
      </c>
      <c r="U126" t="s">
        <v>2578</v>
      </c>
      <c r="V126" t="s">
        <v>2579</v>
      </c>
      <c r="W126" t="s">
        <v>2580</v>
      </c>
      <c r="X126" t="s">
        <v>2581</v>
      </c>
      <c r="Y126" t="s">
        <v>2582</v>
      </c>
      <c r="Z126" t="s">
        <v>2583</v>
      </c>
      <c r="AA126" t="s">
        <v>74</v>
      </c>
      <c r="AB126" t="s">
        <v>2584</v>
      </c>
      <c r="AC126" t="s">
        <v>2585</v>
      </c>
      <c r="AD126" t="s">
        <v>2586</v>
      </c>
      <c r="AE126" t="s">
        <v>2587</v>
      </c>
      <c r="AF126" t="s">
        <v>74</v>
      </c>
      <c r="AG126">
        <v>59</v>
      </c>
      <c r="AH126">
        <v>11</v>
      </c>
      <c r="AI126">
        <v>12</v>
      </c>
      <c r="AJ126">
        <v>3</v>
      </c>
      <c r="AK126">
        <v>26</v>
      </c>
      <c r="AL126" t="s">
        <v>2588</v>
      </c>
      <c r="AM126" t="s">
        <v>2589</v>
      </c>
      <c r="AN126" t="s">
        <v>2590</v>
      </c>
      <c r="AO126" t="s">
        <v>2591</v>
      </c>
      <c r="AP126" t="s">
        <v>74</v>
      </c>
      <c r="AQ126" t="s">
        <v>74</v>
      </c>
      <c r="AR126" t="s">
        <v>2592</v>
      </c>
      <c r="AS126" t="s">
        <v>2593</v>
      </c>
      <c r="AT126" t="s">
        <v>1026</v>
      </c>
      <c r="AU126">
        <v>2009</v>
      </c>
      <c r="AV126">
        <v>9</v>
      </c>
      <c r="AW126">
        <v>6</v>
      </c>
      <c r="AX126" t="s">
        <v>74</v>
      </c>
      <c r="AY126" t="s">
        <v>74</v>
      </c>
      <c r="AZ126" t="s">
        <v>74</v>
      </c>
      <c r="BA126" t="s">
        <v>74</v>
      </c>
      <c r="BB126">
        <v>594</v>
      </c>
      <c r="BC126">
        <v>603</v>
      </c>
      <c r="BD126" t="s">
        <v>74</v>
      </c>
      <c r="BE126" t="s">
        <v>2594</v>
      </c>
      <c r="BF126" t="str">
        <f>HYPERLINK("http://dx.doi.org/10.1007/s11368-009-0147-0","http://dx.doi.org/10.1007/s11368-009-0147-0")</f>
        <v>http://dx.doi.org/10.1007/s11368-009-0147-0</v>
      </c>
      <c r="BG126" t="s">
        <v>74</v>
      </c>
      <c r="BH126" t="s">
        <v>74</v>
      </c>
      <c r="BI126">
        <v>10</v>
      </c>
      <c r="BJ126" t="s">
        <v>2595</v>
      </c>
      <c r="BK126" t="s">
        <v>98</v>
      </c>
      <c r="BL126" t="s">
        <v>2596</v>
      </c>
      <c r="BM126" t="s">
        <v>2597</v>
      </c>
      <c r="BN126" t="s">
        <v>74</v>
      </c>
      <c r="BO126" t="s">
        <v>74</v>
      </c>
      <c r="BP126" t="s">
        <v>74</v>
      </c>
      <c r="BQ126" t="s">
        <v>74</v>
      </c>
      <c r="BR126" t="s">
        <v>101</v>
      </c>
      <c r="BS126" t="s">
        <v>2598</v>
      </c>
      <c r="BT126" t="str">
        <f>HYPERLINK("https%3A%2F%2Fwww.webofscience.com%2Fwos%2Fwoscc%2Ffull-record%2FWOS:000271643900009","View Full Record in Web of Science")</f>
        <v>View Full Record in Web of Science</v>
      </c>
    </row>
    <row r="127" spans="1:72" x14ac:dyDescent="0.15">
      <c r="A127" t="s">
        <v>72</v>
      </c>
      <c r="B127" t="s">
        <v>2599</v>
      </c>
      <c r="C127" t="s">
        <v>74</v>
      </c>
      <c r="D127" t="s">
        <v>74</v>
      </c>
      <c r="E127" t="s">
        <v>74</v>
      </c>
      <c r="F127" t="s">
        <v>2600</v>
      </c>
      <c r="G127" t="s">
        <v>74</v>
      </c>
      <c r="H127" t="s">
        <v>74</v>
      </c>
      <c r="I127" t="s">
        <v>2601</v>
      </c>
      <c r="J127" t="s">
        <v>2602</v>
      </c>
      <c r="K127" t="s">
        <v>74</v>
      </c>
      <c r="L127" t="s">
        <v>74</v>
      </c>
      <c r="M127" t="s">
        <v>78</v>
      </c>
      <c r="N127" t="s">
        <v>297</v>
      </c>
      <c r="O127" t="s">
        <v>74</v>
      </c>
      <c r="P127" t="s">
        <v>74</v>
      </c>
      <c r="Q127" t="s">
        <v>74</v>
      </c>
      <c r="R127" t="s">
        <v>74</v>
      </c>
      <c r="S127" t="s">
        <v>74</v>
      </c>
      <c r="T127" t="s">
        <v>2603</v>
      </c>
      <c r="U127" t="s">
        <v>2604</v>
      </c>
      <c r="V127" t="s">
        <v>2605</v>
      </c>
      <c r="W127" t="s">
        <v>2606</v>
      </c>
      <c r="X127" t="s">
        <v>2607</v>
      </c>
      <c r="Y127" t="s">
        <v>2608</v>
      </c>
      <c r="Z127" t="s">
        <v>2609</v>
      </c>
      <c r="AA127" t="s">
        <v>2610</v>
      </c>
      <c r="AB127" t="s">
        <v>2611</v>
      </c>
      <c r="AC127" t="s">
        <v>2612</v>
      </c>
      <c r="AD127" t="s">
        <v>2613</v>
      </c>
      <c r="AE127" t="s">
        <v>74</v>
      </c>
      <c r="AF127" t="s">
        <v>74</v>
      </c>
      <c r="AG127">
        <v>160</v>
      </c>
      <c r="AH127">
        <v>19</v>
      </c>
      <c r="AI127">
        <v>20</v>
      </c>
      <c r="AJ127">
        <v>0</v>
      </c>
      <c r="AK127">
        <v>12</v>
      </c>
      <c r="AL127" t="s">
        <v>2614</v>
      </c>
      <c r="AM127" t="s">
        <v>2615</v>
      </c>
      <c r="AN127" t="s">
        <v>2616</v>
      </c>
      <c r="AO127" t="s">
        <v>2617</v>
      </c>
      <c r="AP127" t="s">
        <v>2618</v>
      </c>
      <c r="AQ127" t="s">
        <v>74</v>
      </c>
      <c r="AR127" t="s">
        <v>2619</v>
      </c>
      <c r="AS127" t="s">
        <v>2620</v>
      </c>
      <c r="AT127" t="s">
        <v>1026</v>
      </c>
      <c r="AU127">
        <v>2009</v>
      </c>
      <c r="AV127">
        <v>7</v>
      </c>
      <c r="AW127">
        <v>4</v>
      </c>
      <c r="AX127" t="s">
        <v>74</v>
      </c>
      <c r="AY127" t="s">
        <v>74</v>
      </c>
      <c r="AZ127" t="s">
        <v>74</v>
      </c>
      <c r="BA127" t="s">
        <v>74</v>
      </c>
      <c r="BB127">
        <v>359</v>
      </c>
      <c r="BC127">
        <v>411</v>
      </c>
      <c r="BD127" t="s">
        <v>74</v>
      </c>
      <c r="BE127" t="s">
        <v>2621</v>
      </c>
      <c r="BF127" t="str">
        <f>HYPERLINK("http://dx.doi.org/10.1017/S1477201909990010","http://dx.doi.org/10.1017/S1477201909990010")</f>
        <v>http://dx.doi.org/10.1017/S1477201909990010</v>
      </c>
      <c r="BG127" t="s">
        <v>74</v>
      </c>
      <c r="BH127" t="s">
        <v>74</v>
      </c>
      <c r="BI127">
        <v>53</v>
      </c>
      <c r="BJ127" t="s">
        <v>2622</v>
      </c>
      <c r="BK127" t="s">
        <v>98</v>
      </c>
      <c r="BL127" t="s">
        <v>2622</v>
      </c>
      <c r="BM127" t="s">
        <v>2623</v>
      </c>
      <c r="BN127" t="s">
        <v>74</v>
      </c>
      <c r="BO127" t="s">
        <v>74</v>
      </c>
      <c r="BP127" t="s">
        <v>74</v>
      </c>
      <c r="BQ127" t="s">
        <v>74</v>
      </c>
      <c r="BR127" t="s">
        <v>101</v>
      </c>
      <c r="BS127" t="s">
        <v>2624</v>
      </c>
      <c r="BT127" t="str">
        <f>HYPERLINK("https%3A%2F%2Fwww.webofscience.com%2Fwos%2Fwoscc%2Ffull-record%2FWOS:000272563100001","View Full Record in Web of Science")</f>
        <v>View Full Record in Web of Science</v>
      </c>
    </row>
    <row r="128" spans="1:72" x14ac:dyDescent="0.15">
      <c r="A128" t="s">
        <v>72</v>
      </c>
      <c r="B128" t="s">
        <v>2625</v>
      </c>
      <c r="C128" t="s">
        <v>74</v>
      </c>
      <c r="D128" t="s">
        <v>74</v>
      </c>
      <c r="E128" t="s">
        <v>74</v>
      </c>
      <c r="F128" t="s">
        <v>2626</v>
      </c>
      <c r="G128" t="s">
        <v>74</v>
      </c>
      <c r="H128" t="s">
        <v>74</v>
      </c>
      <c r="I128" t="s">
        <v>2627</v>
      </c>
      <c r="J128" t="s">
        <v>2628</v>
      </c>
      <c r="K128" t="s">
        <v>74</v>
      </c>
      <c r="L128" t="s">
        <v>74</v>
      </c>
      <c r="M128" t="s">
        <v>78</v>
      </c>
      <c r="N128" t="s">
        <v>79</v>
      </c>
      <c r="O128" t="s">
        <v>74</v>
      </c>
      <c r="P128" t="s">
        <v>74</v>
      </c>
      <c r="Q128" t="s">
        <v>74</v>
      </c>
      <c r="R128" t="s">
        <v>74</v>
      </c>
      <c r="S128" t="s">
        <v>74</v>
      </c>
      <c r="T128" t="s">
        <v>74</v>
      </c>
      <c r="U128" t="s">
        <v>2629</v>
      </c>
      <c r="V128" t="s">
        <v>2630</v>
      </c>
      <c r="W128" t="s">
        <v>2631</v>
      </c>
      <c r="X128" t="s">
        <v>2632</v>
      </c>
      <c r="Y128" t="s">
        <v>2633</v>
      </c>
      <c r="Z128" t="s">
        <v>2634</v>
      </c>
      <c r="AA128" t="s">
        <v>2635</v>
      </c>
      <c r="AB128" t="s">
        <v>2636</v>
      </c>
      <c r="AC128" t="s">
        <v>2637</v>
      </c>
      <c r="AD128" t="s">
        <v>573</v>
      </c>
      <c r="AE128" t="s">
        <v>74</v>
      </c>
      <c r="AF128" t="s">
        <v>74</v>
      </c>
      <c r="AG128">
        <v>45</v>
      </c>
      <c r="AH128">
        <v>24</v>
      </c>
      <c r="AI128">
        <v>24</v>
      </c>
      <c r="AJ128">
        <v>0</v>
      </c>
      <c r="AK128">
        <v>10</v>
      </c>
      <c r="AL128" t="s">
        <v>2397</v>
      </c>
      <c r="AM128" t="s">
        <v>2398</v>
      </c>
      <c r="AN128" t="s">
        <v>2399</v>
      </c>
      <c r="AO128" t="s">
        <v>2638</v>
      </c>
      <c r="AP128" t="s">
        <v>2639</v>
      </c>
      <c r="AQ128" t="s">
        <v>74</v>
      </c>
      <c r="AR128" t="s">
        <v>2640</v>
      </c>
      <c r="AS128" t="s">
        <v>2641</v>
      </c>
      <c r="AT128" t="s">
        <v>1026</v>
      </c>
      <c r="AU128">
        <v>2009</v>
      </c>
      <c r="AV128">
        <v>66</v>
      </c>
      <c r="AW128">
        <v>12</v>
      </c>
      <c r="AX128" t="s">
        <v>74</v>
      </c>
      <c r="AY128" t="s">
        <v>74</v>
      </c>
      <c r="AZ128" t="s">
        <v>74</v>
      </c>
      <c r="BA128" t="s">
        <v>74</v>
      </c>
      <c r="BB128">
        <v>3678</v>
      </c>
      <c r="BC128">
        <v>3694</v>
      </c>
      <c r="BD128" t="s">
        <v>74</v>
      </c>
      <c r="BE128" t="s">
        <v>2642</v>
      </c>
      <c r="BF128" t="str">
        <f>HYPERLINK("http://dx.doi.org/10.1175/2009JAS2982.1","http://dx.doi.org/10.1175/2009JAS2982.1")</f>
        <v>http://dx.doi.org/10.1175/2009JAS2982.1</v>
      </c>
      <c r="BG128" t="s">
        <v>74</v>
      </c>
      <c r="BH128" t="s">
        <v>74</v>
      </c>
      <c r="BI128">
        <v>17</v>
      </c>
      <c r="BJ128" t="s">
        <v>413</v>
      </c>
      <c r="BK128" t="s">
        <v>98</v>
      </c>
      <c r="BL128" t="s">
        <v>413</v>
      </c>
      <c r="BM128" t="s">
        <v>2643</v>
      </c>
      <c r="BN128" t="s">
        <v>74</v>
      </c>
      <c r="BO128" t="s">
        <v>2644</v>
      </c>
      <c r="BP128" t="s">
        <v>74</v>
      </c>
      <c r="BQ128" t="s">
        <v>74</v>
      </c>
      <c r="BR128" t="s">
        <v>101</v>
      </c>
      <c r="BS128" t="s">
        <v>2645</v>
      </c>
      <c r="BT128" t="str">
        <f>HYPERLINK("https%3A%2F%2Fwww.webofscience.com%2Fwos%2Fwoscc%2Ffull-record%2FWOS:000272616600009","View Full Record in Web of Science")</f>
        <v>View Full Record in Web of Science</v>
      </c>
    </row>
    <row r="129" spans="1:72" x14ac:dyDescent="0.15">
      <c r="A129" t="s">
        <v>72</v>
      </c>
      <c r="B129" t="s">
        <v>2646</v>
      </c>
      <c r="C129" t="s">
        <v>74</v>
      </c>
      <c r="D129" t="s">
        <v>74</v>
      </c>
      <c r="E129" t="s">
        <v>74</v>
      </c>
      <c r="F129" t="s">
        <v>2647</v>
      </c>
      <c r="G129" t="s">
        <v>74</v>
      </c>
      <c r="H129" t="s">
        <v>74</v>
      </c>
      <c r="I129" t="s">
        <v>2648</v>
      </c>
      <c r="J129" t="s">
        <v>2628</v>
      </c>
      <c r="K129" t="s">
        <v>74</v>
      </c>
      <c r="L129" t="s">
        <v>74</v>
      </c>
      <c r="M129" t="s">
        <v>78</v>
      </c>
      <c r="N129" t="s">
        <v>79</v>
      </c>
      <c r="O129" t="s">
        <v>74</v>
      </c>
      <c r="P129" t="s">
        <v>74</v>
      </c>
      <c r="Q129" t="s">
        <v>74</v>
      </c>
      <c r="R129" t="s">
        <v>74</v>
      </c>
      <c r="S129" t="s">
        <v>74</v>
      </c>
      <c r="T129" t="s">
        <v>74</v>
      </c>
      <c r="U129" t="s">
        <v>2649</v>
      </c>
      <c r="V129" t="s">
        <v>2650</v>
      </c>
      <c r="W129" t="s">
        <v>2651</v>
      </c>
      <c r="X129" t="s">
        <v>2652</v>
      </c>
      <c r="Y129" t="s">
        <v>2653</v>
      </c>
      <c r="Z129" t="s">
        <v>2654</v>
      </c>
      <c r="AA129" t="s">
        <v>2655</v>
      </c>
      <c r="AB129" t="s">
        <v>2656</v>
      </c>
      <c r="AC129" t="s">
        <v>2657</v>
      </c>
      <c r="AD129" t="s">
        <v>2658</v>
      </c>
      <c r="AE129" t="s">
        <v>2659</v>
      </c>
      <c r="AF129" t="s">
        <v>74</v>
      </c>
      <c r="AG129">
        <v>63</v>
      </c>
      <c r="AH129">
        <v>22</v>
      </c>
      <c r="AI129">
        <v>22</v>
      </c>
      <c r="AJ129">
        <v>0</v>
      </c>
      <c r="AK129">
        <v>14</v>
      </c>
      <c r="AL129" t="s">
        <v>2397</v>
      </c>
      <c r="AM129" t="s">
        <v>2398</v>
      </c>
      <c r="AN129" t="s">
        <v>2399</v>
      </c>
      <c r="AO129" t="s">
        <v>2638</v>
      </c>
      <c r="AP129" t="s">
        <v>2639</v>
      </c>
      <c r="AQ129" t="s">
        <v>74</v>
      </c>
      <c r="AR129" t="s">
        <v>2640</v>
      </c>
      <c r="AS129" t="s">
        <v>2641</v>
      </c>
      <c r="AT129" t="s">
        <v>1026</v>
      </c>
      <c r="AU129">
        <v>2009</v>
      </c>
      <c r="AV129">
        <v>66</v>
      </c>
      <c r="AW129">
        <v>12</v>
      </c>
      <c r="AX129" t="s">
        <v>74</v>
      </c>
      <c r="AY129" t="s">
        <v>74</v>
      </c>
      <c r="AZ129" t="s">
        <v>74</v>
      </c>
      <c r="BA129" t="s">
        <v>74</v>
      </c>
      <c r="BB129">
        <v>3695</v>
      </c>
      <c r="BC129">
        <v>3706</v>
      </c>
      <c r="BD129" t="s">
        <v>74</v>
      </c>
      <c r="BE129" t="s">
        <v>2660</v>
      </c>
      <c r="BF129" t="str">
        <f>HYPERLINK("http://dx.doi.org/10.1175/2009JAS2983.1","http://dx.doi.org/10.1175/2009JAS2983.1")</f>
        <v>http://dx.doi.org/10.1175/2009JAS2983.1</v>
      </c>
      <c r="BG129" t="s">
        <v>74</v>
      </c>
      <c r="BH129" t="s">
        <v>74</v>
      </c>
      <c r="BI129">
        <v>12</v>
      </c>
      <c r="BJ129" t="s">
        <v>413</v>
      </c>
      <c r="BK129" t="s">
        <v>98</v>
      </c>
      <c r="BL129" t="s">
        <v>413</v>
      </c>
      <c r="BM129" t="s">
        <v>2643</v>
      </c>
      <c r="BN129" t="s">
        <v>74</v>
      </c>
      <c r="BO129" t="s">
        <v>627</v>
      </c>
      <c r="BP129" t="s">
        <v>74</v>
      </c>
      <c r="BQ129" t="s">
        <v>74</v>
      </c>
      <c r="BR129" t="s">
        <v>101</v>
      </c>
      <c r="BS129" t="s">
        <v>2661</v>
      </c>
      <c r="BT129" t="str">
        <f>HYPERLINK("https%3A%2F%2Fwww.webofscience.com%2Fwos%2Fwoscc%2Ffull-record%2FWOS:000272616600010","View Full Record in Web of Science")</f>
        <v>View Full Record in Web of Science</v>
      </c>
    </row>
    <row r="130" spans="1:72" x14ac:dyDescent="0.15">
      <c r="A130" t="s">
        <v>72</v>
      </c>
      <c r="B130" t="s">
        <v>2662</v>
      </c>
      <c r="C130" t="s">
        <v>74</v>
      </c>
      <c r="D130" t="s">
        <v>74</v>
      </c>
      <c r="E130" t="s">
        <v>74</v>
      </c>
      <c r="F130" t="s">
        <v>2663</v>
      </c>
      <c r="G130" t="s">
        <v>74</v>
      </c>
      <c r="H130" t="s">
        <v>74</v>
      </c>
      <c r="I130" t="s">
        <v>2664</v>
      </c>
      <c r="J130" t="s">
        <v>2665</v>
      </c>
      <c r="K130" t="s">
        <v>74</v>
      </c>
      <c r="L130" t="s">
        <v>74</v>
      </c>
      <c r="M130" t="s">
        <v>2666</v>
      </c>
      <c r="N130" t="s">
        <v>79</v>
      </c>
      <c r="O130" t="s">
        <v>74</v>
      </c>
      <c r="P130" t="s">
        <v>74</v>
      </c>
      <c r="Q130" t="s">
        <v>74</v>
      </c>
      <c r="R130" t="s">
        <v>74</v>
      </c>
      <c r="S130" t="s">
        <v>74</v>
      </c>
      <c r="T130" t="s">
        <v>2667</v>
      </c>
      <c r="U130" t="s">
        <v>2668</v>
      </c>
      <c r="V130" t="s">
        <v>2669</v>
      </c>
      <c r="W130" t="s">
        <v>2670</v>
      </c>
      <c r="X130" t="s">
        <v>2671</v>
      </c>
      <c r="Y130" t="s">
        <v>2672</v>
      </c>
      <c r="Z130" t="s">
        <v>2673</v>
      </c>
      <c r="AA130" t="s">
        <v>74</v>
      </c>
      <c r="AB130" t="s">
        <v>74</v>
      </c>
      <c r="AC130" t="s">
        <v>74</v>
      </c>
      <c r="AD130" t="s">
        <v>74</v>
      </c>
      <c r="AE130" t="s">
        <v>74</v>
      </c>
      <c r="AF130" t="s">
        <v>74</v>
      </c>
      <c r="AG130">
        <v>23</v>
      </c>
      <c r="AH130">
        <v>2</v>
      </c>
      <c r="AI130">
        <v>2</v>
      </c>
      <c r="AJ130">
        <v>0</v>
      </c>
      <c r="AK130">
        <v>0</v>
      </c>
      <c r="AL130" t="s">
        <v>2674</v>
      </c>
      <c r="AM130" t="s">
        <v>2675</v>
      </c>
      <c r="AN130" t="s">
        <v>2676</v>
      </c>
      <c r="AO130" t="s">
        <v>2677</v>
      </c>
      <c r="AP130" t="s">
        <v>2678</v>
      </c>
      <c r="AQ130" t="s">
        <v>74</v>
      </c>
      <c r="AR130" t="s">
        <v>2679</v>
      </c>
      <c r="AS130" t="s">
        <v>2680</v>
      </c>
      <c r="AT130" t="s">
        <v>1026</v>
      </c>
      <c r="AU130">
        <v>2009</v>
      </c>
      <c r="AV130">
        <v>45</v>
      </c>
      <c r="AW130">
        <v>6</v>
      </c>
      <c r="AX130" t="s">
        <v>74</v>
      </c>
      <c r="AY130" t="s">
        <v>74</v>
      </c>
      <c r="AZ130" t="s">
        <v>74</v>
      </c>
      <c r="BA130" t="s">
        <v>74</v>
      </c>
      <c r="BB130">
        <v>593</v>
      </c>
      <c r="BC130">
        <v>605</v>
      </c>
      <c r="BD130" t="s">
        <v>74</v>
      </c>
      <c r="BE130" t="s">
        <v>74</v>
      </c>
      <c r="BF130" t="s">
        <v>74</v>
      </c>
      <c r="BG130" t="s">
        <v>74</v>
      </c>
      <c r="BH130" t="s">
        <v>74</v>
      </c>
      <c r="BI130">
        <v>13</v>
      </c>
      <c r="BJ130" t="s">
        <v>464</v>
      </c>
      <c r="BK130" t="s">
        <v>1028</v>
      </c>
      <c r="BL130" t="s">
        <v>465</v>
      </c>
      <c r="BM130" t="s">
        <v>2681</v>
      </c>
      <c r="BN130" t="s">
        <v>74</v>
      </c>
      <c r="BO130" t="s">
        <v>74</v>
      </c>
      <c r="BP130" t="s">
        <v>74</v>
      </c>
      <c r="BQ130" t="s">
        <v>74</v>
      </c>
      <c r="BR130" t="s">
        <v>101</v>
      </c>
      <c r="BS130" t="s">
        <v>2682</v>
      </c>
      <c r="BT130" t="str">
        <f>HYPERLINK("https%3A%2F%2Fwww.webofscience.com%2Fwos%2Fwoscc%2Ffull-record%2FWOS:000453992300002","View Full Record in Web of Science")</f>
        <v>View Full Record in Web of Science</v>
      </c>
    </row>
    <row r="131" spans="1:72" x14ac:dyDescent="0.15">
      <c r="A131" t="s">
        <v>72</v>
      </c>
      <c r="B131" t="s">
        <v>2683</v>
      </c>
      <c r="C131" t="s">
        <v>74</v>
      </c>
      <c r="D131" t="s">
        <v>74</v>
      </c>
      <c r="E131" t="s">
        <v>74</v>
      </c>
      <c r="F131" t="s">
        <v>2684</v>
      </c>
      <c r="G131" t="s">
        <v>74</v>
      </c>
      <c r="H131" t="s">
        <v>74</v>
      </c>
      <c r="I131" t="s">
        <v>2685</v>
      </c>
      <c r="J131" t="s">
        <v>2665</v>
      </c>
      <c r="K131" t="s">
        <v>74</v>
      </c>
      <c r="L131" t="s">
        <v>74</v>
      </c>
      <c r="M131" t="s">
        <v>2666</v>
      </c>
      <c r="N131" t="s">
        <v>297</v>
      </c>
      <c r="O131" t="s">
        <v>74</v>
      </c>
      <c r="P131" t="s">
        <v>74</v>
      </c>
      <c r="Q131" t="s">
        <v>74</v>
      </c>
      <c r="R131" t="s">
        <v>74</v>
      </c>
      <c r="S131" t="s">
        <v>74</v>
      </c>
      <c r="T131" t="s">
        <v>2686</v>
      </c>
      <c r="U131" t="s">
        <v>74</v>
      </c>
      <c r="V131" t="s">
        <v>2687</v>
      </c>
      <c r="W131" t="s">
        <v>2688</v>
      </c>
      <c r="X131" t="s">
        <v>2689</v>
      </c>
      <c r="Y131" t="s">
        <v>2690</v>
      </c>
      <c r="Z131" t="s">
        <v>2691</v>
      </c>
      <c r="AA131" t="s">
        <v>74</v>
      </c>
      <c r="AB131" t="s">
        <v>74</v>
      </c>
      <c r="AC131" t="s">
        <v>74</v>
      </c>
      <c r="AD131" t="s">
        <v>74</v>
      </c>
      <c r="AE131" t="s">
        <v>74</v>
      </c>
      <c r="AF131" t="s">
        <v>74</v>
      </c>
      <c r="AG131">
        <v>15</v>
      </c>
      <c r="AH131">
        <v>2</v>
      </c>
      <c r="AI131">
        <v>2</v>
      </c>
      <c r="AJ131">
        <v>0</v>
      </c>
      <c r="AK131">
        <v>0</v>
      </c>
      <c r="AL131" t="s">
        <v>2674</v>
      </c>
      <c r="AM131" t="s">
        <v>2675</v>
      </c>
      <c r="AN131" t="s">
        <v>2676</v>
      </c>
      <c r="AO131" t="s">
        <v>2677</v>
      </c>
      <c r="AP131" t="s">
        <v>2678</v>
      </c>
      <c r="AQ131" t="s">
        <v>74</v>
      </c>
      <c r="AR131" t="s">
        <v>2679</v>
      </c>
      <c r="AS131" t="s">
        <v>2680</v>
      </c>
      <c r="AT131" t="s">
        <v>1026</v>
      </c>
      <c r="AU131">
        <v>2009</v>
      </c>
      <c r="AV131">
        <v>45</v>
      </c>
      <c r="AW131">
        <v>6</v>
      </c>
      <c r="AX131" t="s">
        <v>74</v>
      </c>
      <c r="AY131" t="s">
        <v>74</v>
      </c>
      <c r="AZ131" t="s">
        <v>74</v>
      </c>
      <c r="BA131" t="s">
        <v>74</v>
      </c>
      <c r="BB131">
        <v>621</v>
      </c>
      <c r="BC131">
        <v>637</v>
      </c>
      <c r="BD131" t="s">
        <v>74</v>
      </c>
      <c r="BE131" t="s">
        <v>74</v>
      </c>
      <c r="BF131" t="s">
        <v>74</v>
      </c>
      <c r="BG131" t="s">
        <v>74</v>
      </c>
      <c r="BH131" t="s">
        <v>74</v>
      </c>
      <c r="BI131">
        <v>17</v>
      </c>
      <c r="BJ131" t="s">
        <v>464</v>
      </c>
      <c r="BK131" t="s">
        <v>1028</v>
      </c>
      <c r="BL131" t="s">
        <v>465</v>
      </c>
      <c r="BM131" t="s">
        <v>2681</v>
      </c>
      <c r="BN131" t="s">
        <v>74</v>
      </c>
      <c r="BO131" t="s">
        <v>74</v>
      </c>
      <c r="BP131" t="s">
        <v>74</v>
      </c>
      <c r="BQ131" t="s">
        <v>74</v>
      </c>
      <c r="BR131" t="s">
        <v>101</v>
      </c>
      <c r="BS131" t="s">
        <v>2692</v>
      </c>
      <c r="BT131" t="str">
        <f>HYPERLINK("https%3A%2F%2Fwww.webofscience.com%2Fwos%2Fwoscc%2Ffull-record%2FWOS:000453992300005","View Full Record in Web of Science")</f>
        <v>View Full Record in Web of Science</v>
      </c>
    </row>
    <row r="132" spans="1:72" x14ac:dyDescent="0.15">
      <c r="A132" t="s">
        <v>72</v>
      </c>
      <c r="B132" t="s">
        <v>2693</v>
      </c>
      <c r="C132" t="s">
        <v>74</v>
      </c>
      <c r="D132" t="s">
        <v>74</v>
      </c>
      <c r="E132" t="s">
        <v>74</v>
      </c>
      <c r="F132" t="s">
        <v>2694</v>
      </c>
      <c r="G132" t="s">
        <v>74</v>
      </c>
      <c r="H132" t="s">
        <v>74</v>
      </c>
      <c r="I132" t="s">
        <v>2695</v>
      </c>
      <c r="J132" t="s">
        <v>2696</v>
      </c>
      <c r="K132" t="s">
        <v>74</v>
      </c>
      <c r="L132" t="s">
        <v>74</v>
      </c>
      <c r="M132" t="s">
        <v>78</v>
      </c>
      <c r="N132" t="s">
        <v>79</v>
      </c>
      <c r="O132" t="s">
        <v>74</v>
      </c>
      <c r="P132" t="s">
        <v>74</v>
      </c>
      <c r="Q132" t="s">
        <v>74</v>
      </c>
      <c r="R132" t="s">
        <v>74</v>
      </c>
      <c r="S132" t="s">
        <v>74</v>
      </c>
      <c r="T132" t="s">
        <v>2697</v>
      </c>
      <c r="U132" t="s">
        <v>2698</v>
      </c>
      <c r="V132" t="s">
        <v>2699</v>
      </c>
      <c r="W132" t="s">
        <v>2700</v>
      </c>
      <c r="X132" t="s">
        <v>2701</v>
      </c>
      <c r="Y132" t="s">
        <v>2702</v>
      </c>
      <c r="Z132" t="s">
        <v>2703</v>
      </c>
      <c r="AA132" t="s">
        <v>74</v>
      </c>
      <c r="AB132" t="s">
        <v>2704</v>
      </c>
      <c r="AC132" t="s">
        <v>74</v>
      </c>
      <c r="AD132" t="s">
        <v>74</v>
      </c>
      <c r="AE132" t="s">
        <v>74</v>
      </c>
      <c r="AF132" t="s">
        <v>74</v>
      </c>
      <c r="AG132">
        <v>28</v>
      </c>
      <c r="AH132">
        <v>16</v>
      </c>
      <c r="AI132">
        <v>19</v>
      </c>
      <c r="AJ132">
        <v>0</v>
      </c>
      <c r="AK132">
        <v>10</v>
      </c>
      <c r="AL132" t="s">
        <v>1226</v>
      </c>
      <c r="AM132" t="s">
        <v>684</v>
      </c>
      <c r="AN132" t="s">
        <v>1227</v>
      </c>
      <c r="AO132" t="s">
        <v>2705</v>
      </c>
      <c r="AP132" t="s">
        <v>2706</v>
      </c>
      <c r="AQ132" t="s">
        <v>74</v>
      </c>
      <c r="AR132" t="s">
        <v>2707</v>
      </c>
      <c r="AS132" t="s">
        <v>2708</v>
      </c>
      <c r="AT132" t="s">
        <v>1026</v>
      </c>
      <c r="AU132">
        <v>2009</v>
      </c>
      <c r="AV132">
        <v>89</v>
      </c>
      <c r="AW132">
        <v>8</v>
      </c>
      <c r="AX132" t="s">
        <v>74</v>
      </c>
      <c r="AY132" t="s">
        <v>74</v>
      </c>
      <c r="AZ132" t="s">
        <v>74</v>
      </c>
      <c r="BA132" t="s">
        <v>74</v>
      </c>
      <c r="BB132">
        <v>1589</v>
      </c>
      <c r="BC132">
        <v>1596</v>
      </c>
      <c r="BD132" t="s">
        <v>74</v>
      </c>
      <c r="BE132" t="s">
        <v>2709</v>
      </c>
      <c r="BF132" t="str">
        <f>HYPERLINK("http://dx.doi.org/10.1017/S0025315409000113","http://dx.doi.org/10.1017/S0025315409000113")</f>
        <v>http://dx.doi.org/10.1017/S0025315409000113</v>
      </c>
      <c r="BG132" t="s">
        <v>74</v>
      </c>
      <c r="BH132" t="s">
        <v>74</v>
      </c>
      <c r="BI132">
        <v>8</v>
      </c>
      <c r="BJ132" t="s">
        <v>1052</v>
      </c>
      <c r="BK132" t="s">
        <v>98</v>
      </c>
      <c r="BL132" t="s">
        <v>1052</v>
      </c>
      <c r="BM132" t="s">
        <v>2710</v>
      </c>
      <c r="BN132" t="s">
        <v>74</v>
      </c>
      <c r="BO132" t="s">
        <v>74</v>
      </c>
      <c r="BP132" t="s">
        <v>74</v>
      </c>
      <c r="BQ132" t="s">
        <v>74</v>
      </c>
      <c r="BR132" t="s">
        <v>101</v>
      </c>
      <c r="BS132" t="s">
        <v>2711</v>
      </c>
      <c r="BT132" t="str">
        <f>HYPERLINK("https%3A%2F%2Fwww.webofscience.com%2Fwos%2Fwoscc%2Ffull-record%2FWOS:000273904100008","View Full Record in Web of Science")</f>
        <v>View Full Record in Web of Science</v>
      </c>
    </row>
    <row r="133" spans="1:72" x14ac:dyDescent="0.15">
      <c r="A133" t="s">
        <v>72</v>
      </c>
      <c r="B133" t="s">
        <v>2712</v>
      </c>
      <c r="C133" t="s">
        <v>74</v>
      </c>
      <c r="D133" t="s">
        <v>74</v>
      </c>
      <c r="E133" t="s">
        <v>74</v>
      </c>
      <c r="F133" t="s">
        <v>2713</v>
      </c>
      <c r="G133" t="s">
        <v>74</v>
      </c>
      <c r="H133" t="s">
        <v>74</v>
      </c>
      <c r="I133" t="s">
        <v>2714</v>
      </c>
      <c r="J133" t="s">
        <v>2696</v>
      </c>
      <c r="K133" t="s">
        <v>74</v>
      </c>
      <c r="L133" t="s">
        <v>74</v>
      </c>
      <c r="M133" t="s">
        <v>78</v>
      </c>
      <c r="N133" t="s">
        <v>79</v>
      </c>
      <c r="O133" t="s">
        <v>74</v>
      </c>
      <c r="P133" t="s">
        <v>74</v>
      </c>
      <c r="Q133" t="s">
        <v>74</v>
      </c>
      <c r="R133" t="s">
        <v>74</v>
      </c>
      <c r="S133" t="s">
        <v>74</v>
      </c>
      <c r="T133" t="s">
        <v>2715</v>
      </c>
      <c r="U133" t="s">
        <v>2716</v>
      </c>
      <c r="V133" t="s">
        <v>2717</v>
      </c>
      <c r="W133" t="s">
        <v>2718</v>
      </c>
      <c r="X133" t="s">
        <v>2719</v>
      </c>
      <c r="Y133" t="s">
        <v>2720</v>
      </c>
      <c r="Z133" t="s">
        <v>2721</v>
      </c>
      <c r="AA133" t="s">
        <v>74</v>
      </c>
      <c r="AB133" t="s">
        <v>2722</v>
      </c>
      <c r="AC133" t="s">
        <v>74</v>
      </c>
      <c r="AD133" t="s">
        <v>74</v>
      </c>
      <c r="AE133" t="s">
        <v>74</v>
      </c>
      <c r="AF133" t="s">
        <v>74</v>
      </c>
      <c r="AG133">
        <v>19</v>
      </c>
      <c r="AH133">
        <v>9</v>
      </c>
      <c r="AI133">
        <v>9</v>
      </c>
      <c r="AJ133">
        <v>0</v>
      </c>
      <c r="AK133">
        <v>2</v>
      </c>
      <c r="AL133" t="s">
        <v>1226</v>
      </c>
      <c r="AM133" t="s">
        <v>684</v>
      </c>
      <c r="AN133" t="s">
        <v>1227</v>
      </c>
      <c r="AO133" t="s">
        <v>2705</v>
      </c>
      <c r="AP133" t="s">
        <v>2706</v>
      </c>
      <c r="AQ133" t="s">
        <v>74</v>
      </c>
      <c r="AR133" t="s">
        <v>2707</v>
      </c>
      <c r="AS133" t="s">
        <v>2708</v>
      </c>
      <c r="AT133" t="s">
        <v>1026</v>
      </c>
      <c r="AU133">
        <v>2009</v>
      </c>
      <c r="AV133">
        <v>89</v>
      </c>
      <c r="AW133">
        <v>8</v>
      </c>
      <c r="AX133" t="s">
        <v>74</v>
      </c>
      <c r="AY133" t="s">
        <v>74</v>
      </c>
      <c r="AZ133" t="s">
        <v>74</v>
      </c>
      <c r="BA133" t="s">
        <v>74</v>
      </c>
      <c r="BB133">
        <v>1671</v>
      </c>
      <c r="BC133">
        <v>1677</v>
      </c>
      <c r="BD133" t="s">
        <v>74</v>
      </c>
      <c r="BE133" t="s">
        <v>2723</v>
      </c>
      <c r="BF133" t="str">
        <f>HYPERLINK("http://dx.doi.org/10.1017/S0025315409000915","http://dx.doi.org/10.1017/S0025315409000915")</f>
        <v>http://dx.doi.org/10.1017/S0025315409000915</v>
      </c>
      <c r="BG133" t="s">
        <v>74</v>
      </c>
      <c r="BH133" t="s">
        <v>74</v>
      </c>
      <c r="BI133">
        <v>7</v>
      </c>
      <c r="BJ133" t="s">
        <v>1052</v>
      </c>
      <c r="BK133" t="s">
        <v>98</v>
      </c>
      <c r="BL133" t="s">
        <v>1052</v>
      </c>
      <c r="BM133" t="s">
        <v>2710</v>
      </c>
      <c r="BN133" t="s">
        <v>74</v>
      </c>
      <c r="BO133" t="s">
        <v>74</v>
      </c>
      <c r="BP133" t="s">
        <v>74</v>
      </c>
      <c r="BQ133" t="s">
        <v>74</v>
      </c>
      <c r="BR133" t="s">
        <v>101</v>
      </c>
      <c r="BS133" t="s">
        <v>2724</v>
      </c>
      <c r="BT133" t="str">
        <f>HYPERLINK("https%3A%2F%2Fwww.webofscience.com%2Fwos%2Fwoscc%2Ffull-record%2FWOS:000273904100017","View Full Record in Web of Science")</f>
        <v>View Full Record in Web of Science</v>
      </c>
    </row>
    <row r="134" spans="1:72" x14ac:dyDescent="0.15">
      <c r="A134" t="s">
        <v>72</v>
      </c>
      <c r="B134" t="s">
        <v>2725</v>
      </c>
      <c r="C134" t="s">
        <v>74</v>
      </c>
      <c r="D134" t="s">
        <v>74</v>
      </c>
      <c r="E134" t="s">
        <v>74</v>
      </c>
      <c r="F134" t="s">
        <v>2726</v>
      </c>
      <c r="G134" t="s">
        <v>74</v>
      </c>
      <c r="H134" t="s">
        <v>74</v>
      </c>
      <c r="I134" t="s">
        <v>2727</v>
      </c>
      <c r="J134" t="s">
        <v>2728</v>
      </c>
      <c r="K134" t="s">
        <v>74</v>
      </c>
      <c r="L134" t="s">
        <v>74</v>
      </c>
      <c r="M134" t="s">
        <v>78</v>
      </c>
      <c r="N134" t="s">
        <v>79</v>
      </c>
      <c r="O134" t="s">
        <v>74</v>
      </c>
      <c r="P134" t="s">
        <v>74</v>
      </c>
      <c r="Q134" t="s">
        <v>74</v>
      </c>
      <c r="R134" t="s">
        <v>74</v>
      </c>
      <c r="S134" t="s">
        <v>74</v>
      </c>
      <c r="T134" t="s">
        <v>2729</v>
      </c>
      <c r="U134" t="s">
        <v>2730</v>
      </c>
      <c r="V134" t="s">
        <v>2731</v>
      </c>
      <c r="W134" t="s">
        <v>2732</v>
      </c>
      <c r="X134" t="s">
        <v>2733</v>
      </c>
      <c r="Y134" t="s">
        <v>2734</v>
      </c>
      <c r="Z134" t="s">
        <v>2735</v>
      </c>
      <c r="AA134" t="s">
        <v>2736</v>
      </c>
      <c r="AB134" t="s">
        <v>2737</v>
      </c>
      <c r="AC134" t="s">
        <v>2738</v>
      </c>
      <c r="AD134" t="s">
        <v>2739</v>
      </c>
      <c r="AE134" t="s">
        <v>2740</v>
      </c>
      <c r="AF134" t="s">
        <v>74</v>
      </c>
      <c r="AG134">
        <v>56</v>
      </c>
      <c r="AH134">
        <v>33</v>
      </c>
      <c r="AI134">
        <v>38</v>
      </c>
      <c r="AJ134">
        <v>1</v>
      </c>
      <c r="AK134">
        <v>13</v>
      </c>
      <c r="AL134" t="s">
        <v>305</v>
      </c>
      <c r="AM134" t="s">
        <v>281</v>
      </c>
      <c r="AN134" t="s">
        <v>306</v>
      </c>
      <c r="AO134" t="s">
        <v>2741</v>
      </c>
      <c r="AP134" t="s">
        <v>2742</v>
      </c>
      <c r="AQ134" t="s">
        <v>74</v>
      </c>
      <c r="AR134" t="s">
        <v>2743</v>
      </c>
      <c r="AS134" t="s">
        <v>2744</v>
      </c>
      <c r="AT134" t="s">
        <v>1026</v>
      </c>
      <c r="AU134">
        <v>2009</v>
      </c>
      <c r="AV134">
        <v>73</v>
      </c>
      <c r="AW134" t="s">
        <v>288</v>
      </c>
      <c r="AX134" t="s">
        <v>74</v>
      </c>
      <c r="AY134" t="s">
        <v>74</v>
      </c>
      <c r="AZ134" t="s">
        <v>74</v>
      </c>
      <c r="BA134" t="s">
        <v>74</v>
      </c>
      <c r="BB134">
        <v>135</v>
      </c>
      <c r="BC134">
        <v>147</v>
      </c>
      <c r="BD134" t="s">
        <v>74</v>
      </c>
      <c r="BE134" t="s">
        <v>2745</v>
      </c>
      <c r="BF134" t="str">
        <f>HYPERLINK("http://dx.doi.org/10.1016/j.marmicro.2009.08.003","http://dx.doi.org/10.1016/j.marmicro.2009.08.003")</f>
        <v>http://dx.doi.org/10.1016/j.marmicro.2009.08.003</v>
      </c>
      <c r="BG134" t="s">
        <v>74</v>
      </c>
      <c r="BH134" t="s">
        <v>74</v>
      </c>
      <c r="BI134">
        <v>13</v>
      </c>
      <c r="BJ134" t="s">
        <v>2746</v>
      </c>
      <c r="BK134" t="s">
        <v>98</v>
      </c>
      <c r="BL134" t="s">
        <v>2746</v>
      </c>
      <c r="BM134" t="s">
        <v>2747</v>
      </c>
      <c r="BN134" t="s">
        <v>74</v>
      </c>
      <c r="BO134" t="s">
        <v>74</v>
      </c>
      <c r="BP134" t="s">
        <v>74</v>
      </c>
      <c r="BQ134" t="s">
        <v>74</v>
      </c>
      <c r="BR134" t="s">
        <v>101</v>
      </c>
      <c r="BS134" t="s">
        <v>2748</v>
      </c>
      <c r="BT134" t="str">
        <f>HYPERLINK("https%3A%2F%2Fwww.webofscience.com%2Fwos%2Fwoscc%2Ffull-record%2FWOS:000272572800001","View Full Record in Web of Science")</f>
        <v>View Full Record in Web of Science</v>
      </c>
    </row>
    <row r="135" spans="1:72" x14ac:dyDescent="0.15">
      <c r="A135" t="s">
        <v>72</v>
      </c>
      <c r="B135" t="s">
        <v>2749</v>
      </c>
      <c r="C135" t="s">
        <v>74</v>
      </c>
      <c r="D135" t="s">
        <v>74</v>
      </c>
      <c r="E135" t="s">
        <v>74</v>
      </c>
      <c r="F135" t="s">
        <v>2750</v>
      </c>
      <c r="G135" t="s">
        <v>74</v>
      </c>
      <c r="H135" t="s">
        <v>74</v>
      </c>
      <c r="I135" t="s">
        <v>2751</v>
      </c>
      <c r="J135" t="s">
        <v>2728</v>
      </c>
      <c r="K135" t="s">
        <v>74</v>
      </c>
      <c r="L135" t="s">
        <v>74</v>
      </c>
      <c r="M135" t="s">
        <v>78</v>
      </c>
      <c r="N135" t="s">
        <v>79</v>
      </c>
      <c r="O135" t="s">
        <v>74</v>
      </c>
      <c r="P135" t="s">
        <v>74</v>
      </c>
      <c r="Q135" t="s">
        <v>74</v>
      </c>
      <c r="R135" t="s">
        <v>74</v>
      </c>
      <c r="S135" t="s">
        <v>74</v>
      </c>
      <c r="T135" t="s">
        <v>2752</v>
      </c>
      <c r="U135" t="s">
        <v>2753</v>
      </c>
      <c r="V135" t="s">
        <v>2754</v>
      </c>
      <c r="W135" t="s">
        <v>2755</v>
      </c>
      <c r="X135" t="s">
        <v>2756</v>
      </c>
      <c r="Y135" t="s">
        <v>2757</v>
      </c>
      <c r="Z135" t="s">
        <v>2758</v>
      </c>
      <c r="AA135" t="s">
        <v>2759</v>
      </c>
      <c r="AB135" t="s">
        <v>2760</v>
      </c>
      <c r="AC135" t="s">
        <v>2761</v>
      </c>
      <c r="AD135" t="s">
        <v>2762</v>
      </c>
      <c r="AE135" t="s">
        <v>2763</v>
      </c>
      <c r="AF135" t="s">
        <v>74</v>
      </c>
      <c r="AG135">
        <v>62</v>
      </c>
      <c r="AH135">
        <v>18</v>
      </c>
      <c r="AI135">
        <v>18</v>
      </c>
      <c r="AJ135">
        <v>0</v>
      </c>
      <c r="AK135">
        <v>9</v>
      </c>
      <c r="AL135" t="s">
        <v>280</v>
      </c>
      <c r="AM135" t="s">
        <v>281</v>
      </c>
      <c r="AN135" t="s">
        <v>282</v>
      </c>
      <c r="AO135" t="s">
        <v>2741</v>
      </c>
      <c r="AP135" t="s">
        <v>2742</v>
      </c>
      <c r="AQ135" t="s">
        <v>74</v>
      </c>
      <c r="AR135" t="s">
        <v>2743</v>
      </c>
      <c r="AS135" t="s">
        <v>2744</v>
      </c>
      <c r="AT135" t="s">
        <v>1026</v>
      </c>
      <c r="AU135">
        <v>2009</v>
      </c>
      <c r="AV135">
        <v>73</v>
      </c>
      <c r="AW135" t="s">
        <v>288</v>
      </c>
      <c r="AX135" t="s">
        <v>74</v>
      </c>
      <c r="AY135" t="s">
        <v>74</v>
      </c>
      <c r="AZ135" t="s">
        <v>74</v>
      </c>
      <c r="BA135" t="s">
        <v>74</v>
      </c>
      <c r="BB135">
        <v>226</v>
      </c>
      <c r="BC135">
        <v>240</v>
      </c>
      <c r="BD135" t="s">
        <v>74</v>
      </c>
      <c r="BE135" t="s">
        <v>2764</v>
      </c>
      <c r="BF135" t="str">
        <f>HYPERLINK("http://dx.doi.org/10.1016/j.marmicro.2009.10.004","http://dx.doi.org/10.1016/j.marmicro.2009.10.004")</f>
        <v>http://dx.doi.org/10.1016/j.marmicro.2009.10.004</v>
      </c>
      <c r="BG135" t="s">
        <v>74</v>
      </c>
      <c r="BH135" t="s">
        <v>74</v>
      </c>
      <c r="BI135">
        <v>15</v>
      </c>
      <c r="BJ135" t="s">
        <v>2746</v>
      </c>
      <c r="BK135" t="s">
        <v>98</v>
      </c>
      <c r="BL135" t="s">
        <v>2746</v>
      </c>
      <c r="BM135" t="s">
        <v>2747</v>
      </c>
      <c r="BN135" t="s">
        <v>74</v>
      </c>
      <c r="BO135" t="s">
        <v>74</v>
      </c>
      <c r="BP135" t="s">
        <v>74</v>
      </c>
      <c r="BQ135" t="s">
        <v>74</v>
      </c>
      <c r="BR135" t="s">
        <v>101</v>
      </c>
      <c r="BS135" t="s">
        <v>2765</v>
      </c>
      <c r="BT135" t="str">
        <f>HYPERLINK("https%3A%2F%2Fwww.webofscience.com%2Fwos%2Fwoscc%2Ffull-record%2FWOS:000272572800008","View Full Record in Web of Science")</f>
        <v>View Full Record in Web of Science</v>
      </c>
    </row>
    <row r="136" spans="1:72" x14ac:dyDescent="0.15">
      <c r="A136" t="s">
        <v>72</v>
      </c>
      <c r="B136" t="s">
        <v>2766</v>
      </c>
      <c r="C136" t="s">
        <v>74</v>
      </c>
      <c r="D136" t="s">
        <v>74</v>
      </c>
      <c r="E136" t="s">
        <v>74</v>
      </c>
      <c r="F136" t="s">
        <v>2767</v>
      </c>
      <c r="G136" t="s">
        <v>74</v>
      </c>
      <c r="H136" t="s">
        <v>74</v>
      </c>
      <c r="I136" t="s">
        <v>2768</v>
      </c>
      <c r="J136" t="s">
        <v>2769</v>
      </c>
      <c r="K136" t="s">
        <v>74</v>
      </c>
      <c r="L136" t="s">
        <v>74</v>
      </c>
      <c r="M136" t="s">
        <v>78</v>
      </c>
      <c r="N136" t="s">
        <v>79</v>
      </c>
      <c r="O136" t="s">
        <v>74</v>
      </c>
      <c r="P136" t="s">
        <v>74</v>
      </c>
      <c r="Q136" t="s">
        <v>74</v>
      </c>
      <c r="R136" t="s">
        <v>74</v>
      </c>
      <c r="S136" t="s">
        <v>74</v>
      </c>
      <c r="T136" t="s">
        <v>2770</v>
      </c>
      <c r="U136" t="s">
        <v>2771</v>
      </c>
      <c r="V136" t="s">
        <v>2772</v>
      </c>
      <c r="W136" t="s">
        <v>2773</v>
      </c>
      <c r="X136" t="s">
        <v>2774</v>
      </c>
      <c r="Y136" t="s">
        <v>2775</v>
      </c>
      <c r="Z136" t="s">
        <v>2776</v>
      </c>
      <c r="AA136" t="s">
        <v>2777</v>
      </c>
      <c r="AB136" t="s">
        <v>2778</v>
      </c>
      <c r="AC136" t="s">
        <v>2779</v>
      </c>
      <c r="AD136" t="s">
        <v>1629</v>
      </c>
      <c r="AE136" t="s">
        <v>2780</v>
      </c>
      <c r="AF136" t="s">
        <v>74</v>
      </c>
      <c r="AG136">
        <v>52</v>
      </c>
      <c r="AH136">
        <v>63</v>
      </c>
      <c r="AI136">
        <v>81</v>
      </c>
      <c r="AJ136">
        <v>0</v>
      </c>
      <c r="AK136">
        <v>65</v>
      </c>
      <c r="AL136" t="s">
        <v>1184</v>
      </c>
      <c r="AM136" t="s">
        <v>1185</v>
      </c>
      <c r="AN136" t="s">
        <v>1186</v>
      </c>
      <c r="AO136" t="s">
        <v>2781</v>
      </c>
      <c r="AP136" t="s">
        <v>2782</v>
      </c>
      <c r="AQ136" t="s">
        <v>74</v>
      </c>
      <c r="AR136" t="s">
        <v>2783</v>
      </c>
      <c r="AS136" t="s">
        <v>2784</v>
      </c>
      <c r="AT136" t="s">
        <v>1026</v>
      </c>
      <c r="AU136">
        <v>2009</v>
      </c>
      <c r="AV136">
        <v>23</v>
      </c>
      <c r="AW136">
        <v>4</v>
      </c>
      <c r="AX136" t="s">
        <v>74</v>
      </c>
      <c r="AY136" t="s">
        <v>74</v>
      </c>
      <c r="AZ136" t="s">
        <v>74</v>
      </c>
      <c r="BA136" t="s">
        <v>74</v>
      </c>
      <c r="BB136">
        <v>418</v>
      </c>
      <c r="BC136">
        <v>425</v>
      </c>
      <c r="BD136" t="s">
        <v>74</v>
      </c>
      <c r="BE136" t="s">
        <v>2785</v>
      </c>
      <c r="BF136" t="str">
        <f>HYPERLINK("http://dx.doi.org/10.1111/j.1365-2915.2009.00832.x","http://dx.doi.org/10.1111/j.1365-2915.2009.00832.x")</f>
        <v>http://dx.doi.org/10.1111/j.1365-2915.2009.00832.x</v>
      </c>
      <c r="BG136" t="s">
        <v>74</v>
      </c>
      <c r="BH136" t="s">
        <v>74</v>
      </c>
      <c r="BI136">
        <v>8</v>
      </c>
      <c r="BJ136" t="s">
        <v>2786</v>
      </c>
      <c r="BK136" t="s">
        <v>98</v>
      </c>
      <c r="BL136" t="s">
        <v>2786</v>
      </c>
      <c r="BM136" t="s">
        <v>2787</v>
      </c>
      <c r="BN136">
        <v>19941608</v>
      </c>
      <c r="BO136" t="s">
        <v>74</v>
      </c>
      <c r="BP136" t="s">
        <v>74</v>
      </c>
      <c r="BQ136" t="s">
        <v>74</v>
      </c>
      <c r="BR136" t="s">
        <v>101</v>
      </c>
      <c r="BS136" t="s">
        <v>2788</v>
      </c>
      <c r="BT136" t="str">
        <f>HYPERLINK("https%3A%2F%2Fwww.webofscience.com%2Fwos%2Fwoscc%2Ffull-record%2FWOS:000271974700014","View Full Record in Web of Science")</f>
        <v>View Full Record in Web of Science</v>
      </c>
    </row>
    <row r="137" spans="1:72" x14ac:dyDescent="0.15">
      <c r="A137" t="s">
        <v>72</v>
      </c>
      <c r="B137" t="s">
        <v>2789</v>
      </c>
      <c r="C137" t="s">
        <v>74</v>
      </c>
      <c r="D137" t="s">
        <v>74</v>
      </c>
      <c r="E137" t="s">
        <v>74</v>
      </c>
      <c r="F137" t="s">
        <v>2790</v>
      </c>
      <c r="G137" t="s">
        <v>74</v>
      </c>
      <c r="H137" t="s">
        <v>74</v>
      </c>
      <c r="I137" t="s">
        <v>2791</v>
      </c>
      <c r="J137" t="s">
        <v>2792</v>
      </c>
      <c r="K137" t="s">
        <v>74</v>
      </c>
      <c r="L137" t="s">
        <v>74</v>
      </c>
      <c r="M137" t="s">
        <v>78</v>
      </c>
      <c r="N137" t="s">
        <v>79</v>
      </c>
      <c r="O137" t="s">
        <v>74</v>
      </c>
      <c r="P137" t="s">
        <v>74</v>
      </c>
      <c r="Q137" t="s">
        <v>74</v>
      </c>
      <c r="R137" t="s">
        <v>74</v>
      </c>
      <c r="S137" t="s">
        <v>74</v>
      </c>
      <c r="T137" t="s">
        <v>74</v>
      </c>
      <c r="U137" t="s">
        <v>74</v>
      </c>
      <c r="V137" t="s">
        <v>74</v>
      </c>
      <c r="W137" t="s">
        <v>2793</v>
      </c>
      <c r="X137" t="s">
        <v>2794</v>
      </c>
      <c r="Y137" t="s">
        <v>2795</v>
      </c>
      <c r="Z137" t="s">
        <v>2796</v>
      </c>
      <c r="AA137" t="s">
        <v>2797</v>
      </c>
      <c r="AB137" t="s">
        <v>2798</v>
      </c>
      <c r="AC137" t="s">
        <v>2799</v>
      </c>
      <c r="AD137" t="s">
        <v>2800</v>
      </c>
      <c r="AE137" t="s">
        <v>2801</v>
      </c>
      <c r="AF137" t="s">
        <v>74</v>
      </c>
      <c r="AG137">
        <v>11</v>
      </c>
      <c r="AH137">
        <v>20</v>
      </c>
      <c r="AI137">
        <v>26</v>
      </c>
      <c r="AJ137">
        <v>0</v>
      </c>
      <c r="AK137">
        <v>36</v>
      </c>
      <c r="AL137" t="s">
        <v>1931</v>
      </c>
      <c r="AM137" t="s">
        <v>684</v>
      </c>
      <c r="AN137" t="s">
        <v>1932</v>
      </c>
      <c r="AO137" t="s">
        <v>2802</v>
      </c>
      <c r="AP137" t="s">
        <v>2803</v>
      </c>
      <c r="AQ137" t="s">
        <v>74</v>
      </c>
      <c r="AR137" t="s">
        <v>2804</v>
      </c>
      <c r="AS137" t="s">
        <v>1958</v>
      </c>
      <c r="AT137" t="s">
        <v>1026</v>
      </c>
      <c r="AU137">
        <v>2009</v>
      </c>
      <c r="AV137">
        <v>78</v>
      </c>
      <c r="AW137">
        <v>6</v>
      </c>
      <c r="AX137" t="s">
        <v>74</v>
      </c>
      <c r="AY137" t="s">
        <v>74</v>
      </c>
      <c r="AZ137" t="s">
        <v>74</v>
      </c>
      <c r="BA137" t="s">
        <v>74</v>
      </c>
      <c r="BB137">
        <v>808</v>
      </c>
      <c r="BC137">
        <v>810</v>
      </c>
      <c r="BD137" t="s">
        <v>74</v>
      </c>
      <c r="BE137" t="s">
        <v>2805</v>
      </c>
      <c r="BF137" t="str">
        <f>HYPERLINK("http://dx.doi.org/10.1134/S0026261709060216","http://dx.doi.org/10.1134/S0026261709060216")</f>
        <v>http://dx.doi.org/10.1134/S0026261709060216</v>
      </c>
      <c r="BG137" t="s">
        <v>74</v>
      </c>
      <c r="BH137" t="s">
        <v>74</v>
      </c>
      <c r="BI137">
        <v>3</v>
      </c>
      <c r="BJ137" t="s">
        <v>1958</v>
      </c>
      <c r="BK137" t="s">
        <v>98</v>
      </c>
      <c r="BL137" t="s">
        <v>1958</v>
      </c>
      <c r="BM137" t="s">
        <v>2806</v>
      </c>
      <c r="BN137" t="s">
        <v>74</v>
      </c>
      <c r="BO137" t="s">
        <v>74</v>
      </c>
      <c r="BP137" t="s">
        <v>74</v>
      </c>
      <c r="BQ137" t="s">
        <v>74</v>
      </c>
      <c r="BR137" t="s">
        <v>101</v>
      </c>
      <c r="BS137" t="s">
        <v>2807</v>
      </c>
      <c r="BT137" t="str">
        <f>HYPERLINK("https%3A%2F%2Fwww.webofscience.com%2Fwos%2Fwoscc%2Ffull-record%2FWOS:000272466000021","View Full Record in Web of Science")</f>
        <v>View Full Record in Web of Science</v>
      </c>
    </row>
    <row r="138" spans="1:72" x14ac:dyDescent="0.15">
      <c r="A138" t="s">
        <v>72</v>
      </c>
      <c r="B138" t="s">
        <v>2808</v>
      </c>
      <c r="C138" t="s">
        <v>74</v>
      </c>
      <c r="D138" t="s">
        <v>74</v>
      </c>
      <c r="E138" t="s">
        <v>74</v>
      </c>
      <c r="F138" t="s">
        <v>2809</v>
      </c>
      <c r="G138" t="s">
        <v>74</v>
      </c>
      <c r="H138" t="s">
        <v>74</v>
      </c>
      <c r="I138" t="s">
        <v>2810</v>
      </c>
      <c r="J138" t="s">
        <v>2811</v>
      </c>
      <c r="K138" t="s">
        <v>74</v>
      </c>
      <c r="L138" t="s">
        <v>74</v>
      </c>
      <c r="M138" t="s">
        <v>78</v>
      </c>
      <c r="N138" t="s">
        <v>79</v>
      </c>
      <c r="O138" t="s">
        <v>74</v>
      </c>
      <c r="P138" t="s">
        <v>74</v>
      </c>
      <c r="Q138" t="s">
        <v>74</v>
      </c>
      <c r="R138" t="s">
        <v>74</v>
      </c>
      <c r="S138" t="s">
        <v>74</v>
      </c>
      <c r="T138" t="s">
        <v>2812</v>
      </c>
      <c r="U138" t="s">
        <v>2813</v>
      </c>
      <c r="V138" t="s">
        <v>2814</v>
      </c>
      <c r="W138" t="s">
        <v>2815</v>
      </c>
      <c r="X138" t="s">
        <v>2816</v>
      </c>
      <c r="Y138" t="s">
        <v>2817</v>
      </c>
      <c r="Z138" t="s">
        <v>2818</v>
      </c>
      <c r="AA138" t="s">
        <v>2819</v>
      </c>
      <c r="AB138" t="s">
        <v>2820</v>
      </c>
      <c r="AC138" t="s">
        <v>2821</v>
      </c>
      <c r="AD138" t="s">
        <v>2822</v>
      </c>
      <c r="AE138" t="s">
        <v>2823</v>
      </c>
      <c r="AF138" t="s">
        <v>74</v>
      </c>
      <c r="AG138">
        <v>58</v>
      </c>
      <c r="AH138">
        <v>143</v>
      </c>
      <c r="AI138">
        <v>158</v>
      </c>
      <c r="AJ138">
        <v>2</v>
      </c>
      <c r="AK138">
        <v>186</v>
      </c>
      <c r="AL138" t="s">
        <v>1184</v>
      </c>
      <c r="AM138" t="s">
        <v>1185</v>
      </c>
      <c r="AN138" t="s">
        <v>1186</v>
      </c>
      <c r="AO138" t="s">
        <v>2824</v>
      </c>
      <c r="AP138" t="s">
        <v>2825</v>
      </c>
      <c r="AQ138" t="s">
        <v>74</v>
      </c>
      <c r="AR138" t="s">
        <v>2826</v>
      </c>
      <c r="AS138" t="s">
        <v>2827</v>
      </c>
      <c r="AT138" t="s">
        <v>1026</v>
      </c>
      <c r="AU138">
        <v>2009</v>
      </c>
      <c r="AV138">
        <v>18</v>
      </c>
      <c r="AW138">
        <v>24</v>
      </c>
      <c r="AX138" t="s">
        <v>74</v>
      </c>
      <c r="AY138" t="s">
        <v>74</v>
      </c>
      <c r="AZ138" t="s">
        <v>74</v>
      </c>
      <c r="BA138" t="s">
        <v>74</v>
      </c>
      <c r="BB138">
        <v>5207</v>
      </c>
      <c r="BC138">
        <v>5217</v>
      </c>
      <c r="BD138" t="s">
        <v>74</v>
      </c>
      <c r="BE138" t="s">
        <v>2828</v>
      </c>
      <c r="BF138" t="str">
        <f>HYPERLINK("http://dx.doi.org/10.1111/j.1365-294X.2009.04407.x","http://dx.doi.org/10.1111/j.1365-294X.2009.04407.x")</f>
        <v>http://dx.doi.org/10.1111/j.1365-294X.2009.04407.x</v>
      </c>
      <c r="BG138" t="s">
        <v>74</v>
      </c>
      <c r="BH138" t="s">
        <v>74</v>
      </c>
      <c r="BI138">
        <v>11</v>
      </c>
      <c r="BJ138" t="s">
        <v>2829</v>
      </c>
      <c r="BK138" t="s">
        <v>98</v>
      </c>
      <c r="BL138" t="s">
        <v>2830</v>
      </c>
      <c r="BM138" t="s">
        <v>2831</v>
      </c>
      <c r="BN138">
        <v>20050301</v>
      </c>
      <c r="BO138" t="s">
        <v>74</v>
      </c>
      <c r="BP138" t="s">
        <v>74</v>
      </c>
      <c r="BQ138" t="s">
        <v>74</v>
      </c>
      <c r="BR138" t="s">
        <v>101</v>
      </c>
      <c r="BS138" t="s">
        <v>2832</v>
      </c>
      <c r="BT138" t="str">
        <f>HYPERLINK("https%3A%2F%2Fwww.webofscience.com%2Fwos%2Fwoscc%2Ffull-record%2FWOS:000272452700019","View Full Record in Web of Science")</f>
        <v>View Full Record in Web of Science</v>
      </c>
    </row>
    <row r="139" spans="1:72" x14ac:dyDescent="0.15">
      <c r="A139" t="s">
        <v>72</v>
      </c>
      <c r="B139" t="s">
        <v>2833</v>
      </c>
      <c r="C139" t="s">
        <v>74</v>
      </c>
      <c r="D139" t="s">
        <v>74</v>
      </c>
      <c r="E139" t="s">
        <v>74</v>
      </c>
      <c r="F139" t="s">
        <v>2834</v>
      </c>
      <c r="G139" t="s">
        <v>74</v>
      </c>
      <c r="H139" t="s">
        <v>74</v>
      </c>
      <c r="I139" t="s">
        <v>2835</v>
      </c>
      <c r="J139" t="s">
        <v>2836</v>
      </c>
      <c r="K139" t="s">
        <v>74</v>
      </c>
      <c r="L139" t="s">
        <v>74</v>
      </c>
      <c r="M139" t="s">
        <v>78</v>
      </c>
      <c r="N139" t="s">
        <v>79</v>
      </c>
      <c r="O139" t="s">
        <v>74</v>
      </c>
      <c r="P139" t="s">
        <v>74</v>
      </c>
      <c r="Q139" t="s">
        <v>74</v>
      </c>
      <c r="R139" t="s">
        <v>74</v>
      </c>
      <c r="S139" t="s">
        <v>74</v>
      </c>
      <c r="T139" t="s">
        <v>2837</v>
      </c>
      <c r="U139" t="s">
        <v>2838</v>
      </c>
      <c r="V139" t="s">
        <v>2839</v>
      </c>
      <c r="W139" t="s">
        <v>2840</v>
      </c>
      <c r="X139" t="s">
        <v>2841</v>
      </c>
      <c r="Y139" t="s">
        <v>2842</v>
      </c>
      <c r="Z139" t="s">
        <v>2843</v>
      </c>
      <c r="AA139" t="s">
        <v>2844</v>
      </c>
      <c r="AB139" t="s">
        <v>2845</v>
      </c>
      <c r="AC139" t="s">
        <v>74</v>
      </c>
      <c r="AD139" t="s">
        <v>74</v>
      </c>
      <c r="AE139" t="s">
        <v>74</v>
      </c>
      <c r="AF139" t="s">
        <v>74</v>
      </c>
      <c r="AG139">
        <v>21</v>
      </c>
      <c r="AH139">
        <v>10</v>
      </c>
      <c r="AI139">
        <v>10</v>
      </c>
      <c r="AJ139">
        <v>2</v>
      </c>
      <c r="AK139">
        <v>9</v>
      </c>
      <c r="AL139" t="s">
        <v>2846</v>
      </c>
      <c r="AM139" t="s">
        <v>2847</v>
      </c>
      <c r="AN139" t="s">
        <v>2848</v>
      </c>
      <c r="AO139" t="s">
        <v>2849</v>
      </c>
      <c r="AP139" t="s">
        <v>2850</v>
      </c>
      <c r="AQ139" t="s">
        <v>74</v>
      </c>
      <c r="AR139" t="s">
        <v>2851</v>
      </c>
      <c r="AS139" t="s">
        <v>2852</v>
      </c>
      <c r="AT139" t="s">
        <v>1026</v>
      </c>
      <c r="AU139">
        <v>2009</v>
      </c>
      <c r="AV139">
        <v>4</v>
      </c>
      <c r="AW139">
        <v>12</v>
      </c>
      <c r="AX139" t="s">
        <v>74</v>
      </c>
      <c r="AY139" t="s">
        <v>74</v>
      </c>
      <c r="AZ139" t="s">
        <v>74</v>
      </c>
      <c r="BA139" t="s">
        <v>74</v>
      </c>
      <c r="BB139">
        <v>1615</v>
      </c>
      <c r="BC139">
        <v>1619</v>
      </c>
      <c r="BD139" t="s">
        <v>74</v>
      </c>
      <c r="BE139" t="s">
        <v>74</v>
      </c>
      <c r="BF139" t="s">
        <v>74</v>
      </c>
      <c r="BG139" t="s">
        <v>74</v>
      </c>
      <c r="BH139" t="s">
        <v>74</v>
      </c>
      <c r="BI139">
        <v>5</v>
      </c>
      <c r="BJ139" t="s">
        <v>2853</v>
      </c>
      <c r="BK139" t="s">
        <v>98</v>
      </c>
      <c r="BL139" t="s">
        <v>2854</v>
      </c>
      <c r="BM139" t="s">
        <v>2855</v>
      </c>
      <c r="BN139">
        <v>20120093</v>
      </c>
      <c r="BO139" t="s">
        <v>74</v>
      </c>
      <c r="BP139" t="s">
        <v>74</v>
      </c>
      <c r="BQ139" t="s">
        <v>74</v>
      </c>
      <c r="BR139" t="s">
        <v>101</v>
      </c>
      <c r="BS139" t="s">
        <v>2856</v>
      </c>
      <c r="BT139" t="str">
        <f>HYPERLINK("https%3A%2F%2Fwww.webofscience.com%2Fwos%2Fwoscc%2Ffull-record%2FWOS:000272754100004","View Full Record in Web of Science")</f>
        <v>View Full Record in Web of Science</v>
      </c>
    </row>
    <row r="140" spans="1:72" x14ac:dyDescent="0.15">
      <c r="A140" t="s">
        <v>72</v>
      </c>
      <c r="B140" t="s">
        <v>2857</v>
      </c>
      <c r="C140" t="s">
        <v>74</v>
      </c>
      <c r="D140" t="s">
        <v>74</v>
      </c>
      <c r="E140" t="s">
        <v>74</v>
      </c>
      <c r="F140" t="s">
        <v>2858</v>
      </c>
      <c r="G140" t="s">
        <v>74</v>
      </c>
      <c r="H140" t="s">
        <v>74</v>
      </c>
      <c r="I140" t="s">
        <v>2859</v>
      </c>
      <c r="J140" t="s">
        <v>2860</v>
      </c>
      <c r="K140" t="s">
        <v>74</v>
      </c>
      <c r="L140" t="s">
        <v>74</v>
      </c>
      <c r="M140" t="s">
        <v>78</v>
      </c>
      <c r="N140" t="s">
        <v>79</v>
      </c>
      <c r="O140" t="s">
        <v>74</v>
      </c>
      <c r="P140" t="s">
        <v>74</v>
      </c>
      <c r="Q140" t="s">
        <v>74</v>
      </c>
      <c r="R140" t="s">
        <v>74</v>
      </c>
      <c r="S140" t="s">
        <v>74</v>
      </c>
      <c r="T140" t="s">
        <v>74</v>
      </c>
      <c r="U140" t="s">
        <v>2861</v>
      </c>
      <c r="V140" t="s">
        <v>2862</v>
      </c>
      <c r="W140" t="s">
        <v>2863</v>
      </c>
      <c r="X140" t="s">
        <v>2864</v>
      </c>
      <c r="Y140" t="s">
        <v>2865</v>
      </c>
      <c r="Z140" t="s">
        <v>2866</v>
      </c>
      <c r="AA140" t="s">
        <v>2867</v>
      </c>
      <c r="AB140" t="s">
        <v>2868</v>
      </c>
      <c r="AC140" t="s">
        <v>2869</v>
      </c>
      <c r="AD140" t="s">
        <v>730</v>
      </c>
      <c r="AE140" t="s">
        <v>74</v>
      </c>
      <c r="AF140" t="s">
        <v>74</v>
      </c>
      <c r="AG140">
        <v>50</v>
      </c>
      <c r="AH140">
        <v>1366</v>
      </c>
      <c r="AI140">
        <v>1554</v>
      </c>
      <c r="AJ140">
        <v>41</v>
      </c>
      <c r="AK140">
        <v>1363</v>
      </c>
      <c r="AL140" t="s">
        <v>530</v>
      </c>
      <c r="AM140" t="s">
        <v>173</v>
      </c>
      <c r="AN140" t="s">
        <v>531</v>
      </c>
      <c r="AO140" t="s">
        <v>2870</v>
      </c>
      <c r="AP140" t="s">
        <v>2871</v>
      </c>
      <c r="AQ140" t="s">
        <v>74</v>
      </c>
      <c r="AR140" t="s">
        <v>2872</v>
      </c>
      <c r="AS140" t="s">
        <v>2873</v>
      </c>
      <c r="AT140" t="s">
        <v>1026</v>
      </c>
      <c r="AU140">
        <v>2009</v>
      </c>
      <c r="AV140">
        <v>2</v>
      </c>
      <c r="AW140">
        <v>12</v>
      </c>
      <c r="AX140" t="s">
        <v>74</v>
      </c>
      <c r="AY140" t="s">
        <v>74</v>
      </c>
      <c r="AZ140" t="s">
        <v>74</v>
      </c>
      <c r="BA140" t="s">
        <v>74</v>
      </c>
      <c r="BB140">
        <v>831</v>
      </c>
      <c r="BC140">
        <v>836</v>
      </c>
      <c r="BD140" t="s">
        <v>74</v>
      </c>
      <c r="BE140" t="s">
        <v>2874</v>
      </c>
      <c r="BF140" t="str">
        <f>HYPERLINK("http://dx.doi.org/10.1038/ngeo689","http://dx.doi.org/10.1038/ngeo689")</f>
        <v>http://dx.doi.org/10.1038/ngeo689</v>
      </c>
      <c r="BG140" t="s">
        <v>74</v>
      </c>
      <c r="BH140" t="s">
        <v>74</v>
      </c>
      <c r="BI140">
        <v>6</v>
      </c>
      <c r="BJ140" t="s">
        <v>464</v>
      </c>
      <c r="BK140" t="s">
        <v>98</v>
      </c>
      <c r="BL140" t="s">
        <v>465</v>
      </c>
      <c r="BM140" t="s">
        <v>2875</v>
      </c>
      <c r="BN140" t="s">
        <v>74</v>
      </c>
      <c r="BO140" t="s">
        <v>239</v>
      </c>
      <c r="BP140" t="s">
        <v>74</v>
      </c>
      <c r="BQ140" t="s">
        <v>74</v>
      </c>
      <c r="BR140" t="s">
        <v>101</v>
      </c>
      <c r="BS140" t="s">
        <v>2876</v>
      </c>
      <c r="BT140" t="str">
        <f>HYPERLINK("https%3A%2F%2Fwww.webofscience.com%2Fwos%2Fwoscc%2Ffull-record%2FWOS:000272239400014","View Full Record in Web of Science")</f>
        <v>View Full Record in Web of Science</v>
      </c>
    </row>
    <row r="141" spans="1:72" x14ac:dyDescent="0.15">
      <c r="A141" t="s">
        <v>72</v>
      </c>
      <c r="B141" t="s">
        <v>2877</v>
      </c>
      <c r="C141" t="s">
        <v>74</v>
      </c>
      <c r="D141" t="s">
        <v>74</v>
      </c>
      <c r="E141" t="s">
        <v>74</v>
      </c>
      <c r="F141" t="s">
        <v>2878</v>
      </c>
      <c r="G141" t="s">
        <v>74</v>
      </c>
      <c r="H141" t="s">
        <v>74</v>
      </c>
      <c r="I141" t="s">
        <v>2879</v>
      </c>
      <c r="J141" t="s">
        <v>2860</v>
      </c>
      <c r="K141" t="s">
        <v>74</v>
      </c>
      <c r="L141" t="s">
        <v>74</v>
      </c>
      <c r="M141" t="s">
        <v>78</v>
      </c>
      <c r="N141" t="s">
        <v>79</v>
      </c>
      <c r="O141" t="s">
        <v>74</v>
      </c>
      <c r="P141" t="s">
        <v>74</v>
      </c>
      <c r="Q141" t="s">
        <v>74</v>
      </c>
      <c r="R141" t="s">
        <v>74</v>
      </c>
      <c r="S141" t="s">
        <v>74</v>
      </c>
      <c r="T141" t="s">
        <v>74</v>
      </c>
      <c r="U141" t="s">
        <v>2880</v>
      </c>
      <c r="V141" t="s">
        <v>2881</v>
      </c>
      <c r="W141" t="s">
        <v>2882</v>
      </c>
      <c r="X141" t="s">
        <v>2883</v>
      </c>
      <c r="Y141" t="s">
        <v>2884</v>
      </c>
      <c r="Z141" t="s">
        <v>2885</v>
      </c>
      <c r="AA141" t="s">
        <v>74</v>
      </c>
      <c r="AB141" t="s">
        <v>2886</v>
      </c>
      <c r="AC141" t="s">
        <v>2887</v>
      </c>
      <c r="AD141" t="s">
        <v>2888</v>
      </c>
      <c r="AE141" t="s">
        <v>2889</v>
      </c>
      <c r="AF141" t="s">
        <v>74</v>
      </c>
      <c r="AG141">
        <v>28</v>
      </c>
      <c r="AH141">
        <v>247</v>
      </c>
      <c r="AI141">
        <v>286</v>
      </c>
      <c r="AJ141">
        <v>2</v>
      </c>
      <c r="AK141">
        <v>102</v>
      </c>
      <c r="AL141" t="s">
        <v>2890</v>
      </c>
      <c r="AM141" t="s">
        <v>684</v>
      </c>
      <c r="AN141" t="s">
        <v>2891</v>
      </c>
      <c r="AO141" t="s">
        <v>2870</v>
      </c>
      <c r="AP141" t="s">
        <v>2871</v>
      </c>
      <c r="AQ141" t="s">
        <v>74</v>
      </c>
      <c r="AR141" t="s">
        <v>2872</v>
      </c>
      <c r="AS141" t="s">
        <v>2873</v>
      </c>
      <c r="AT141" t="s">
        <v>1026</v>
      </c>
      <c r="AU141">
        <v>2009</v>
      </c>
      <c r="AV141">
        <v>2</v>
      </c>
      <c r="AW141">
        <v>12</v>
      </c>
      <c r="AX141" t="s">
        <v>74</v>
      </c>
      <c r="AY141" t="s">
        <v>74</v>
      </c>
      <c r="AZ141" t="s">
        <v>74</v>
      </c>
      <c r="BA141" t="s">
        <v>74</v>
      </c>
      <c r="BB141">
        <v>859</v>
      </c>
      <c r="BC141">
        <v>862</v>
      </c>
      <c r="BD141" t="s">
        <v>74</v>
      </c>
      <c r="BE141" t="s">
        <v>2892</v>
      </c>
      <c r="BF141" t="str">
        <f>HYPERLINK("http://dx.doi.org/10.1038/ngeo694","http://dx.doi.org/10.1038/ngeo694")</f>
        <v>http://dx.doi.org/10.1038/ngeo694</v>
      </c>
      <c r="BG141" t="s">
        <v>74</v>
      </c>
      <c r="BH141" t="s">
        <v>74</v>
      </c>
      <c r="BI141">
        <v>4</v>
      </c>
      <c r="BJ141" t="s">
        <v>464</v>
      </c>
      <c r="BK141" t="s">
        <v>98</v>
      </c>
      <c r="BL141" t="s">
        <v>465</v>
      </c>
      <c r="BM141" t="s">
        <v>2875</v>
      </c>
      <c r="BN141" t="s">
        <v>74</v>
      </c>
      <c r="BO141" t="s">
        <v>74</v>
      </c>
      <c r="BP141" t="s">
        <v>74</v>
      </c>
      <c r="BQ141" t="s">
        <v>74</v>
      </c>
      <c r="BR141" t="s">
        <v>101</v>
      </c>
      <c r="BS141" t="s">
        <v>2893</v>
      </c>
      <c r="BT141" t="str">
        <f>HYPERLINK("https%3A%2F%2Fwww.webofscience.com%2Fwos%2Fwoscc%2Ffull-record%2FWOS:000272239400019","View Full Record in Web of Science")</f>
        <v>View Full Record in Web of Science</v>
      </c>
    </row>
    <row r="142" spans="1:72" x14ac:dyDescent="0.15">
      <c r="A142" t="s">
        <v>72</v>
      </c>
      <c r="B142" t="s">
        <v>2894</v>
      </c>
      <c r="C142" t="s">
        <v>74</v>
      </c>
      <c r="D142" t="s">
        <v>74</v>
      </c>
      <c r="E142" t="s">
        <v>74</v>
      </c>
      <c r="F142" t="s">
        <v>2895</v>
      </c>
      <c r="G142" t="s">
        <v>74</v>
      </c>
      <c r="H142" t="s">
        <v>74</v>
      </c>
      <c r="I142" t="s">
        <v>2896</v>
      </c>
      <c r="J142" t="s">
        <v>2897</v>
      </c>
      <c r="K142" t="s">
        <v>74</v>
      </c>
      <c r="L142" t="s">
        <v>74</v>
      </c>
      <c r="M142" t="s">
        <v>78</v>
      </c>
      <c r="N142" t="s">
        <v>79</v>
      </c>
      <c r="O142" t="s">
        <v>74</v>
      </c>
      <c r="P142" t="s">
        <v>74</v>
      </c>
      <c r="Q142" t="s">
        <v>74</v>
      </c>
      <c r="R142" t="s">
        <v>74</v>
      </c>
      <c r="S142" t="s">
        <v>74</v>
      </c>
      <c r="T142" t="s">
        <v>2898</v>
      </c>
      <c r="U142" t="s">
        <v>2899</v>
      </c>
      <c r="V142" t="s">
        <v>2900</v>
      </c>
      <c r="W142" t="s">
        <v>2901</v>
      </c>
      <c r="X142" t="s">
        <v>2902</v>
      </c>
      <c r="Y142" t="s">
        <v>2903</v>
      </c>
      <c r="Z142" t="s">
        <v>2904</v>
      </c>
      <c r="AA142" t="s">
        <v>2905</v>
      </c>
      <c r="AB142" t="s">
        <v>2906</v>
      </c>
      <c r="AC142" t="s">
        <v>2907</v>
      </c>
      <c r="AD142" t="s">
        <v>2908</v>
      </c>
      <c r="AE142" t="s">
        <v>2909</v>
      </c>
      <c r="AF142" t="s">
        <v>74</v>
      </c>
      <c r="AG142">
        <v>64</v>
      </c>
      <c r="AH142">
        <v>7</v>
      </c>
      <c r="AI142">
        <v>7</v>
      </c>
      <c r="AJ142">
        <v>1</v>
      </c>
      <c r="AK142">
        <v>12</v>
      </c>
      <c r="AL142" t="s">
        <v>2614</v>
      </c>
      <c r="AM142" t="s">
        <v>2615</v>
      </c>
      <c r="AN142" t="s">
        <v>2910</v>
      </c>
      <c r="AO142" t="s">
        <v>2911</v>
      </c>
      <c r="AP142" t="s">
        <v>2912</v>
      </c>
      <c r="AQ142" t="s">
        <v>74</v>
      </c>
      <c r="AR142" t="s">
        <v>2913</v>
      </c>
      <c r="AS142" t="s">
        <v>2914</v>
      </c>
      <c r="AT142" t="s">
        <v>1026</v>
      </c>
      <c r="AU142">
        <v>2009</v>
      </c>
      <c r="AV142">
        <v>52</v>
      </c>
      <c r="AW142">
        <v>4</v>
      </c>
      <c r="AX142" t="s">
        <v>74</v>
      </c>
      <c r="AY142" t="s">
        <v>74</v>
      </c>
      <c r="AZ142" t="s">
        <v>74</v>
      </c>
      <c r="BA142" t="s">
        <v>74</v>
      </c>
      <c r="BB142">
        <v>321</v>
      </c>
      <c r="BC142">
        <v>333</v>
      </c>
      <c r="BD142" t="s">
        <v>74</v>
      </c>
      <c r="BE142" t="s">
        <v>2915</v>
      </c>
      <c r="BF142" t="str">
        <f>HYPERLINK("http://dx.doi.org/10.1080/00288306.2009.9518461","http://dx.doi.org/10.1080/00288306.2009.9518461")</f>
        <v>http://dx.doi.org/10.1080/00288306.2009.9518461</v>
      </c>
      <c r="BG142" t="s">
        <v>74</v>
      </c>
      <c r="BH142" t="s">
        <v>74</v>
      </c>
      <c r="BI142">
        <v>13</v>
      </c>
      <c r="BJ142" t="s">
        <v>2916</v>
      </c>
      <c r="BK142" t="s">
        <v>98</v>
      </c>
      <c r="BL142" t="s">
        <v>465</v>
      </c>
      <c r="BM142" t="s">
        <v>2917</v>
      </c>
      <c r="BN142" t="s">
        <v>74</v>
      </c>
      <c r="BO142" t="s">
        <v>74</v>
      </c>
      <c r="BP142" t="s">
        <v>74</v>
      </c>
      <c r="BQ142" t="s">
        <v>74</v>
      </c>
      <c r="BR142" t="s">
        <v>101</v>
      </c>
      <c r="BS142" t="s">
        <v>2918</v>
      </c>
      <c r="BT142" t="str">
        <f>HYPERLINK("https%3A%2F%2Fwww.webofscience.com%2Fwos%2Fwoscc%2Ffull-record%2FWOS:000273763300002","View Full Record in Web of Science")</f>
        <v>View Full Record in Web of Science</v>
      </c>
    </row>
    <row r="143" spans="1:72" x14ac:dyDescent="0.15">
      <c r="A143" t="s">
        <v>103</v>
      </c>
      <c r="B143" t="s">
        <v>2919</v>
      </c>
      <c r="C143" t="s">
        <v>74</v>
      </c>
      <c r="D143" t="s">
        <v>74</v>
      </c>
      <c r="E143" t="s">
        <v>74</v>
      </c>
      <c r="F143" t="s">
        <v>2920</v>
      </c>
      <c r="G143" t="s">
        <v>74</v>
      </c>
      <c r="H143" t="s">
        <v>2921</v>
      </c>
      <c r="I143" t="s">
        <v>2922</v>
      </c>
      <c r="J143" t="s">
        <v>2923</v>
      </c>
      <c r="K143" t="s">
        <v>74</v>
      </c>
      <c r="L143" t="s">
        <v>74</v>
      </c>
      <c r="M143" t="s">
        <v>78</v>
      </c>
      <c r="N143" t="s">
        <v>110</v>
      </c>
      <c r="O143" t="s">
        <v>2924</v>
      </c>
      <c r="P143" t="s">
        <v>2925</v>
      </c>
      <c r="Q143" t="s">
        <v>2926</v>
      </c>
      <c r="R143" t="s">
        <v>74</v>
      </c>
      <c r="S143" t="s">
        <v>2927</v>
      </c>
      <c r="T143" t="s">
        <v>74</v>
      </c>
      <c r="U143" t="s">
        <v>74</v>
      </c>
      <c r="V143" t="s">
        <v>2928</v>
      </c>
      <c r="W143" t="s">
        <v>2929</v>
      </c>
      <c r="X143" t="s">
        <v>2930</v>
      </c>
      <c r="Y143" t="s">
        <v>2931</v>
      </c>
      <c r="Z143" t="s">
        <v>74</v>
      </c>
      <c r="AA143" t="s">
        <v>2932</v>
      </c>
      <c r="AB143" t="s">
        <v>74</v>
      </c>
      <c r="AC143" t="s">
        <v>74</v>
      </c>
      <c r="AD143" t="s">
        <v>74</v>
      </c>
      <c r="AE143" t="s">
        <v>74</v>
      </c>
      <c r="AF143" t="s">
        <v>74</v>
      </c>
      <c r="AG143">
        <v>9</v>
      </c>
      <c r="AH143">
        <v>7</v>
      </c>
      <c r="AI143">
        <v>8</v>
      </c>
      <c r="AJ143">
        <v>0</v>
      </c>
      <c r="AK143">
        <v>0</v>
      </c>
      <c r="AL143" t="s">
        <v>280</v>
      </c>
      <c r="AM143" t="s">
        <v>281</v>
      </c>
      <c r="AN143" t="s">
        <v>282</v>
      </c>
      <c r="AO143" t="s">
        <v>2933</v>
      </c>
      <c r="AP143" t="s">
        <v>74</v>
      </c>
      <c r="AQ143" t="s">
        <v>74</v>
      </c>
      <c r="AR143" t="s">
        <v>2934</v>
      </c>
      <c r="AS143" t="s">
        <v>2935</v>
      </c>
      <c r="AT143" t="s">
        <v>1026</v>
      </c>
      <c r="AU143">
        <v>2009</v>
      </c>
      <c r="AV143">
        <v>196</v>
      </c>
      <c r="AW143" t="s">
        <v>74</v>
      </c>
      <c r="AX143" t="s">
        <v>74</v>
      </c>
      <c r="AY143" t="s">
        <v>74</v>
      </c>
      <c r="AZ143" t="s">
        <v>74</v>
      </c>
      <c r="BA143" t="s">
        <v>74</v>
      </c>
      <c r="BB143">
        <v>159</v>
      </c>
      <c r="BC143">
        <v>164</v>
      </c>
      <c r="BD143" t="s">
        <v>74</v>
      </c>
      <c r="BE143" t="s">
        <v>2936</v>
      </c>
      <c r="BF143" t="str">
        <f>HYPERLINK("http://dx.doi.org/10.1016/j.nuclphysbps.2009.09.028","http://dx.doi.org/10.1016/j.nuclphysbps.2009.09.028")</f>
        <v>http://dx.doi.org/10.1016/j.nuclphysbps.2009.09.028</v>
      </c>
      <c r="BG143" t="s">
        <v>74</v>
      </c>
      <c r="BH143" t="s">
        <v>74</v>
      </c>
      <c r="BI143">
        <v>6</v>
      </c>
      <c r="BJ143" t="s">
        <v>2937</v>
      </c>
      <c r="BK143" t="s">
        <v>131</v>
      </c>
      <c r="BL143" t="s">
        <v>154</v>
      </c>
      <c r="BM143" t="s">
        <v>2938</v>
      </c>
      <c r="BN143" t="s">
        <v>74</v>
      </c>
      <c r="BO143" t="s">
        <v>1119</v>
      </c>
      <c r="BP143" t="s">
        <v>74</v>
      </c>
      <c r="BQ143" t="s">
        <v>74</v>
      </c>
      <c r="BR143" t="s">
        <v>101</v>
      </c>
      <c r="BS143" t="s">
        <v>2939</v>
      </c>
      <c r="BT143" t="str">
        <f>HYPERLINK("https%3A%2F%2Fwww.webofscience.com%2Fwos%2Fwoscc%2Ffull-record%2FWOS:000273096000029","View Full Record in Web of Science")</f>
        <v>View Full Record in Web of Science</v>
      </c>
    </row>
    <row r="144" spans="1:72" x14ac:dyDescent="0.15">
      <c r="A144" t="s">
        <v>103</v>
      </c>
      <c r="B144" t="s">
        <v>2940</v>
      </c>
      <c r="C144" t="s">
        <v>74</v>
      </c>
      <c r="D144" t="s">
        <v>74</v>
      </c>
      <c r="E144" t="s">
        <v>74</v>
      </c>
      <c r="F144" t="s">
        <v>2941</v>
      </c>
      <c r="G144" t="s">
        <v>74</v>
      </c>
      <c r="H144" t="s">
        <v>74</v>
      </c>
      <c r="I144" t="s">
        <v>2942</v>
      </c>
      <c r="J144" t="s">
        <v>2923</v>
      </c>
      <c r="K144" t="s">
        <v>74</v>
      </c>
      <c r="L144" t="s">
        <v>74</v>
      </c>
      <c r="M144" t="s">
        <v>78</v>
      </c>
      <c r="N144" t="s">
        <v>110</v>
      </c>
      <c r="O144" t="s">
        <v>2924</v>
      </c>
      <c r="P144" t="s">
        <v>2925</v>
      </c>
      <c r="Q144" t="s">
        <v>2926</v>
      </c>
      <c r="R144" t="s">
        <v>74</v>
      </c>
      <c r="S144" t="s">
        <v>2927</v>
      </c>
      <c r="T144" t="s">
        <v>74</v>
      </c>
      <c r="U144" t="s">
        <v>2943</v>
      </c>
      <c r="V144" t="s">
        <v>2944</v>
      </c>
      <c r="W144" t="s">
        <v>2945</v>
      </c>
      <c r="X144" t="s">
        <v>2946</v>
      </c>
      <c r="Y144" t="s">
        <v>2947</v>
      </c>
      <c r="Z144" t="s">
        <v>2948</v>
      </c>
      <c r="AA144" t="s">
        <v>2949</v>
      </c>
      <c r="AB144" t="s">
        <v>2950</v>
      </c>
      <c r="AC144" t="s">
        <v>74</v>
      </c>
      <c r="AD144" t="s">
        <v>74</v>
      </c>
      <c r="AE144" t="s">
        <v>74</v>
      </c>
      <c r="AF144" t="s">
        <v>74</v>
      </c>
      <c r="AG144">
        <v>10</v>
      </c>
      <c r="AH144">
        <v>6</v>
      </c>
      <c r="AI144">
        <v>6</v>
      </c>
      <c r="AJ144">
        <v>0</v>
      </c>
      <c r="AK144">
        <v>0</v>
      </c>
      <c r="AL144" t="s">
        <v>280</v>
      </c>
      <c r="AM144" t="s">
        <v>281</v>
      </c>
      <c r="AN144" t="s">
        <v>282</v>
      </c>
      <c r="AO144" t="s">
        <v>2933</v>
      </c>
      <c r="AP144" t="s">
        <v>2951</v>
      </c>
      <c r="AQ144" t="s">
        <v>74</v>
      </c>
      <c r="AR144" t="s">
        <v>2934</v>
      </c>
      <c r="AS144" t="s">
        <v>2935</v>
      </c>
      <c r="AT144" t="s">
        <v>1026</v>
      </c>
      <c r="AU144">
        <v>2009</v>
      </c>
      <c r="AV144">
        <v>196</v>
      </c>
      <c r="AW144" t="s">
        <v>74</v>
      </c>
      <c r="AX144" t="s">
        <v>74</v>
      </c>
      <c r="AY144" t="s">
        <v>74</v>
      </c>
      <c r="AZ144" t="s">
        <v>74</v>
      </c>
      <c r="BA144" t="s">
        <v>74</v>
      </c>
      <c r="BB144">
        <v>239</v>
      </c>
      <c r="BC144">
        <v>242</v>
      </c>
      <c r="BD144" t="s">
        <v>74</v>
      </c>
      <c r="BE144" t="s">
        <v>2952</v>
      </c>
      <c r="BF144" t="str">
        <f>HYPERLINK("http://dx.doi.org/10.1016/j.nuclphysbps.2009.09.045","http://dx.doi.org/10.1016/j.nuclphysbps.2009.09.045")</f>
        <v>http://dx.doi.org/10.1016/j.nuclphysbps.2009.09.045</v>
      </c>
      <c r="BG144" t="s">
        <v>74</v>
      </c>
      <c r="BH144" t="s">
        <v>74</v>
      </c>
      <c r="BI144">
        <v>4</v>
      </c>
      <c r="BJ144" t="s">
        <v>2937</v>
      </c>
      <c r="BK144" t="s">
        <v>131</v>
      </c>
      <c r="BL144" t="s">
        <v>154</v>
      </c>
      <c r="BM144" t="s">
        <v>2938</v>
      </c>
      <c r="BN144" t="s">
        <v>74</v>
      </c>
      <c r="BO144" t="s">
        <v>1119</v>
      </c>
      <c r="BP144" t="s">
        <v>74</v>
      </c>
      <c r="BQ144" t="s">
        <v>74</v>
      </c>
      <c r="BR144" t="s">
        <v>101</v>
      </c>
      <c r="BS144" t="s">
        <v>2953</v>
      </c>
      <c r="BT144" t="str">
        <f>HYPERLINK("https%3A%2F%2Fwww.webofscience.com%2Fwos%2Fwoscc%2Ffull-record%2FWOS:000273096000046","View Full Record in Web of Science")</f>
        <v>View Full Record in Web of Science</v>
      </c>
    </row>
    <row r="145" spans="1:72" x14ac:dyDescent="0.15">
      <c r="A145" t="s">
        <v>72</v>
      </c>
      <c r="B145" t="s">
        <v>2954</v>
      </c>
      <c r="C145" t="s">
        <v>74</v>
      </c>
      <c r="D145" t="s">
        <v>74</v>
      </c>
      <c r="E145" t="s">
        <v>74</v>
      </c>
      <c r="F145" t="s">
        <v>2955</v>
      </c>
      <c r="G145" t="s">
        <v>74</v>
      </c>
      <c r="H145" t="s">
        <v>74</v>
      </c>
      <c r="I145" t="s">
        <v>2956</v>
      </c>
      <c r="J145" t="s">
        <v>2957</v>
      </c>
      <c r="K145" t="s">
        <v>74</v>
      </c>
      <c r="L145" t="s">
        <v>74</v>
      </c>
      <c r="M145" t="s">
        <v>78</v>
      </c>
      <c r="N145" t="s">
        <v>79</v>
      </c>
      <c r="O145" t="s">
        <v>74</v>
      </c>
      <c r="P145" t="s">
        <v>74</v>
      </c>
      <c r="Q145" t="s">
        <v>74</v>
      </c>
      <c r="R145" t="s">
        <v>74</v>
      </c>
      <c r="S145" t="s">
        <v>74</v>
      </c>
      <c r="T145" t="s">
        <v>74</v>
      </c>
      <c r="U145" t="s">
        <v>2958</v>
      </c>
      <c r="V145" t="s">
        <v>2959</v>
      </c>
      <c r="W145" t="s">
        <v>2960</v>
      </c>
      <c r="X145" t="s">
        <v>2961</v>
      </c>
      <c r="Y145" t="s">
        <v>2962</v>
      </c>
      <c r="Z145" t="s">
        <v>2963</v>
      </c>
      <c r="AA145" t="s">
        <v>2964</v>
      </c>
      <c r="AB145" t="s">
        <v>2965</v>
      </c>
      <c r="AC145" t="s">
        <v>2966</v>
      </c>
      <c r="AD145" t="s">
        <v>2966</v>
      </c>
      <c r="AE145" t="s">
        <v>2967</v>
      </c>
      <c r="AF145" t="s">
        <v>74</v>
      </c>
      <c r="AG145">
        <v>82</v>
      </c>
      <c r="AH145">
        <v>152</v>
      </c>
      <c r="AI145">
        <v>172</v>
      </c>
      <c r="AJ145">
        <v>2</v>
      </c>
      <c r="AK145">
        <v>108</v>
      </c>
      <c r="AL145" t="s">
        <v>2968</v>
      </c>
      <c r="AM145" t="s">
        <v>2969</v>
      </c>
      <c r="AN145" t="s">
        <v>2970</v>
      </c>
      <c r="AO145" t="s">
        <v>2971</v>
      </c>
      <c r="AP145" t="s">
        <v>74</v>
      </c>
      <c r="AQ145" t="s">
        <v>74</v>
      </c>
      <c r="AR145" t="s">
        <v>2957</v>
      </c>
      <c r="AS145" t="s">
        <v>806</v>
      </c>
      <c r="AT145" t="s">
        <v>1026</v>
      </c>
      <c r="AU145">
        <v>2009</v>
      </c>
      <c r="AV145">
        <v>22</v>
      </c>
      <c r="AW145">
        <v>4</v>
      </c>
      <c r="AX145" t="s">
        <v>74</v>
      </c>
      <c r="AY145" t="s">
        <v>74</v>
      </c>
      <c r="AZ145" t="s">
        <v>1546</v>
      </c>
      <c r="BA145" t="s">
        <v>74</v>
      </c>
      <c r="BB145">
        <v>94</v>
      </c>
      <c r="BC145">
        <v>107</v>
      </c>
      <c r="BD145" t="s">
        <v>74</v>
      </c>
      <c r="BE145" t="s">
        <v>2972</v>
      </c>
      <c r="BF145" t="str">
        <f>HYPERLINK("http://dx.doi.org/10.5670/oceanog.2009.100","http://dx.doi.org/10.5670/oceanog.2009.100")</f>
        <v>http://dx.doi.org/10.5670/oceanog.2009.100</v>
      </c>
      <c r="BG145" t="s">
        <v>74</v>
      </c>
      <c r="BH145" t="s">
        <v>74</v>
      </c>
      <c r="BI145">
        <v>14</v>
      </c>
      <c r="BJ145" t="s">
        <v>806</v>
      </c>
      <c r="BK145" t="s">
        <v>98</v>
      </c>
      <c r="BL145" t="s">
        <v>806</v>
      </c>
      <c r="BM145" t="s">
        <v>2973</v>
      </c>
      <c r="BN145" t="s">
        <v>74</v>
      </c>
      <c r="BO145" t="s">
        <v>2974</v>
      </c>
      <c r="BP145" t="s">
        <v>74</v>
      </c>
      <c r="BQ145" t="s">
        <v>74</v>
      </c>
      <c r="BR145" t="s">
        <v>101</v>
      </c>
      <c r="BS145" t="s">
        <v>2975</v>
      </c>
      <c r="BT145" t="str">
        <f>HYPERLINK("https%3A%2F%2Fwww.webofscience.com%2Fwos%2Fwoscc%2Ffull-record%2FWOS:000273465500016","View Full Record in Web of Science")</f>
        <v>View Full Record in Web of Science</v>
      </c>
    </row>
    <row r="146" spans="1:72" x14ac:dyDescent="0.15">
      <c r="A146" t="s">
        <v>72</v>
      </c>
      <c r="B146" t="s">
        <v>2976</v>
      </c>
      <c r="C146" t="s">
        <v>74</v>
      </c>
      <c r="D146" t="s">
        <v>74</v>
      </c>
      <c r="E146" t="s">
        <v>74</v>
      </c>
      <c r="F146" t="s">
        <v>2977</v>
      </c>
      <c r="G146" t="s">
        <v>74</v>
      </c>
      <c r="H146" t="s">
        <v>74</v>
      </c>
      <c r="I146" t="s">
        <v>2978</v>
      </c>
      <c r="J146" t="s">
        <v>2957</v>
      </c>
      <c r="K146" t="s">
        <v>74</v>
      </c>
      <c r="L146" t="s">
        <v>74</v>
      </c>
      <c r="M146" t="s">
        <v>78</v>
      </c>
      <c r="N146" t="s">
        <v>79</v>
      </c>
      <c r="O146" t="s">
        <v>74</v>
      </c>
      <c r="P146" t="s">
        <v>74</v>
      </c>
      <c r="Q146" t="s">
        <v>74</v>
      </c>
      <c r="R146" t="s">
        <v>74</v>
      </c>
      <c r="S146" t="s">
        <v>74</v>
      </c>
      <c r="T146" t="s">
        <v>74</v>
      </c>
      <c r="U146" t="s">
        <v>2979</v>
      </c>
      <c r="V146" t="s">
        <v>2980</v>
      </c>
      <c r="W146" t="s">
        <v>2981</v>
      </c>
      <c r="X146" t="s">
        <v>2982</v>
      </c>
      <c r="Y146" t="s">
        <v>2983</v>
      </c>
      <c r="Z146" t="s">
        <v>2984</v>
      </c>
      <c r="AA146" t="s">
        <v>2985</v>
      </c>
      <c r="AB146" t="s">
        <v>2986</v>
      </c>
      <c r="AC146" t="s">
        <v>2987</v>
      </c>
      <c r="AD146" t="s">
        <v>2988</v>
      </c>
      <c r="AE146" t="s">
        <v>2989</v>
      </c>
      <c r="AF146" t="s">
        <v>74</v>
      </c>
      <c r="AG146">
        <v>48</v>
      </c>
      <c r="AH146">
        <v>298</v>
      </c>
      <c r="AI146">
        <v>325</v>
      </c>
      <c r="AJ146">
        <v>4</v>
      </c>
      <c r="AK146">
        <v>151</v>
      </c>
      <c r="AL146" t="s">
        <v>2968</v>
      </c>
      <c r="AM146" t="s">
        <v>2969</v>
      </c>
      <c r="AN146" t="s">
        <v>2970</v>
      </c>
      <c r="AO146" t="s">
        <v>2971</v>
      </c>
      <c r="AP146" t="s">
        <v>74</v>
      </c>
      <c r="AQ146" t="s">
        <v>74</v>
      </c>
      <c r="AR146" t="s">
        <v>2957</v>
      </c>
      <c r="AS146" t="s">
        <v>806</v>
      </c>
      <c r="AT146" t="s">
        <v>1026</v>
      </c>
      <c r="AU146">
        <v>2009</v>
      </c>
      <c r="AV146">
        <v>22</v>
      </c>
      <c r="AW146">
        <v>4</v>
      </c>
      <c r="AX146" t="s">
        <v>74</v>
      </c>
      <c r="AY146" t="s">
        <v>74</v>
      </c>
      <c r="AZ146" t="s">
        <v>1546</v>
      </c>
      <c r="BA146" t="s">
        <v>74</v>
      </c>
      <c r="BB146">
        <v>160</v>
      </c>
      <c r="BC146">
        <v>171</v>
      </c>
      <c r="BD146" t="s">
        <v>74</v>
      </c>
      <c r="BE146" t="s">
        <v>2990</v>
      </c>
      <c r="BF146" t="str">
        <f>HYPERLINK("http://dx.doi.org/10.5670/oceanog.2009.105","http://dx.doi.org/10.5670/oceanog.2009.105")</f>
        <v>http://dx.doi.org/10.5670/oceanog.2009.105</v>
      </c>
      <c r="BG146" t="s">
        <v>74</v>
      </c>
      <c r="BH146" t="s">
        <v>74</v>
      </c>
      <c r="BI146">
        <v>12</v>
      </c>
      <c r="BJ146" t="s">
        <v>806</v>
      </c>
      <c r="BK146" t="s">
        <v>98</v>
      </c>
      <c r="BL146" t="s">
        <v>806</v>
      </c>
      <c r="BM146" t="s">
        <v>2973</v>
      </c>
      <c r="BN146" t="s">
        <v>74</v>
      </c>
      <c r="BO146" t="s">
        <v>2991</v>
      </c>
      <c r="BP146" t="s">
        <v>74</v>
      </c>
      <c r="BQ146" t="s">
        <v>74</v>
      </c>
      <c r="BR146" t="s">
        <v>101</v>
      </c>
      <c r="BS146" t="s">
        <v>2992</v>
      </c>
      <c r="BT146" t="str">
        <f>HYPERLINK("https%3A%2F%2Fwww.webofscience.com%2Fwos%2Fwoscc%2Ffull-record%2FWOS:000273465500021","View Full Record in Web of Science")</f>
        <v>View Full Record in Web of Science</v>
      </c>
    </row>
    <row r="147" spans="1:72" x14ac:dyDescent="0.15">
      <c r="A147" t="s">
        <v>72</v>
      </c>
      <c r="B147" t="s">
        <v>2993</v>
      </c>
      <c r="C147" t="s">
        <v>74</v>
      </c>
      <c r="D147" t="s">
        <v>74</v>
      </c>
      <c r="E147" t="s">
        <v>74</v>
      </c>
      <c r="F147" t="s">
        <v>2994</v>
      </c>
      <c r="G147" t="s">
        <v>74</v>
      </c>
      <c r="H147" t="s">
        <v>74</v>
      </c>
      <c r="I147" t="s">
        <v>2995</v>
      </c>
      <c r="J147" t="s">
        <v>2996</v>
      </c>
      <c r="K147" t="s">
        <v>74</v>
      </c>
      <c r="L147" t="s">
        <v>74</v>
      </c>
      <c r="M147" t="s">
        <v>78</v>
      </c>
      <c r="N147" t="s">
        <v>1965</v>
      </c>
      <c r="O147" t="s">
        <v>2997</v>
      </c>
      <c r="P147" t="s">
        <v>2998</v>
      </c>
      <c r="Q147" t="s">
        <v>2999</v>
      </c>
      <c r="R147" t="s">
        <v>74</v>
      </c>
      <c r="S147" t="s">
        <v>74</v>
      </c>
      <c r="T147" t="s">
        <v>74</v>
      </c>
      <c r="U147" t="s">
        <v>3000</v>
      </c>
      <c r="V147" t="s">
        <v>3001</v>
      </c>
      <c r="W147" t="s">
        <v>3002</v>
      </c>
      <c r="X147" t="s">
        <v>3003</v>
      </c>
      <c r="Y147" t="s">
        <v>3004</v>
      </c>
      <c r="Z147" t="s">
        <v>3005</v>
      </c>
      <c r="AA147" t="s">
        <v>3006</v>
      </c>
      <c r="AB147" t="s">
        <v>74</v>
      </c>
      <c r="AC147" t="s">
        <v>74</v>
      </c>
      <c r="AD147" t="s">
        <v>74</v>
      </c>
      <c r="AE147" t="s">
        <v>74</v>
      </c>
      <c r="AF147" t="s">
        <v>74</v>
      </c>
      <c r="AG147">
        <v>57</v>
      </c>
      <c r="AH147">
        <v>12</v>
      </c>
      <c r="AI147">
        <v>14</v>
      </c>
      <c r="AJ147">
        <v>0</v>
      </c>
      <c r="AK147">
        <v>6</v>
      </c>
      <c r="AL147" t="s">
        <v>3007</v>
      </c>
      <c r="AM147" t="s">
        <v>3008</v>
      </c>
      <c r="AN147" t="s">
        <v>3009</v>
      </c>
      <c r="AO147" t="s">
        <v>3010</v>
      </c>
      <c r="AP147" t="s">
        <v>3011</v>
      </c>
      <c r="AQ147" t="s">
        <v>74</v>
      </c>
      <c r="AR147" t="s">
        <v>3012</v>
      </c>
      <c r="AS147" t="s">
        <v>3013</v>
      </c>
      <c r="AT147" t="s">
        <v>1026</v>
      </c>
      <c r="AU147">
        <v>2009</v>
      </c>
      <c r="AV147">
        <v>43</v>
      </c>
      <c r="AW147">
        <v>11</v>
      </c>
      <c r="AX147" t="s">
        <v>74</v>
      </c>
      <c r="AY147" t="s">
        <v>74</v>
      </c>
      <c r="AZ147" t="s">
        <v>74</v>
      </c>
      <c r="BA147" t="s">
        <v>74</v>
      </c>
      <c r="BB147">
        <v>1458</v>
      </c>
      <c r="BC147">
        <v>1468</v>
      </c>
      <c r="BD147" t="s">
        <v>74</v>
      </c>
      <c r="BE147" t="s">
        <v>3014</v>
      </c>
      <c r="BF147" t="str">
        <f>HYPERLINK("http://dx.doi.org/10.1134/S0031030109110100","http://dx.doi.org/10.1134/S0031030109110100")</f>
        <v>http://dx.doi.org/10.1134/S0031030109110100</v>
      </c>
      <c r="BG147" t="s">
        <v>74</v>
      </c>
      <c r="BH147" t="s">
        <v>74</v>
      </c>
      <c r="BI147">
        <v>11</v>
      </c>
      <c r="BJ147" t="s">
        <v>2746</v>
      </c>
      <c r="BK147" t="s">
        <v>1986</v>
      </c>
      <c r="BL147" t="s">
        <v>2746</v>
      </c>
      <c r="BM147" t="s">
        <v>3015</v>
      </c>
      <c r="BN147" t="s">
        <v>74</v>
      </c>
      <c r="BO147" t="s">
        <v>74</v>
      </c>
      <c r="BP147" t="s">
        <v>74</v>
      </c>
      <c r="BQ147" t="s">
        <v>74</v>
      </c>
      <c r="BR147" t="s">
        <v>101</v>
      </c>
      <c r="BS147" t="s">
        <v>3016</v>
      </c>
      <c r="BT147" t="str">
        <f>HYPERLINK("https%3A%2F%2Fwww.webofscience.com%2Fwos%2Fwoscc%2Ffull-record%2FWOS:000273262600010","View Full Record in Web of Science")</f>
        <v>View Full Record in Web of Science</v>
      </c>
    </row>
    <row r="148" spans="1:72" x14ac:dyDescent="0.15">
      <c r="A148" t="s">
        <v>72</v>
      </c>
      <c r="B148" t="s">
        <v>3017</v>
      </c>
      <c r="C148" t="s">
        <v>74</v>
      </c>
      <c r="D148" t="s">
        <v>74</v>
      </c>
      <c r="E148" t="s">
        <v>74</v>
      </c>
      <c r="F148" t="s">
        <v>3018</v>
      </c>
      <c r="G148" t="s">
        <v>74</v>
      </c>
      <c r="H148" t="s">
        <v>74</v>
      </c>
      <c r="I148" t="s">
        <v>3019</v>
      </c>
      <c r="J148" t="s">
        <v>3020</v>
      </c>
      <c r="K148" t="s">
        <v>74</v>
      </c>
      <c r="L148" t="s">
        <v>74</v>
      </c>
      <c r="M148" t="s">
        <v>78</v>
      </c>
      <c r="N148" t="s">
        <v>79</v>
      </c>
      <c r="O148" t="s">
        <v>74</v>
      </c>
      <c r="P148" t="s">
        <v>74</v>
      </c>
      <c r="Q148" t="s">
        <v>74</v>
      </c>
      <c r="R148" t="s">
        <v>74</v>
      </c>
      <c r="S148" t="s">
        <v>74</v>
      </c>
      <c r="T148" t="s">
        <v>3021</v>
      </c>
      <c r="U148" t="s">
        <v>3022</v>
      </c>
      <c r="V148" t="s">
        <v>3023</v>
      </c>
      <c r="W148" t="s">
        <v>3024</v>
      </c>
      <c r="X148" t="s">
        <v>3025</v>
      </c>
      <c r="Y148" t="s">
        <v>3026</v>
      </c>
      <c r="Z148" t="s">
        <v>3027</v>
      </c>
      <c r="AA148" t="s">
        <v>3028</v>
      </c>
      <c r="AB148" t="s">
        <v>3029</v>
      </c>
      <c r="AC148" t="s">
        <v>3030</v>
      </c>
      <c r="AD148" t="s">
        <v>3031</v>
      </c>
      <c r="AE148" t="s">
        <v>3032</v>
      </c>
      <c r="AF148" t="s">
        <v>74</v>
      </c>
      <c r="AG148">
        <v>53</v>
      </c>
      <c r="AH148">
        <v>9</v>
      </c>
      <c r="AI148">
        <v>9</v>
      </c>
      <c r="AJ148">
        <v>0</v>
      </c>
      <c r="AK148">
        <v>13</v>
      </c>
      <c r="AL148" t="s">
        <v>3033</v>
      </c>
      <c r="AM148" t="s">
        <v>1185</v>
      </c>
      <c r="AN148" t="s">
        <v>1186</v>
      </c>
      <c r="AO148" t="s">
        <v>3034</v>
      </c>
      <c r="AP148" t="s">
        <v>74</v>
      </c>
      <c r="AQ148" t="s">
        <v>74</v>
      </c>
      <c r="AR148" t="s">
        <v>3035</v>
      </c>
      <c r="AS148" t="s">
        <v>3036</v>
      </c>
      <c r="AT148" t="s">
        <v>1026</v>
      </c>
      <c r="AU148">
        <v>2009</v>
      </c>
      <c r="AV148">
        <v>34</v>
      </c>
      <c r="AW148">
        <v>4</v>
      </c>
      <c r="AX148" t="s">
        <v>74</v>
      </c>
      <c r="AY148" t="s">
        <v>74</v>
      </c>
      <c r="AZ148" t="s">
        <v>74</v>
      </c>
      <c r="BA148" t="s">
        <v>74</v>
      </c>
      <c r="BB148">
        <v>325</v>
      </c>
      <c r="BC148">
        <v>332</v>
      </c>
      <c r="BD148" t="s">
        <v>74</v>
      </c>
      <c r="BE148" t="s">
        <v>3037</v>
      </c>
      <c r="BF148" t="str">
        <f>HYPERLINK("http://dx.doi.org/10.1111/j.1365-3032.2009.00693.x","http://dx.doi.org/10.1111/j.1365-3032.2009.00693.x")</f>
        <v>http://dx.doi.org/10.1111/j.1365-3032.2009.00693.x</v>
      </c>
      <c r="BG148" t="s">
        <v>74</v>
      </c>
      <c r="BH148" t="s">
        <v>74</v>
      </c>
      <c r="BI148">
        <v>8</v>
      </c>
      <c r="BJ148" t="s">
        <v>3038</v>
      </c>
      <c r="BK148" t="s">
        <v>98</v>
      </c>
      <c r="BL148" t="s">
        <v>3038</v>
      </c>
      <c r="BM148" t="s">
        <v>3039</v>
      </c>
      <c r="BN148" t="s">
        <v>74</v>
      </c>
      <c r="BO148" t="s">
        <v>74</v>
      </c>
      <c r="BP148" t="s">
        <v>74</v>
      </c>
      <c r="BQ148" t="s">
        <v>74</v>
      </c>
      <c r="BR148" t="s">
        <v>101</v>
      </c>
      <c r="BS148" t="s">
        <v>3040</v>
      </c>
      <c r="BT148" t="str">
        <f>HYPERLINK("https%3A%2F%2Fwww.webofscience.com%2Fwos%2Fwoscc%2Ffull-record%2FWOS:000271975600004","View Full Record in Web of Science")</f>
        <v>View Full Record in Web of Science</v>
      </c>
    </row>
    <row r="149" spans="1:72" x14ac:dyDescent="0.15">
      <c r="A149" t="s">
        <v>72</v>
      </c>
      <c r="B149" t="s">
        <v>3041</v>
      </c>
      <c r="C149" t="s">
        <v>74</v>
      </c>
      <c r="D149" t="s">
        <v>74</v>
      </c>
      <c r="E149" t="s">
        <v>74</v>
      </c>
      <c r="F149" t="s">
        <v>3042</v>
      </c>
      <c r="G149" t="s">
        <v>74</v>
      </c>
      <c r="H149" t="s">
        <v>74</v>
      </c>
      <c r="I149" t="s">
        <v>3043</v>
      </c>
      <c r="J149" t="s">
        <v>3044</v>
      </c>
      <c r="K149" t="s">
        <v>74</v>
      </c>
      <c r="L149" t="s">
        <v>74</v>
      </c>
      <c r="M149" t="s">
        <v>78</v>
      </c>
      <c r="N149" t="s">
        <v>79</v>
      </c>
      <c r="O149" t="s">
        <v>74</v>
      </c>
      <c r="P149" t="s">
        <v>74</v>
      </c>
      <c r="Q149" t="s">
        <v>74</v>
      </c>
      <c r="R149" t="s">
        <v>74</v>
      </c>
      <c r="S149" t="s">
        <v>74</v>
      </c>
      <c r="T149" t="s">
        <v>74</v>
      </c>
      <c r="U149" t="s">
        <v>3045</v>
      </c>
      <c r="V149" t="s">
        <v>3046</v>
      </c>
      <c r="W149" t="s">
        <v>3047</v>
      </c>
      <c r="X149" t="s">
        <v>3048</v>
      </c>
      <c r="Y149" t="s">
        <v>3049</v>
      </c>
      <c r="Z149" t="s">
        <v>3050</v>
      </c>
      <c r="AA149" t="s">
        <v>3051</v>
      </c>
      <c r="AB149" t="s">
        <v>3052</v>
      </c>
      <c r="AC149" t="s">
        <v>3053</v>
      </c>
      <c r="AD149" t="s">
        <v>3054</v>
      </c>
      <c r="AE149" t="s">
        <v>3055</v>
      </c>
      <c r="AF149" t="s">
        <v>74</v>
      </c>
      <c r="AG149">
        <v>27</v>
      </c>
      <c r="AH149">
        <v>107</v>
      </c>
      <c r="AI149">
        <v>115</v>
      </c>
      <c r="AJ149">
        <v>1</v>
      </c>
      <c r="AK149">
        <v>152</v>
      </c>
      <c r="AL149" t="s">
        <v>3056</v>
      </c>
      <c r="AM149" t="s">
        <v>2969</v>
      </c>
      <c r="AN149" t="s">
        <v>3057</v>
      </c>
      <c r="AO149" t="s">
        <v>3058</v>
      </c>
      <c r="AP149" t="s">
        <v>3059</v>
      </c>
      <c r="AQ149" t="s">
        <v>74</v>
      </c>
      <c r="AR149" t="s">
        <v>3060</v>
      </c>
      <c r="AS149" t="s">
        <v>3061</v>
      </c>
      <c r="AT149" t="s">
        <v>1026</v>
      </c>
      <c r="AU149">
        <v>2009</v>
      </c>
      <c r="AV149">
        <v>151</v>
      </c>
      <c r="AW149">
        <v>4</v>
      </c>
      <c r="AX149" t="s">
        <v>74</v>
      </c>
      <c r="AY149" t="s">
        <v>74</v>
      </c>
      <c r="AZ149" t="s">
        <v>74</v>
      </c>
      <c r="BA149" t="s">
        <v>74</v>
      </c>
      <c r="BB149">
        <v>1751</v>
      </c>
      <c r="BC149">
        <v>1757</v>
      </c>
      <c r="BD149" t="s">
        <v>74</v>
      </c>
      <c r="BE149" t="s">
        <v>3062</v>
      </c>
      <c r="BF149" t="str">
        <f>HYPERLINK("http://dx.doi.org/10.1104/pp.109.141499","http://dx.doi.org/10.1104/pp.109.141499")</f>
        <v>http://dx.doi.org/10.1104/pp.109.141499</v>
      </c>
      <c r="BG149" t="s">
        <v>74</v>
      </c>
      <c r="BH149" t="s">
        <v>74</v>
      </c>
      <c r="BI149">
        <v>7</v>
      </c>
      <c r="BJ149" t="s">
        <v>1527</v>
      </c>
      <c r="BK149" t="s">
        <v>98</v>
      </c>
      <c r="BL149" t="s">
        <v>1527</v>
      </c>
      <c r="BM149" t="s">
        <v>3063</v>
      </c>
      <c r="BN149">
        <v>19812187</v>
      </c>
      <c r="BO149" t="s">
        <v>3064</v>
      </c>
      <c r="BP149" t="s">
        <v>74</v>
      </c>
      <c r="BQ149" t="s">
        <v>74</v>
      </c>
      <c r="BR149" t="s">
        <v>101</v>
      </c>
      <c r="BS149" t="s">
        <v>3065</v>
      </c>
      <c r="BT149" t="str">
        <f>HYPERLINK("https%3A%2F%2Fwww.webofscience.com%2Fwos%2Fwoscc%2Ffull-record%2FWOS:000272443500005","View Full Record in Web of Science")</f>
        <v>View Full Record in Web of Science</v>
      </c>
    </row>
    <row r="150" spans="1:72" x14ac:dyDescent="0.15">
      <c r="A150" t="s">
        <v>72</v>
      </c>
      <c r="B150" t="s">
        <v>3066</v>
      </c>
      <c r="C150" t="s">
        <v>74</v>
      </c>
      <c r="D150" t="s">
        <v>74</v>
      </c>
      <c r="E150" t="s">
        <v>74</v>
      </c>
      <c r="F150" t="s">
        <v>3067</v>
      </c>
      <c r="G150" t="s">
        <v>74</v>
      </c>
      <c r="H150" t="s">
        <v>74</v>
      </c>
      <c r="I150" t="s">
        <v>3068</v>
      </c>
      <c r="J150" t="s">
        <v>3069</v>
      </c>
      <c r="K150" t="s">
        <v>74</v>
      </c>
      <c r="L150" t="s">
        <v>74</v>
      </c>
      <c r="M150" t="s">
        <v>78</v>
      </c>
      <c r="N150" t="s">
        <v>1965</v>
      </c>
      <c r="O150" t="s">
        <v>3070</v>
      </c>
      <c r="P150" t="s">
        <v>3071</v>
      </c>
      <c r="Q150" t="s">
        <v>3072</v>
      </c>
      <c r="R150" t="s">
        <v>74</v>
      </c>
      <c r="S150" t="s">
        <v>3073</v>
      </c>
      <c r="T150" t="s">
        <v>74</v>
      </c>
      <c r="U150" t="s">
        <v>3074</v>
      </c>
      <c r="V150" t="s">
        <v>3075</v>
      </c>
      <c r="W150" t="s">
        <v>3076</v>
      </c>
      <c r="X150" t="s">
        <v>3077</v>
      </c>
      <c r="Y150" t="s">
        <v>3078</v>
      </c>
      <c r="Z150" t="s">
        <v>3079</v>
      </c>
      <c r="AA150" t="s">
        <v>3080</v>
      </c>
      <c r="AB150" t="s">
        <v>3081</v>
      </c>
      <c r="AC150" t="s">
        <v>3082</v>
      </c>
      <c r="AD150" t="s">
        <v>3083</v>
      </c>
      <c r="AE150" t="s">
        <v>74</v>
      </c>
      <c r="AF150" t="s">
        <v>74</v>
      </c>
      <c r="AG150">
        <v>65</v>
      </c>
      <c r="AH150">
        <v>6</v>
      </c>
      <c r="AI150">
        <v>7</v>
      </c>
      <c r="AJ150">
        <v>0</v>
      </c>
      <c r="AK150">
        <v>3</v>
      </c>
      <c r="AL150" t="s">
        <v>3084</v>
      </c>
      <c r="AM150" t="s">
        <v>3085</v>
      </c>
      <c r="AN150" t="s">
        <v>3086</v>
      </c>
      <c r="AO150" t="s">
        <v>3087</v>
      </c>
      <c r="AP150" t="s">
        <v>3088</v>
      </c>
      <c r="AQ150" t="s">
        <v>74</v>
      </c>
      <c r="AR150" t="s">
        <v>3089</v>
      </c>
      <c r="AS150" t="s">
        <v>3090</v>
      </c>
      <c r="AT150" t="s">
        <v>1026</v>
      </c>
      <c r="AU150">
        <v>2009</v>
      </c>
      <c r="AV150">
        <v>51</v>
      </c>
      <c r="AW150">
        <v>12</v>
      </c>
      <c r="AX150" t="s">
        <v>74</v>
      </c>
      <c r="AY150" t="s">
        <v>74</v>
      </c>
      <c r="AZ150" t="s">
        <v>74</v>
      </c>
      <c r="BA150" t="s">
        <v>74</v>
      </c>
      <c r="BB150" t="s">
        <v>74</v>
      </c>
      <c r="BC150" t="s">
        <v>74</v>
      </c>
      <c r="BD150">
        <v>124006</v>
      </c>
      <c r="BE150" t="s">
        <v>3091</v>
      </c>
      <c r="BF150" t="str">
        <f>HYPERLINK("http://dx.doi.org/10.1088/0741-3335/51/12/124006","http://dx.doi.org/10.1088/0741-3335/51/12/124006")</f>
        <v>http://dx.doi.org/10.1088/0741-3335/51/12/124006</v>
      </c>
      <c r="BG150" t="s">
        <v>74</v>
      </c>
      <c r="BH150" t="s">
        <v>74</v>
      </c>
      <c r="BI150">
        <v>9</v>
      </c>
      <c r="BJ150" t="s">
        <v>3092</v>
      </c>
      <c r="BK150" t="s">
        <v>1986</v>
      </c>
      <c r="BL150" t="s">
        <v>154</v>
      </c>
      <c r="BM150" t="s">
        <v>3093</v>
      </c>
      <c r="BN150" t="s">
        <v>74</v>
      </c>
      <c r="BO150" t="s">
        <v>74</v>
      </c>
      <c r="BP150" t="s">
        <v>74</v>
      </c>
      <c r="BQ150" t="s">
        <v>74</v>
      </c>
      <c r="BR150" t="s">
        <v>101</v>
      </c>
      <c r="BS150" t="s">
        <v>3094</v>
      </c>
      <c r="BT150" t="str">
        <f>HYPERLINK("https%3A%2F%2Fwww.webofscience.com%2Fwos%2Fwoscc%2Ffull-record%2FWOS:000271940800017","View Full Record in Web of Science")</f>
        <v>View Full Record in Web of Science</v>
      </c>
    </row>
    <row r="151" spans="1:72" x14ac:dyDescent="0.15">
      <c r="A151" t="s">
        <v>72</v>
      </c>
      <c r="B151" t="s">
        <v>3095</v>
      </c>
      <c r="C151" t="s">
        <v>74</v>
      </c>
      <c r="D151" t="s">
        <v>74</v>
      </c>
      <c r="E151" t="s">
        <v>74</v>
      </c>
      <c r="F151" t="s">
        <v>3096</v>
      </c>
      <c r="G151" t="s">
        <v>74</v>
      </c>
      <c r="H151" t="s">
        <v>74</v>
      </c>
      <c r="I151" t="s">
        <v>3097</v>
      </c>
      <c r="J151" t="s">
        <v>3098</v>
      </c>
      <c r="K151" t="s">
        <v>74</v>
      </c>
      <c r="L151" t="s">
        <v>74</v>
      </c>
      <c r="M151" t="s">
        <v>78</v>
      </c>
      <c r="N151" t="s">
        <v>79</v>
      </c>
      <c r="O151" t="s">
        <v>74</v>
      </c>
      <c r="P151" t="s">
        <v>74</v>
      </c>
      <c r="Q151" t="s">
        <v>74</v>
      </c>
      <c r="R151" t="s">
        <v>74</v>
      </c>
      <c r="S151" t="s">
        <v>74</v>
      </c>
      <c r="T151" t="s">
        <v>3099</v>
      </c>
      <c r="U151" t="s">
        <v>3100</v>
      </c>
      <c r="V151" t="s">
        <v>3101</v>
      </c>
      <c r="W151" t="s">
        <v>3102</v>
      </c>
      <c r="X151" t="s">
        <v>3103</v>
      </c>
      <c r="Y151" t="s">
        <v>3104</v>
      </c>
      <c r="Z151" t="s">
        <v>3105</v>
      </c>
      <c r="AA151" t="s">
        <v>3106</v>
      </c>
      <c r="AB151" t="s">
        <v>3107</v>
      </c>
      <c r="AC151" t="s">
        <v>74</v>
      </c>
      <c r="AD151" t="s">
        <v>74</v>
      </c>
      <c r="AE151" t="s">
        <v>74</v>
      </c>
      <c r="AF151" t="s">
        <v>74</v>
      </c>
      <c r="AG151">
        <v>51</v>
      </c>
      <c r="AH151">
        <v>7</v>
      </c>
      <c r="AI151">
        <v>7</v>
      </c>
      <c r="AJ151">
        <v>3</v>
      </c>
      <c r="AK151">
        <v>9</v>
      </c>
      <c r="AL151" t="s">
        <v>1850</v>
      </c>
      <c r="AM151" t="s">
        <v>684</v>
      </c>
      <c r="AN151" t="s">
        <v>3108</v>
      </c>
      <c r="AO151" t="s">
        <v>3109</v>
      </c>
      <c r="AP151" t="s">
        <v>3110</v>
      </c>
      <c r="AQ151" t="s">
        <v>74</v>
      </c>
      <c r="AR151" t="s">
        <v>3111</v>
      </c>
      <c r="AS151" t="s">
        <v>3112</v>
      </c>
      <c r="AT151" t="s">
        <v>1026</v>
      </c>
      <c r="AU151">
        <v>2009</v>
      </c>
      <c r="AV151">
        <v>32</v>
      </c>
      <c r="AW151">
        <v>12</v>
      </c>
      <c r="AX151" t="s">
        <v>74</v>
      </c>
      <c r="AY151" t="s">
        <v>74</v>
      </c>
      <c r="AZ151" t="s">
        <v>74</v>
      </c>
      <c r="BA151" t="s">
        <v>74</v>
      </c>
      <c r="BB151">
        <v>1693</v>
      </c>
      <c r="BC151">
        <v>1703</v>
      </c>
      <c r="BD151" t="s">
        <v>74</v>
      </c>
      <c r="BE151" t="s">
        <v>3113</v>
      </c>
      <c r="BF151" t="str">
        <f>HYPERLINK("http://dx.doi.org/10.1007/s00300-009-0669-3","http://dx.doi.org/10.1007/s00300-009-0669-3")</f>
        <v>http://dx.doi.org/10.1007/s00300-009-0669-3</v>
      </c>
      <c r="BG151" t="s">
        <v>74</v>
      </c>
      <c r="BH151" t="s">
        <v>74</v>
      </c>
      <c r="BI151">
        <v>11</v>
      </c>
      <c r="BJ151" t="s">
        <v>3114</v>
      </c>
      <c r="BK151" t="s">
        <v>98</v>
      </c>
      <c r="BL151" t="s">
        <v>3115</v>
      </c>
      <c r="BM151" t="s">
        <v>3116</v>
      </c>
      <c r="BN151" t="s">
        <v>74</v>
      </c>
      <c r="BO151" t="s">
        <v>74</v>
      </c>
      <c r="BP151" t="s">
        <v>74</v>
      </c>
      <c r="BQ151" t="s">
        <v>74</v>
      </c>
      <c r="BR151" t="s">
        <v>101</v>
      </c>
      <c r="BS151" t="s">
        <v>3117</v>
      </c>
      <c r="BT151" t="str">
        <f>HYPERLINK("https%3A%2F%2Fwww.webofscience.com%2Fwos%2Fwoscc%2Ffull-record%2FWOS:000271736700001","View Full Record in Web of Science")</f>
        <v>View Full Record in Web of Science</v>
      </c>
    </row>
    <row r="152" spans="1:72" x14ac:dyDescent="0.15">
      <c r="A152" t="s">
        <v>72</v>
      </c>
      <c r="B152" t="s">
        <v>3118</v>
      </c>
      <c r="C152" t="s">
        <v>74</v>
      </c>
      <c r="D152" t="s">
        <v>74</v>
      </c>
      <c r="E152" t="s">
        <v>74</v>
      </c>
      <c r="F152" t="s">
        <v>3119</v>
      </c>
      <c r="G152" t="s">
        <v>74</v>
      </c>
      <c r="H152" t="s">
        <v>74</v>
      </c>
      <c r="I152" t="s">
        <v>3120</v>
      </c>
      <c r="J152" t="s">
        <v>3098</v>
      </c>
      <c r="K152" t="s">
        <v>74</v>
      </c>
      <c r="L152" t="s">
        <v>74</v>
      </c>
      <c r="M152" t="s">
        <v>78</v>
      </c>
      <c r="N152" t="s">
        <v>79</v>
      </c>
      <c r="O152" t="s">
        <v>74</v>
      </c>
      <c r="P152" t="s">
        <v>74</v>
      </c>
      <c r="Q152" t="s">
        <v>74</v>
      </c>
      <c r="R152" t="s">
        <v>74</v>
      </c>
      <c r="S152" t="s">
        <v>74</v>
      </c>
      <c r="T152" t="s">
        <v>3121</v>
      </c>
      <c r="U152" t="s">
        <v>3122</v>
      </c>
      <c r="V152" t="s">
        <v>3123</v>
      </c>
      <c r="W152" t="s">
        <v>3124</v>
      </c>
      <c r="X152" t="s">
        <v>3125</v>
      </c>
      <c r="Y152" t="s">
        <v>3126</v>
      </c>
      <c r="Z152" t="s">
        <v>3127</v>
      </c>
      <c r="AA152" t="s">
        <v>3128</v>
      </c>
      <c r="AB152" t="s">
        <v>3129</v>
      </c>
      <c r="AC152" t="s">
        <v>3130</v>
      </c>
      <c r="AD152" t="s">
        <v>3131</v>
      </c>
      <c r="AE152" t="s">
        <v>3132</v>
      </c>
      <c r="AF152" t="s">
        <v>74</v>
      </c>
      <c r="AG152">
        <v>54</v>
      </c>
      <c r="AH152">
        <v>8</v>
      </c>
      <c r="AI152">
        <v>10</v>
      </c>
      <c r="AJ152">
        <v>0</v>
      </c>
      <c r="AK152">
        <v>13</v>
      </c>
      <c r="AL152" t="s">
        <v>1850</v>
      </c>
      <c r="AM152" t="s">
        <v>684</v>
      </c>
      <c r="AN152" t="s">
        <v>3108</v>
      </c>
      <c r="AO152" t="s">
        <v>3109</v>
      </c>
      <c r="AP152" t="s">
        <v>3110</v>
      </c>
      <c r="AQ152" t="s">
        <v>74</v>
      </c>
      <c r="AR152" t="s">
        <v>3111</v>
      </c>
      <c r="AS152" t="s">
        <v>3112</v>
      </c>
      <c r="AT152" t="s">
        <v>1026</v>
      </c>
      <c r="AU152">
        <v>2009</v>
      </c>
      <c r="AV152">
        <v>32</v>
      </c>
      <c r="AW152">
        <v>12</v>
      </c>
      <c r="AX152" t="s">
        <v>74</v>
      </c>
      <c r="AY152" t="s">
        <v>74</v>
      </c>
      <c r="AZ152" t="s">
        <v>74</v>
      </c>
      <c r="BA152" t="s">
        <v>74</v>
      </c>
      <c r="BB152">
        <v>1731</v>
      </c>
      <c r="BC152">
        <v>1741</v>
      </c>
      <c r="BD152" t="s">
        <v>74</v>
      </c>
      <c r="BE152" t="s">
        <v>3133</v>
      </c>
      <c r="BF152" t="str">
        <f>HYPERLINK("http://dx.doi.org/10.1007/s00300-009-0672-8","http://dx.doi.org/10.1007/s00300-009-0672-8")</f>
        <v>http://dx.doi.org/10.1007/s00300-009-0672-8</v>
      </c>
      <c r="BG152" t="s">
        <v>74</v>
      </c>
      <c r="BH152" t="s">
        <v>74</v>
      </c>
      <c r="BI152">
        <v>11</v>
      </c>
      <c r="BJ152" t="s">
        <v>3114</v>
      </c>
      <c r="BK152" t="s">
        <v>98</v>
      </c>
      <c r="BL152" t="s">
        <v>3115</v>
      </c>
      <c r="BM152" t="s">
        <v>3116</v>
      </c>
      <c r="BN152" t="s">
        <v>74</v>
      </c>
      <c r="BO152" t="s">
        <v>74</v>
      </c>
      <c r="BP152" t="s">
        <v>74</v>
      </c>
      <c r="BQ152" t="s">
        <v>74</v>
      </c>
      <c r="BR152" t="s">
        <v>101</v>
      </c>
      <c r="BS152" t="s">
        <v>3134</v>
      </c>
      <c r="BT152" t="str">
        <f>HYPERLINK("https%3A%2F%2Fwww.webofscience.com%2Fwos%2Fwoscc%2Ffull-record%2FWOS:000271736700004","View Full Record in Web of Science")</f>
        <v>View Full Record in Web of Science</v>
      </c>
    </row>
    <row r="153" spans="1:72" x14ac:dyDescent="0.15">
      <c r="A153" t="s">
        <v>72</v>
      </c>
      <c r="B153" t="s">
        <v>3135</v>
      </c>
      <c r="C153" t="s">
        <v>74</v>
      </c>
      <c r="D153" t="s">
        <v>74</v>
      </c>
      <c r="E153" t="s">
        <v>74</v>
      </c>
      <c r="F153" t="s">
        <v>3136</v>
      </c>
      <c r="G153" t="s">
        <v>74</v>
      </c>
      <c r="H153" t="s">
        <v>74</v>
      </c>
      <c r="I153" t="s">
        <v>3137</v>
      </c>
      <c r="J153" t="s">
        <v>3098</v>
      </c>
      <c r="K153" t="s">
        <v>74</v>
      </c>
      <c r="L153" t="s">
        <v>74</v>
      </c>
      <c r="M153" t="s">
        <v>78</v>
      </c>
      <c r="N153" t="s">
        <v>79</v>
      </c>
      <c r="O153" t="s">
        <v>74</v>
      </c>
      <c r="P153" t="s">
        <v>74</v>
      </c>
      <c r="Q153" t="s">
        <v>74</v>
      </c>
      <c r="R153" t="s">
        <v>74</v>
      </c>
      <c r="S153" t="s">
        <v>74</v>
      </c>
      <c r="T153" t="s">
        <v>3138</v>
      </c>
      <c r="U153" t="s">
        <v>3139</v>
      </c>
      <c r="V153" t="s">
        <v>3140</v>
      </c>
      <c r="W153" t="s">
        <v>3141</v>
      </c>
      <c r="X153" t="s">
        <v>3142</v>
      </c>
      <c r="Y153" t="s">
        <v>3143</v>
      </c>
      <c r="Z153" t="s">
        <v>3144</v>
      </c>
      <c r="AA153" t="s">
        <v>3145</v>
      </c>
      <c r="AB153" t="s">
        <v>3146</v>
      </c>
      <c r="AC153" t="s">
        <v>74</v>
      </c>
      <c r="AD153" t="s">
        <v>74</v>
      </c>
      <c r="AE153" t="s">
        <v>74</v>
      </c>
      <c r="AF153" t="s">
        <v>74</v>
      </c>
      <c r="AG153">
        <v>11</v>
      </c>
      <c r="AH153">
        <v>16</v>
      </c>
      <c r="AI153">
        <v>17</v>
      </c>
      <c r="AJ153">
        <v>0</v>
      </c>
      <c r="AK153">
        <v>2</v>
      </c>
      <c r="AL153" t="s">
        <v>1850</v>
      </c>
      <c r="AM153" t="s">
        <v>684</v>
      </c>
      <c r="AN153" t="s">
        <v>2272</v>
      </c>
      <c r="AO153" t="s">
        <v>3109</v>
      </c>
      <c r="AP153" t="s">
        <v>3110</v>
      </c>
      <c r="AQ153" t="s">
        <v>74</v>
      </c>
      <c r="AR153" t="s">
        <v>3111</v>
      </c>
      <c r="AS153" t="s">
        <v>3112</v>
      </c>
      <c r="AT153" t="s">
        <v>1026</v>
      </c>
      <c r="AU153">
        <v>2009</v>
      </c>
      <c r="AV153">
        <v>32</v>
      </c>
      <c r="AW153">
        <v>12</v>
      </c>
      <c r="AX153" t="s">
        <v>74</v>
      </c>
      <c r="AY153" t="s">
        <v>74</v>
      </c>
      <c r="AZ153" t="s">
        <v>74</v>
      </c>
      <c r="BA153" t="s">
        <v>74</v>
      </c>
      <c r="BB153">
        <v>1743</v>
      </c>
      <c r="BC153">
        <v>1751</v>
      </c>
      <c r="BD153" t="s">
        <v>74</v>
      </c>
      <c r="BE153" t="s">
        <v>3147</v>
      </c>
      <c r="BF153" t="str">
        <f>HYPERLINK("http://dx.doi.org/10.1007/s00300-009-0673-7","http://dx.doi.org/10.1007/s00300-009-0673-7")</f>
        <v>http://dx.doi.org/10.1007/s00300-009-0673-7</v>
      </c>
      <c r="BG153" t="s">
        <v>74</v>
      </c>
      <c r="BH153" t="s">
        <v>74</v>
      </c>
      <c r="BI153">
        <v>9</v>
      </c>
      <c r="BJ153" t="s">
        <v>3114</v>
      </c>
      <c r="BK153" t="s">
        <v>98</v>
      </c>
      <c r="BL153" t="s">
        <v>3115</v>
      </c>
      <c r="BM153" t="s">
        <v>3116</v>
      </c>
      <c r="BN153" t="s">
        <v>74</v>
      </c>
      <c r="BO153" t="s">
        <v>74</v>
      </c>
      <c r="BP153" t="s">
        <v>74</v>
      </c>
      <c r="BQ153" t="s">
        <v>74</v>
      </c>
      <c r="BR153" t="s">
        <v>101</v>
      </c>
      <c r="BS153" t="s">
        <v>3148</v>
      </c>
      <c r="BT153" t="str">
        <f>HYPERLINK("https%3A%2F%2Fwww.webofscience.com%2Fwos%2Fwoscc%2Ffull-record%2FWOS:000271736700005","View Full Record in Web of Science")</f>
        <v>View Full Record in Web of Science</v>
      </c>
    </row>
    <row r="154" spans="1:72" x14ac:dyDescent="0.15">
      <c r="A154" t="s">
        <v>72</v>
      </c>
      <c r="B154" t="s">
        <v>3149</v>
      </c>
      <c r="C154" t="s">
        <v>74</v>
      </c>
      <c r="D154" t="s">
        <v>74</v>
      </c>
      <c r="E154" t="s">
        <v>74</v>
      </c>
      <c r="F154" t="s">
        <v>3150</v>
      </c>
      <c r="G154" t="s">
        <v>74</v>
      </c>
      <c r="H154" t="s">
        <v>74</v>
      </c>
      <c r="I154" t="s">
        <v>3151</v>
      </c>
      <c r="J154" t="s">
        <v>3098</v>
      </c>
      <c r="K154" t="s">
        <v>74</v>
      </c>
      <c r="L154" t="s">
        <v>74</v>
      </c>
      <c r="M154" t="s">
        <v>78</v>
      </c>
      <c r="N154" t="s">
        <v>79</v>
      </c>
      <c r="O154" t="s">
        <v>74</v>
      </c>
      <c r="P154" t="s">
        <v>74</v>
      </c>
      <c r="Q154" t="s">
        <v>74</v>
      </c>
      <c r="R154" t="s">
        <v>74</v>
      </c>
      <c r="S154" t="s">
        <v>74</v>
      </c>
      <c r="T154" t="s">
        <v>3152</v>
      </c>
      <c r="U154" t="s">
        <v>3153</v>
      </c>
      <c r="V154" t="s">
        <v>3154</v>
      </c>
      <c r="W154" t="s">
        <v>3155</v>
      </c>
      <c r="X154" t="s">
        <v>3156</v>
      </c>
      <c r="Y154" t="s">
        <v>3157</v>
      </c>
      <c r="Z154" t="s">
        <v>3158</v>
      </c>
      <c r="AA154" t="s">
        <v>3159</v>
      </c>
      <c r="AB154" t="s">
        <v>3160</v>
      </c>
      <c r="AC154" t="s">
        <v>3161</v>
      </c>
      <c r="AD154" t="s">
        <v>3162</v>
      </c>
      <c r="AE154" t="s">
        <v>3163</v>
      </c>
      <c r="AF154" t="s">
        <v>74</v>
      </c>
      <c r="AG154">
        <v>44</v>
      </c>
      <c r="AH154">
        <v>8</v>
      </c>
      <c r="AI154">
        <v>8</v>
      </c>
      <c r="AJ154">
        <v>3</v>
      </c>
      <c r="AK154">
        <v>14</v>
      </c>
      <c r="AL154" t="s">
        <v>1850</v>
      </c>
      <c r="AM154" t="s">
        <v>684</v>
      </c>
      <c r="AN154" t="s">
        <v>2272</v>
      </c>
      <c r="AO154" t="s">
        <v>3109</v>
      </c>
      <c r="AP154" t="s">
        <v>3110</v>
      </c>
      <c r="AQ154" t="s">
        <v>74</v>
      </c>
      <c r="AR154" t="s">
        <v>3111</v>
      </c>
      <c r="AS154" t="s">
        <v>3112</v>
      </c>
      <c r="AT154" t="s">
        <v>1026</v>
      </c>
      <c r="AU154">
        <v>2009</v>
      </c>
      <c r="AV154">
        <v>32</v>
      </c>
      <c r="AW154">
        <v>12</v>
      </c>
      <c r="AX154" t="s">
        <v>74</v>
      </c>
      <c r="AY154" t="s">
        <v>74</v>
      </c>
      <c r="AZ154" t="s">
        <v>74</v>
      </c>
      <c r="BA154" t="s">
        <v>74</v>
      </c>
      <c r="BB154">
        <v>1765</v>
      </c>
      <c r="BC154">
        <v>1778</v>
      </c>
      <c r="BD154" t="s">
        <v>74</v>
      </c>
      <c r="BE154" t="s">
        <v>3164</v>
      </c>
      <c r="BF154" t="str">
        <f>HYPERLINK("http://dx.doi.org/10.1007/s00300-009-0676-4","http://dx.doi.org/10.1007/s00300-009-0676-4")</f>
        <v>http://dx.doi.org/10.1007/s00300-009-0676-4</v>
      </c>
      <c r="BG154" t="s">
        <v>74</v>
      </c>
      <c r="BH154" t="s">
        <v>74</v>
      </c>
      <c r="BI154">
        <v>14</v>
      </c>
      <c r="BJ154" t="s">
        <v>3114</v>
      </c>
      <c r="BK154" t="s">
        <v>98</v>
      </c>
      <c r="BL154" t="s">
        <v>3115</v>
      </c>
      <c r="BM154" t="s">
        <v>3116</v>
      </c>
      <c r="BN154" t="s">
        <v>74</v>
      </c>
      <c r="BO154" t="s">
        <v>74</v>
      </c>
      <c r="BP154" t="s">
        <v>74</v>
      </c>
      <c r="BQ154" t="s">
        <v>74</v>
      </c>
      <c r="BR154" t="s">
        <v>101</v>
      </c>
      <c r="BS154" t="s">
        <v>3165</v>
      </c>
      <c r="BT154" t="str">
        <f>HYPERLINK("https%3A%2F%2Fwww.webofscience.com%2Fwos%2Fwoscc%2Ffull-record%2FWOS:000271736700007","View Full Record in Web of Science")</f>
        <v>View Full Record in Web of Science</v>
      </c>
    </row>
    <row r="155" spans="1:72" x14ac:dyDescent="0.15">
      <c r="A155" t="s">
        <v>72</v>
      </c>
      <c r="B155" t="s">
        <v>3166</v>
      </c>
      <c r="C155" t="s">
        <v>74</v>
      </c>
      <c r="D155" t="s">
        <v>74</v>
      </c>
      <c r="E155" t="s">
        <v>74</v>
      </c>
      <c r="F155" t="s">
        <v>3167</v>
      </c>
      <c r="G155" t="s">
        <v>74</v>
      </c>
      <c r="H155" t="s">
        <v>74</v>
      </c>
      <c r="I155" t="s">
        <v>3168</v>
      </c>
      <c r="J155" t="s">
        <v>3098</v>
      </c>
      <c r="K155" t="s">
        <v>74</v>
      </c>
      <c r="L155" t="s">
        <v>74</v>
      </c>
      <c r="M155" t="s">
        <v>78</v>
      </c>
      <c r="N155" t="s">
        <v>79</v>
      </c>
      <c r="O155" t="s">
        <v>74</v>
      </c>
      <c r="P155" t="s">
        <v>74</v>
      </c>
      <c r="Q155" t="s">
        <v>74</v>
      </c>
      <c r="R155" t="s">
        <v>74</v>
      </c>
      <c r="S155" t="s">
        <v>74</v>
      </c>
      <c r="T155" t="s">
        <v>3169</v>
      </c>
      <c r="U155" t="s">
        <v>3170</v>
      </c>
      <c r="V155" t="s">
        <v>3171</v>
      </c>
      <c r="W155" t="s">
        <v>3172</v>
      </c>
      <c r="X155" t="s">
        <v>3173</v>
      </c>
      <c r="Y155" t="s">
        <v>3174</v>
      </c>
      <c r="Z155" t="s">
        <v>3175</v>
      </c>
      <c r="AA155" t="s">
        <v>3176</v>
      </c>
      <c r="AB155" t="s">
        <v>3177</v>
      </c>
      <c r="AC155" t="s">
        <v>3178</v>
      </c>
      <c r="AD155" t="s">
        <v>1629</v>
      </c>
      <c r="AE155" t="s">
        <v>3179</v>
      </c>
      <c r="AF155" t="s">
        <v>74</v>
      </c>
      <c r="AG155">
        <v>59</v>
      </c>
      <c r="AH155">
        <v>32</v>
      </c>
      <c r="AI155">
        <v>36</v>
      </c>
      <c r="AJ155">
        <v>0</v>
      </c>
      <c r="AK155">
        <v>36</v>
      </c>
      <c r="AL155" t="s">
        <v>1850</v>
      </c>
      <c r="AM155" t="s">
        <v>684</v>
      </c>
      <c r="AN155" t="s">
        <v>3108</v>
      </c>
      <c r="AO155" t="s">
        <v>3109</v>
      </c>
      <c r="AP155" t="s">
        <v>3110</v>
      </c>
      <c r="AQ155" t="s">
        <v>74</v>
      </c>
      <c r="AR155" t="s">
        <v>3111</v>
      </c>
      <c r="AS155" t="s">
        <v>3112</v>
      </c>
      <c r="AT155" t="s">
        <v>1026</v>
      </c>
      <c r="AU155">
        <v>2009</v>
      </c>
      <c r="AV155">
        <v>32</v>
      </c>
      <c r="AW155">
        <v>12</v>
      </c>
      <c r="AX155" t="s">
        <v>74</v>
      </c>
      <c r="AY155" t="s">
        <v>74</v>
      </c>
      <c r="AZ155" t="s">
        <v>74</v>
      </c>
      <c r="BA155" t="s">
        <v>74</v>
      </c>
      <c r="BB155">
        <v>1779</v>
      </c>
      <c r="BC155">
        <v>1788</v>
      </c>
      <c r="BD155" t="s">
        <v>74</v>
      </c>
      <c r="BE155" t="s">
        <v>3180</v>
      </c>
      <c r="BF155" t="str">
        <f>HYPERLINK("http://dx.doi.org/10.1007/s00300-009-0677-3","http://dx.doi.org/10.1007/s00300-009-0677-3")</f>
        <v>http://dx.doi.org/10.1007/s00300-009-0677-3</v>
      </c>
      <c r="BG155" t="s">
        <v>74</v>
      </c>
      <c r="BH155" t="s">
        <v>74</v>
      </c>
      <c r="BI155">
        <v>10</v>
      </c>
      <c r="BJ155" t="s">
        <v>3114</v>
      </c>
      <c r="BK155" t="s">
        <v>98</v>
      </c>
      <c r="BL155" t="s">
        <v>3115</v>
      </c>
      <c r="BM155" t="s">
        <v>3116</v>
      </c>
      <c r="BN155" t="s">
        <v>74</v>
      </c>
      <c r="BO155" t="s">
        <v>74</v>
      </c>
      <c r="BP155" t="s">
        <v>74</v>
      </c>
      <c r="BQ155" t="s">
        <v>74</v>
      </c>
      <c r="BR155" t="s">
        <v>101</v>
      </c>
      <c r="BS155" t="s">
        <v>3181</v>
      </c>
      <c r="BT155" t="str">
        <f>HYPERLINK("https%3A%2F%2Fwww.webofscience.com%2Fwos%2Fwoscc%2Ffull-record%2FWOS:000271736700008","View Full Record in Web of Science")</f>
        <v>View Full Record in Web of Science</v>
      </c>
    </row>
    <row r="156" spans="1:72" x14ac:dyDescent="0.15">
      <c r="A156" t="s">
        <v>72</v>
      </c>
      <c r="B156" t="s">
        <v>3182</v>
      </c>
      <c r="C156" t="s">
        <v>74</v>
      </c>
      <c r="D156" t="s">
        <v>74</v>
      </c>
      <c r="E156" t="s">
        <v>74</v>
      </c>
      <c r="F156" t="s">
        <v>3183</v>
      </c>
      <c r="G156" t="s">
        <v>74</v>
      </c>
      <c r="H156" t="s">
        <v>74</v>
      </c>
      <c r="I156" t="s">
        <v>3184</v>
      </c>
      <c r="J156" t="s">
        <v>3098</v>
      </c>
      <c r="K156" t="s">
        <v>74</v>
      </c>
      <c r="L156" t="s">
        <v>74</v>
      </c>
      <c r="M156" t="s">
        <v>78</v>
      </c>
      <c r="N156" t="s">
        <v>79</v>
      </c>
      <c r="O156" t="s">
        <v>74</v>
      </c>
      <c r="P156" t="s">
        <v>74</v>
      </c>
      <c r="Q156" t="s">
        <v>74</v>
      </c>
      <c r="R156" t="s">
        <v>74</v>
      </c>
      <c r="S156" t="s">
        <v>74</v>
      </c>
      <c r="T156" t="s">
        <v>3185</v>
      </c>
      <c r="U156" t="s">
        <v>3186</v>
      </c>
      <c r="V156" t="s">
        <v>3187</v>
      </c>
      <c r="W156" t="s">
        <v>3188</v>
      </c>
      <c r="X156" t="s">
        <v>3189</v>
      </c>
      <c r="Y156" t="s">
        <v>3190</v>
      </c>
      <c r="Z156" t="s">
        <v>3191</v>
      </c>
      <c r="AA156" t="s">
        <v>3192</v>
      </c>
      <c r="AB156" t="s">
        <v>3193</v>
      </c>
      <c r="AC156" t="s">
        <v>3194</v>
      </c>
      <c r="AD156" t="s">
        <v>3195</v>
      </c>
      <c r="AE156" t="s">
        <v>3196</v>
      </c>
      <c r="AF156" t="s">
        <v>74</v>
      </c>
      <c r="AG156">
        <v>11</v>
      </c>
      <c r="AH156">
        <v>3</v>
      </c>
      <c r="AI156">
        <v>3</v>
      </c>
      <c r="AJ156">
        <v>2</v>
      </c>
      <c r="AK156">
        <v>7</v>
      </c>
      <c r="AL156" t="s">
        <v>1850</v>
      </c>
      <c r="AM156" t="s">
        <v>684</v>
      </c>
      <c r="AN156" t="s">
        <v>2272</v>
      </c>
      <c r="AO156" t="s">
        <v>3109</v>
      </c>
      <c r="AP156" t="s">
        <v>74</v>
      </c>
      <c r="AQ156" t="s">
        <v>74</v>
      </c>
      <c r="AR156" t="s">
        <v>3111</v>
      </c>
      <c r="AS156" t="s">
        <v>3112</v>
      </c>
      <c r="AT156" t="s">
        <v>1026</v>
      </c>
      <c r="AU156">
        <v>2009</v>
      </c>
      <c r="AV156">
        <v>32</v>
      </c>
      <c r="AW156">
        <v>12</v>
      </c>
      <c r="AX156" t="s">
        <v>74</v>
      </c>
      <c r="AY156" t="s">
        <v>74</v>
      </c>
      <c r="AZ156" t="s">
        <v>74</v>
      </c>
      <c r="BA156" t="s">
        <v>74</v>
      </c>
      <c r="BB156">
        <v>1811</v>
      </c>
      <c r="BC156">
        <v>1813</v>
      </c>
      <c r="BD156" t="s">
        <v>74</v>
      </c>
      <c r="BE156" t="s">
        <v>3197</v>
      </c>
      <c r="BF156" t="str">
        <f>HYPERLINK("http://dx.doi.org/10.1007/s00300-009-0705-3","http://dx.doi.org/10.1007/s00300-009-0705-3")</f>
        <v>http://dx.doi.org/10.1007/s00300-009-0705-3</v>
      </c>
      <c r="BG156" t="s">
        <v>74</v>
      </c>
      <c r="BH156" t="s">
        <v>74</v>
      </c>
      <c r="BI156">
        <v>3</v>
      </c>
      <c r="BJ156" t="s">
        <v>3114</v>
      </c>
      <c r="BK156" t="s">
        <v>98</v>
      </c>
      <c r="BL156" t="s">
        <v>3115</v>
      </c>
      <c r="BM156" t="s">
        <v>3116</v>
      </c>
      <c r="BN156" t="s">
        <v>74</v>
      </c>
      <c r="BO156" t="s">
        <v>1119</v>
      </c>
      <c r="BP156" t="s">
        <v>74</v>
      </c>
      <c r="BQ156" t="s">
        <v>74</v>
      </c>
      <c r="BR156" t="s">
        <v>101</v>
      </c>
      <c r="BS156" t="s">
        <v>3198</v>
      </c>
      <c r="BT156" t="str">
        <f>HYPERLINK("https%3A%2F%2Fwww.webofscience.com%2Fwos%2Fwoscc%2Ffull-record%2FWOS:000271736700011","View Full Record in Web of Science")</f>
        <v>View Full Record in Web of Science</v>
      </c>
    </row>
    <row r="157" spans="1:72" x14ac:dyDescent="0.15">
      <c r="A157" t="s">
        <v>72</v>
      </c>
      <c r="B157" t="s">
        <v>3199</v>
      </c>
      <c r="C157" t="s">
        <v>74</v>
      </c>
      <c r="D157" t="s">
        <v>74</v>
      </c>
      <c r="E157" t="s">
        <v>74</v>
      </c>
      <c r="F157" t="s">
        <v>3200</v>
      </c>
      <c r="G157" t="s">
        <v>74</v>
      </c>
      <c r="H157" t="s">
        <v>74</v>
      </c>
      <c r="I157" t="s">
        <v>3201</v>
      </c>
      <c r="J157" t="s">
        <v>3202</v>
      </c>
      <c r="K157" t="s">
        <v>74</v>
      </c>
      <c r="L157" t="s">
        <v>74</v>
      </c>
      <c r="M157" t="s">
        <v>78</v>
      </c>
      <c r="N157" t="s">
        <v>79</v>
      </c>
      <c r="O157" t="s">
        <v>74</v>
      </c>
      <c r="P157" t="s">
        <v>74</v>
      </c>
      <c r="Q157" t="s">
        <v>74</v>
      </c>
      <c r="R157" t="s">
        <v>74</v>
      </c>
      <c r="S157" t="s">
        <v>74</v>
      </c>
      <c r="T157" t="s">
        <v>3203</v>
      </c>
      <c r="U157" t="s">
        <v>3204</v>
      </c>
      <c r="V157" t="s">
        <v>3205</v>
      </c>
      <c r="W157" t="s">
        <v>3206</v>
      </c>
      <c r="X157" t="s">
        <v>3207</v>
      </c>
      <c r="Y157" t="s">
        <v>3208</v>
      </c>
      <c r="Z157" t="s">
        <v>3209</v>
      </c>
      <c r="AA157" t="s">
        <v>3210</v>
      </c>
      <c r="AB157" t="s">
        <v>3211</v>
      </c>
      <c r="AC157" t="s">
        <v>3212</v>
      </c>
      <c r="AD157" t="s">
        <v>3212</v>
      </c>
      <c r="AE157" t="s">
        <v>3213</v>
      </c>
      <c r="AF157" t="s">
        <v>74</v>
      </c>
      <c r="AG157">
        <v>12</v>
      </c>
      <c r="AH157">
        <v>14</v>
      </c>
      <c r="AI157">
        <v>14</v>
      </c>
      <c r="AJ157">
        <v>3</v>
      </c>
      <c r="AK157">
        <v>18</v>
      </c>
      <c r="AL157" t="s">
        <v>2614</v>
      </c>
      <c r="AM157" t="s">
        <v>2615</v>
      </c>
      <c r="AN157" t="s">
        <v>2910</v>
      </c>
      <c r="AO157" t="s">
        <v>3214</v>
      </c>
      <c r="AP157" t="s">
        <v>3215</v>
      </c>
      <c r="AQ157" t="s">
        <v>74</v>
      </c>
      <c r="AR157" t="s">
        <v>3216</v>
      </c>
      <c r="AS157" t="s">
        <v>3217</v>
      </c>
      <c r="AT157" t="s">
        <v>1026</v>
      </c>
      <c r="AU157">
        <v>2009</v>
      </c>
      <c r="AV157">
        <v>28</v>
      </c>
      <c r="AW157">
        <v>3</v>
      </c>
      <c r="AX157" t="s">
        <v>74</v>
      </c>
      <c r="AY157" t="s">
        <v>74</v>
      </c>
      <c r="AZ157" t="s">
        <v>74</v>
      </c>
      <c r="BA157" t="s">
        <v>74</v>
      </c>
      <c r="BB157">
        <v>353</v>
      </c>
      <c r="BC157">
        <v>363</v>
      </c>
      <c r="BD157" t="s">
        <v>74</v>
      </c>
      <c r="BE157" t="s">
        <v>3218</v>
      </c>
      <c r="BF157" t="str">
        <f>HYPERLINK("http://dx.doi.org/10.1111/j.1751-8369.2009.00134.x","http://dx.doi.org/10.1111/j.1751-8369.2009.00134.x")</f>
        <v>http://dx.doi.org/10.1111/j.1751-8369.2009.00134.x</v>
      </c>
      <c r="BG157" t="s">
        <v>74</v>
      </c>
      <c r="BH157" t="s">
        <v>74</v>
      </c>
      <c r="BI157">
        <v>11</v>
      </c>
      <c r="BJ157" t="s">
        <v>3219</v>
      </c>
      <c r="BK157" t="s">
        <v>98</v>
      </c>
      <c r="BL157" t="s">
        <v>3220</v>
      </c>
      <c r="BM157" t="s">
        <v>3221</v>
      </c>
      <c r="BN157" t="s">
        <v>74</v>
      </c>
      <c r="BO157" t="s">
        <v>263</v>
      </c>
      <c r="BP157" t="s">
        <v>74</v>
      </c>
      <c r="BQ157" t="s">
        <v>74</v>
      </c>
      <c r="BR157" t="s">
        <v>101</v>
      </c>
      <c r="BS157" t="s">
        <v>3222</v>
      </c>
      <c r="BT157" t="str">
        <f>HYPERLINK("https%3A%2F%2Fwww.webofscience.com%2Fwos%2Fwoscc%2Ffull-record%2FWOS:000272163900004","View Full Record in Web of Science")</f>
        <v>View Full Record in Web of Science</v>
      </c>
    </row>
    <row r="158" spans="1:72" x14ac:dyDescent="0.15">
      <c r="A158" t="s">
        <v>72</v>
      </c>
      <c r="B158" t="s">
        <v>3223</v>
      </c>
      <c r="C158" t="s">
        <v>74</v>
      </c>
      <c r="D158" t="s">
        <v>74</v>
      </c>
      <c r="E158" t="s">
        <v>74</v>
      </c>
      <c r="F158" t="s">
        <v>3224</v>
      </c>
      <c r="G158" t="s">
        <v>74</v>
      </c>
      <c r="H158" t="s">
        <v>74</v>
      </c>
      <c r="I158" t="s">
        <v>3225</v>
      </c>
      <c r="J158" t="s">
        <v>3202</v>
      </c>
      <c r="K158" t="s">
        <v>74</v>
      </c>
      <c r="L158" t="s">
        <v>74</v>
      </c>
      <c r="M158" t="s">
        <v>78</v>
      </c>
      <c r="N158" t="s">
        <v>79</v>
      </c>
      <c r="O158" t="s">
        <v>74</v>
      </c>
      <c r="P158" t="s">
        <v>74</v>
      </c>
      <c r="Q158" t="s">
        <v>74</v>
      </c>
      <c r="R158" t="s">
        <v>74</v>
      </c>
      <c r="S158" t="s">
        <v>74</v>
      </c>
      <c r="T158" t="s">
        <v>3226</v>
      </c>
      <c r="U158" t="s">
        <v>3227</v>
      </c>
      <c r="V158" t="s">
        <v>3228</v>
      </c>
      <c r="W158" t="s">
        <v>3229</v>
      </c>
      <c r="X158" t="s">
        <v>3230</v>
      </c>
      <c r="Y158" t="s">
        <v>3231</v>
      </c>
      <c r="Z158" t="s">
        <v>3232</v>
      </c>
      <c r="AA158" t="s">
        <v>74</v>
      </c>
      <c r="AB158" t="s">
        <v>3233</v>
      </c>
      <c r="AC158" t="s">
        <v>3234</v>
      </c>
      <c r="AD158" t="s">
        <v>3235</v>
      </c>
      <c r="AE158" t="s">
        <v>3236</v>
      </c>
      <c r="AF158" t="s">
        <v>74</v>
      </c>
      <c r="AG158">
        <v>29</v>
      </c>
      <c r="AH158">
        <v>5</v>
      </c>
      <c r="AI158">
        <v>6</v>
      </c>
      <c r="AJ158">
        <v>0</v>
      </c>
      <c r="AK158">
        <v>3</v>
      </c>
      <c r="AL158" t="s">
        <v>2614</v>
      </c>
      <c r="AM158" t="s">
        <v>2615</v>
      </c>
      <c r="AN158" t="s">
        <v>2910</v>
      </c>
      <c r="AO158" t="s">
        <v>3214</v>
      </c>
      <c r="AP158" t="s">
        <v>3215</v>
      </c>
      <c r="AQ158" t="s">
        <v>74</v>
      </c>
      <c r="AR158" t="s">
        <v>3216</v>
      </c>
      <c r="AS158" t="s">
        <v>3217</v>
      </c>
      <c r="AT158" t="s">
        <v>1026</v>
      </c>
      <c r="AU158">
        <v>2009</v>
      </c>
      <c r="AV158">
        <v>28</v>
      </c>
      <c r="AW158">
        <v>3</v>
      </c>
      <c r="AX158" t="s">
        <v>74</v>
      </c>
      <c r="AY158" t="s">
        <v>74</v>
      </c>
      <c r="AZ158" t="s">
        <v>74</v>
      </c>
      <c r="BA158" t="s">
        <v>74</v>
      </c>
      <c r="BB158">
        <v>390</v>
      </c>
      <c r="BC158">
        <v>398</v>
      </c>
      <c r="BD158" t="s">
        <v>74</v>
      </c>
      <c r="BE158" t="s">
        <v>3237</v>
      </c>
      <c r="BF158" t="str">
        <f>HYPERLINK("http://dx.doi.org/10.1111/j.1751-8369.2009.00111.x","http://dx.doi.org/10.1111/j.1751-8369.2009.00111.x")</f>
        <v>http://dx.doi.org/10.1111/j.1751-8369.2009.00111.x</v>
      </c>
      <c r="BG158" t="s">
        <v>74</v>
      </c>
      <c r="BH158" t="s">
        <v>74</v>
      </c>
      <c r="BI158">
        <v>9</v>
      </c>
      <c r="BJ158" t="s">
        <v>3219</v>
      </c>
      <c r="BK158" t="s">
        <v>98</v>
      </c>
      <c r="BL158" t="s">
        <v>3220</v>
      </c>
      <c r="BM158" t="s">
        <v>3221</v>
      </c>
      <c r="BN158" t="s">
        <v>74</v>
      </c>
      <c r="BO158" t="s">
        <v>263</v>
      </c>
      <c r="BP158" t="s">
        <v>74</v>
      </c>
      <c r="BQ158" t="s">
        <v>74</v>
      </c>
      <c r="BR158" t="s">
        <v>101</v>
      </c>
      <c r="BS158" t="s">
        <v>3238</v>
      </c>
      <c r="BT158" t="str">
        <f>HYPERLINK("https%3A%2F%2Fwww.webofscience.com%2Fwos%2Fwoscc%2Ffull-record%2FWOS:000272163900007","View Full Record in Web of Science")</f>
        <v>View Full Record in Web of Science</v>
      </c>
    </row>
    <row r="159" spans="1:72" x14ac:dyDescent="0.15">
      <c r="A159" t="s">
        <v>72</v>
      </c>
      <c r="B159" t="s">
        <v>3239</v>
      </c>
      <c r="C159" t="s">
        <v>74</v>
      </c>
      <c r="D159" t="s">
        <v>74</v>
      </c>
      <c r="E159" t="s">
        <v>74</v>
      </c>
      <c r="F159" t="s">
        <v>3240</v>
      </c>
      <c r="G159" t="s">
        <v>74</v>
      </c>
      <c r="H159" t="s">
        <v>74</v>
      </c>
      <c r="I159" t="s">
        <v>3241</v>
      </c>
      <c r="J159" t="s">
        <v>3202</v>
      </c>
      <c r="K159" t="s">
        <v>74</v>
      </c>
      <c r="L159" t="s">
        <v>74</v>
      </c>
      <c r="M159" t="s">
        <v>78</v>
      </c>
      <c r="N159" t="s">
        <v>79</v>
      </c>
      <c r="O159" t="s">
        <v>74</v>
      </c>
      <c r="P159" t="s">
        <v>74</v>
      </c>
      <c r="Q159" t="s">
        <v>74</v>
      </c>
      <c r="R159" t="s">
        <v>74</v>
      </c>
      <c r="S159" t="s">
        <v>74</v>
      </c>
      <c r="T159" t="s">
        <v>3242</v>
      </c>
      <c r="U159" t="s">
        <v>3243</v>
      </c>
      <c r="V159" t="s">
        <v>3244</v>
      </c>
      <c r="W159" t="s">
        <v>3245</v>
      </c>
      <c r="X159" t="s">
        <v>3246</v>
      </c>
      <c r="Y159" t="s">
        <v>3247</v>
      </c>
      <c r="Z159" t="s">
        <v>3248</v>
      </c>
      <c r="AA159" t="s">
        <v>3249</v>
      </c>
      <c r="AB159" t="s">
        <v>3250</v>
      </c>
      <c r="AC159" t="s">
        <v>3251</v>
      </c>
      <c r="AD159" t="s">
        <v>3252</v>
      </c>
      <c r="AE159" t="s">
        <v>3253</v>
      </c>
      <c r="AF159" t="s">
        <v>74</v>
      </c>
      <c r="AG159">
        <v>55</v>
      </c>
      <c r="AH159">
        <v>18</v>
      </c>
      <c r="AI159">
        <v>22</v>
      </c>
      <c r="AJ159">
        <v>0</v>
      </c>
      <c r="AK159">
        <v>10</v>
      </c>
      <c r="AL159" t="s">
        <v>3254</v>
      </c>
      <c r="AM159" t="s">
        <v>3255</v>
      </c>
      <c r="AN159" t="s">
        <v>3256</v>
      </c>
      <c r="AO159" t="s">
        <v>3214</v>
      </c>
      <c r="AP159" t="s">
        <v>3215</v>
      </c>
      <c r="AQ159" t="s">
        <v>74</v>
      </c>
      <c r="AR159" t="s">
        <v>3257</v>
      </c>
      <c r="AS159" t="s">
        <v>3217</v>
      </c>
      <c r="AT159" t="s">
        <v>1026</v>
      </c>
      <c r="AU159">
        <v>2009</v>
      </c>
      <c r="AV159">
        <v>28</v>
      </c>
      <c r="AW159">
        <v>3</v>
      </c>
      <c r="AX159" t="s">
        <v>74</v>
      </c>
      <c r="AY159" t="s">
        <v>74</v>
      </c>
      <c r="AZ159" t="s">
        <v>74</v>
      </c>
      <c r="BA159" t="s">
        <v>74</v>
      </c>
      <c r="BB159">
        <v>403</v>
      </c>
      <c r="BC159">
        <v>414</v>
      </c>
      <c r="BD159" t="s">
        <v>74</v>
      </c>
      <c r="BE159" t="s">
        <v>3258</v>
      </c>
      <c r="BF159" t="str">
        <f>HYPERLINK("http://dx.doi.org/10.1111/j.1751-8369.2009.00110.x","http://dx.doi.org/10.1111/j.1751-8369.2009.00110.x")</f>
        <v>http://dx.doi.org/10.1111/j.1751-8369.2009.00110.x</v>
      </c>
      <c r="BG159" t="s">
        <v>74</v>
      </c>
      <c r="BH159" t="s">
        <v>74</v>
      </c>
      <c r="BI159">
        <v>12</v>
      </c>
      <c r="BJ159" t="s">
        <v>3219</v>
      </c>
      <c r="BK159" t="s">
        <v>98</v>
      </c>
      <c r="BL159" t="s">
        <v>3220</v>
      </c>
      <c r="BM159" t="s">
        <v>3221</v>
      </c>
      <c r="BN159" t="s">
        <v>74</v>
      </c>
      <c r="BO159" t="s">
        <v>3259</v>
      </c>
      <c r="BP159" t="s">
        <v>74</v>
      </c>
      <c r="BQ159" t="s">
        <v>74</v>
      </c>
      <c r="BR159" t="s">
        <v>101</v>
      </c>
      <c r="BS159" t="s">
        <v>3260</v>
      </c>
      <c r="BT159" t="str">
        <f>HYPERLINK("https%3A%2F%2Fwww.webofscience.com%2Fwos%2Fwoscc%2Ffull-record%2FWOS:000272163900009","View Full Record in Web of Science")</f>
        <v>View Full Record in Web of Science</v>
      </c>
    </row>
    <row r="160" spans="1:72" x14ac:dyDescent="0.15">
      <c r="A160" t="s">
        <v>72</v>
      </c>
      <c r="B160" t="s">
        <v>3261</v>
      </c>
      <c r="C160" t="s">
        <v>74</v>
      </c>
      <c r="D160" t="s">
        <v>74</v>
      </c>
      <c r="E160" t="s">
        <v>74</v>
      </c>
      <c r="F160" t="s">
        <v>3262</v>
      </c>
      <c r="G160" t="s">
        <v>74</v>
      </c>
      <c r="H160" t="s">
        <v>74</v>
      </c>
      <c r="I160" t="s">
        <v>3263</v>
      </c>
      <c r="J160" t="s">
        <v>3202</v>
      </c>
      <c r="K160" t="s">
        <v>74</v>
      </c>
      <c r="L160" t="s">
        <v>74</v>
      </c>
      <c r="M160" t="s">
        <v>78</v>
      </c>
      <c r="N160" t="s">
        <v>79</v>
      </c>
      <c r="O160" t="s">
        <v>74</v>
      </c>
      <c r="P160" t="s">
        <v>74</v>
      </c>
      <c r="Q160" t="s">
        <v>74</v>
      </c>
      <c r="R160" t="s">
        <v>74</v>
      </c>
      <c r="S160" t="s">
        <v>74</v>
      </c>
      <c r="T160" t="s">
        <v>3264</v>
      </c>
      <c r="U160" t="s">
        <v>3265</v>
      </c>
      <c r="V160" t="s">
        <v>3266</v>
      </c>
      <c r="W160" t="s">
        <v>3267</v>
      </c>
      <c r="X160" t="s">
        <v>3268</v>
      </c>
      <c r="Y160" t="s">
        <v>3269</v>
      </c>
      <c r="Z160" t="s">
        <v>3270</v>
      </c>
      <c r="AA160" t="s">
        <v>3271</v>
      </c>
      <c r="AB160" t="s">
        <v>3272</v>
      </c>
      <c r="AC160" t="s">
        <v>3273</v>
      </c>
      <c r="AD160" t="s">
        <v>3274</v>
      </c>
      <c r="AE160" t="s">
        <v>3275</v>
      </c>
      <c r="AF160" t="s">
        <v>74</v>
      </c>
      <c r="AG160">
        <v>81</v>
      </c>
      <c r="AH160">
        <v>9</v>
      </c>
      <c r="AI160">
        <v>9</v>
      </c>
      <c r="AJ160">
        <v>3</v>
      </c>
      <c r="AK160">
        <v>18</v>
      </c>
      <c r="AL160" t="s">
        <v>3276</v>
      </c>
      <c r="AM160" t="s">
        <v>3277</v>
      </c>
      <c r="AN160" t="s">
        <v>3278</v>
      </c>
      <c r="AO160" t="s">
        <v>3214</v>
      </c>
      <c r="AP160" t="s">
        <v>3215</v>
      </c>
      <c r="AQ160" t="s">
        <v>74</v>
      </c>
      <c r="AR160" t="s">
        <v>3216</v>
      </c>
      <c r="AS160" t="s">
        <v>3217</v>
      </c>
      <c r="AT160" t="s">
        <v>1026</v>
      </c>
      <c r="AU160">
        <v>2009</v>
      </c>
      <c r="AV160">
        <v>28</v>
      </c>
      <c r="AW160">
        <v>3</v>
      </c>
      <c r="AX160" t="s">
        <v>74</v>
      </c>
      <c r="AY160" t="s">
        <v>74</v>
      </c>
      <c r="AZ160" t="s">
        <v>74</v>
      </c>
      <c r="BA160" t="s">
        <v>74</v>
      </c>
      <c r="BB160">
        <v>415</v>
      </c>
      <c r="BC160">
        <v>425</v>
      </c>
      <c r="BD160" t="s">
        <v>74</v>
      </c>
      <c r="BE160" t="s">
        <v>3279</v>
      </c>
      <c r="BF160" t="str">
        <f>HYPERLINK("http://dx.doi.org/10.1111/j.1751-8369.2009.00116.x","http://dx.doi.org/10.1111/j.1751-8369.2009.00116.x")</f>
        <v>http://dx.doi.org/10.1111/j.1751-8369.2009.00116.x</v>
      </c>
      <c r="BG160" t="s">
        <v>74</v>
      </c>
      <c r="BH160" t="s">
        <v>74</v>
      </c>
      <c r="BI160">
        <v>11</v>
      </c>
      <c r="BJ160" t="s">
        <v>3219</v>
      </c>
      <c r="BK160" t="s">
        <v>98</v>
      </c>
      <c r="BL160" t="s">
        <v>3220</v>
      </c>
      <c r="BM160" t="s">
        <v>3221</v>
      </c>
      <c r="BN160" t="s">
        <v>74</v>
      </c>
      <c r="BO160" t="s">
        <v>467</v>
      </c>
      <c r="BP160" t="s">
        <v>74</v>
      </c>
      <c r="BQ160" t="s">
        <v>74</v>
      </c>
      <c r="BR160" t="s">
        <v>101</v>
      </c>
      <c r="BS160" t="s">
        <v>3280</v>
      </c>
      <c r="BT160" t="str">
        <f>HYPERLINK("https%3A%2F%2Fwww.webofscience.com%2Fwos%2Fwoscc%2Ffull-record%2FWOS:000272163900010","View Full Record in Web of Science")</f>
        <v>View Full Record in Web of Science</v>
      </c>
    </row>
    <row r="161" spans="1:72" x14ac:dyDescent="0.15">
      <c r="A161" t="s">
        <v>72</v>
      </c>
      <c r="B161" t="s">
        <v>3281</v>
      </c>
      <c r="C161" t="s">
        <v>74</v>
      </c>
      <c r="D161" t="s">
        <v>74</v>
      </c>
      <c r="E161" t="s">
        <v>74</v>
      </c>
      <c r="F161" t="s">
        <v>3282</v>
      </c>
      <c r="G161" t="s">
        <v>74</v>
      </c>
      <c r="H161" t="s">
        <v>74</v>
      </c>
      <c r="I161" t="s">
        <v>3283</v>
      </c>
      <c r="J161" t="s">
        <v>3202</v>
      </c>
      <c r="K161" t="s">
        <v>74</v>
      </c>
      <c r="L161" t="s">
        <v>74</v>
      </c>
      <c r="M161" t="s">
        <v>78</v>
      </c>
      <c r="N161" t="s">
        <v>79</v>
      </c>
      <c r="O161" t="s">
        <v>74</v>
      </c>
      <c r="P161" t="s">
        <v>74</v>
      </c>
      <c r="Q161" t="s">
        <v>74</v>
      </c>
      <c r="R161" t="s">
        <v>74</v>
      </c>
      <c r="S161" t="s">
        <v>74</v>
      </c>
      <c r="T161" t="s">
        <v>3284</v>
      </c>
      <c r="U161" t="s">
        <v>3285</v>
      </c>
      <c r="V161" t="s">
        <v>3286</v>
      </c>
      <c r="W161" t="s">
        <v>3287</v>
      </c>
      <c r="X161" t="s">
        <v>1309</v>
      </c>
      <c r="Y161" t="s">
        <v>3288</v>
      </c>
      <c r="Z161" t="s">
        <v>3289</v>
      </c>
      <c r="AA161" t="s">
        <v>74</v>
      </c>
      <c r="AB161" t="s">
        <v>74</v>
      </c>
      <c r="AC161" t="s">
        <v>74</v>
      </c>
      <c r="AD161" t="s">
        <v>74</v>
      </c>
      <c r="AE161" t="s">
        <v>74</v>
      </c>
      <c r="AF161" t="s">
        <v>74</v>
      </c>
      <c r="AG161">
        <v>14</v>
      </c>
      <c r="AH161">
        <v>3</v>
      </c>
      <c r="AI161">
        <v>3</v>
      </c>
      <c r="AJ161">
        <v>0</v>
      </c>
      <c r="AK161">
        <v>8</v>
      </c>
      <c r="AL161" t="s">
        <v>2045</v>
      </c>
      <c r="AM161" t="s">
        <v>2046</v>
      </c>
      <c r="AN161" t="s">
        <v>2047</v>
      </c>
      <c r="AO161" t="s">
        <v>3214</v>
      </c>
      <c r="AP161" t="s">
        <v>74</v>
      </c>
      <c r="AQ161" t="s">
        <v>74</v>
      </c>
      <c r="AR161" t="s">
        <v>3216</v>
      </c>
      <c r="AS161" t="s">
        <v>3217</v>
      </c>
      <c r="AT161" t="s">
        <v>1026</v>
      </c>
      <c r="AU161">
        <v>2009</v>
      </c>
      <c r="AV161">
        <v>28</v>
      </c>
      <c r="AW161">
        <v>3</v>
      </c>
      <c r="AX161" t="s">
        <v>74</v>
      </c>
      <c r="AY161" t="s">
        <v>74</v>
      </c>
      <c r="AZ161" t="s">
        <v>74</v>
      </c>
      <c r="BA161" t="s">
        <v>74</v>
      </c>
      <c r="BB161">
        <v>426</v>
      </c>
      <c r="BC161">
        <v>432</v>
      </c>
      <c r="BD161" t="s">
        <v>74</v>
      </c>
      <c r="BE161" t="s">
        <v>3290</v>
      </c>
      <c r="BF161" t="str">
        <f>HYPERLINK("http://dx.doi.org/10.1111/j.1751-8369.2009.00123.x","http://dx.doi.org/10.1111/j.1751-8369.2009.00123.x")</f>
        <v>http://dx.doi.org/10.1111/j.1751-8369.2009.00123.x</v>
      </c>
      <c r="BG161" t="s">
        <v>74</v>
      </c>
      <c r="BH161" t="s">
        <v>74</v>
      </c>
      <c r="BI161">
        <v>7</v>
      </c>
      <c r="BJ161" t="s">
        <v>3219</v>
      </c>
      <c r="BK161" t="s">
        <v>98</v>
      </c>
      <c r="BL161" t="s">
        <v>3220</v>
      </c>
      <c r="BM161" t="s">
        <v>3221</v>
      </c>
      <c r="BN161" t="s">
        <v>74</v>
      </c>
      <c r="BO161" t="s">
        <v>263</v>
      </c>
      <c r="BP161" t="s">
        <v>74</v>
      </c>
      <c r="BQ161" t="s">
        <v>74</v>
      </c>
      <c r="BR161" t="s">
        <v>101</v>
      </c>
      <c r="BS161" t="s">
        <v>3291</v>
      </c>
      <c r="BT161" t="str">
        <f>HYPERLINK("https%3A%2F%2Fwww.webofscience.com%2Fwos%2Fwoscc%2Ffull-record%2FWOS:000272163900011","View Full Record in Web of Science")</f>
        <v>View Full Record in Web of Science</v>
      </c>
    </row>
    <row r="162" spans="1:72" x14ac:dyDescent="0.15">
      <c r="A162" t="s">
        <v>72</v>
      </c>
      <c r="B162" t="s">
        <v>3292</v>
      </c>
      <c r="C162" t="s">
        <v>74</v>
      </c>
      <c r="D162" t="s">
        <v>74</v>
      </c>
      <c r="E162" t="s">
        <v>74</v>
      </c>
      <c r="F162" t="s">
        <v>3293</v>
      </c>
      <c r="G162" t="s">
        <v>74</v>
      </c>
      <c r="H162" t="s">
        <v>74</v>
      </c>
      <c r="I162" t="s">
        <v>3294</v>
      </c>
      <c r="J162" t="s">
        <v>3295</v>
      </c>
      <c r="K162" t="s">
        <v>74</v>
      </c>
      <c r="L162" t="s">
        <v>74</v>
      </c>
      <c r="M162" t="s">
        <v>78</v>
      </c>
      <c r="N162" t="s">
        <v>79</v>
      </c>
      <c r="O162" t="s">
        <v>74</v>
      </c>
      <c r="P162" t="s">
        <v>74</v>
      </c>
      <c r="Q162" t="s">
        <v>74</v>
      </c>
      <c r="R162" t="s">
        <v>74</v>
      </c>
      <c r="S162" t="s">
        <v>74</v>
      </c>
      <c r="T162" t="s">
        <v>74</v>
      </c>
      <c r="U162" t="s">
        <v>3296</v>
      </c>
      <c r="V162" t="s">
        <v>3297</v>
      </c>
      <c r="W162" t="s">
        <v>3298</v>
      </c>
      <c r="X162" t="s">
        <v>3299</v>
      </c>
      <c r="Y162" t="s">
        <v>3300</v>
      </c>
      <c r="Z162" t="s">
        <v>3301</v>
      </c>
      <c r="AA162" t="s">
        <v>3302</v>
      </c>
      <c r="AB162" t="s">
        <v>3303</v>
      </c>
      <c r="AC162" t="s">
        <v>3304</v>
      </c>
      <c r="AD162" t="s">
        <v>3305</v>
      </c>
      <c r="AE162" t="s">
        <v>3306</v>
      </c>
      <c r="AF162" t="s">
        <v>74</v>
      </c>
      <c r="AG162">
        <v>92</v>
      </c>
      <c r="AH162">
        <v>110</v>
      </c>
      <c r="AI162">
        <v>118</v>
      </c>
      <c r="AJ162">
        <v>0</v>
      </c>
      <c r="AK162">
        <v>41</v>
      </c>
      <c r="AL162" t="s">
        <v>1894</v>
      </c>
      <c r="AM162" t="s">
        <v>1895</v>
      </c>
      <c r="AN162" t="s">
        <v>1896</v>
      </c>
      <c r="AO162" t="s">
        <v>3307</v>
      </c>
      <c r="AP162" t="s">
        <v>74</v>
      </c>
      <c r="AQ162" t="s">
        <v>74</v>
      </c>
      <c r="AR162" t="s">
        <v>3308</v>
      </c>
      <c r="AS162" t="s">
        <v>3309</v>
      </c>
      <c r="AT162" t="s">
        <v>1026</v>
      </c>
      <c r="AU162">
        <v>2009</v>
      </c>
      <c r="AV162">
        <v>28</v>
      </c>
      <c r="AW162" t="s">
        <v>3310</v>
      </c>
      <c r="AX162" t="s">
        <v>74</v>
      </c>
      <c r="AY162" t="s">
        <v>74</v>
      </c>
      <c r="AZ162" t="s">
        <v>74</v>
      </c>
      <c r="BA162" t="s">
        <v>74</v>
      </c>
      <c r="BB162">
        <v>2675</v>
      </c>
      <c r="BC162">
        <v>2688</v>
      </c>
      <c r="BD162" t="s">
        <v>74</v>
      </c>
      <c r="BE162" t="s">
        <v>3311</v>
      </c>
      <c r="BF162" t="str">
        <f>HYPERLINK("http://dx.doi.org/10.1016/j.quascirev.2009.06.005","http://dx.doi.org/10.1016/j.quascirev.2009.06.005")</f>
        <v>http://dx.doi.org/10.1016/j.quascirev.2009.06.005</v>
      </c>
      <c r="BG162" t="s">
        <v>74</v>
      </c>
      <c r="BH162" t="s">
        <v>74</v>
      </c>
      <c r="BI162">
        <v>14</v>
      </c>
      <c r="BJ162" t="s">
        <v>2121</v>
      </c>
      <c r="BK162" t="s">
        <v>98</v>
      </c>
      <c r="BL162" t="s">
        <v>2122</v>
      </c>
      <c r="BM162" t="s">
        <v>3312</v>
      </c>
      <c r="BN162" t="s">
        <v>74</v>
      </c>
      <c r="BO162" t="s">
        <v>1119</v>
      </c>
      <c r="BP162" t="s">
        <v>74</v>
      </c>
      <c r="BQ162" t="s">
        <v>74</v>
      </c>
      <c r="BR162" t="s">
        <v>101</v>
      </c>
      <c r="BS162" t="s">
        <v>3313</v>
      </c>
      <c r="BT162" t="str">
        <f>HYPERLINK("https%3A%2F%2Fwww.webofscience.com%2Fwos%2Fwoscc%2Ffull-record%2FWOS:000271872200010","View Full Record in Web of Science")</f>
        <v>View Full Record in Web of Science</v>
      </c>
    </row>
    <row r="163" spans="1:72" x14ac:dyDescent="0.15">
      <c r="A163" t="s">
        <v>72</v>
      </c>
      <c r="B163" t="s">
        <v>3314</v>
      </c>
      <c r="C163" t="s">
        <v>74</v>
      </c>
      <c r="D163" t="s">
        <v>74</v>
      </c>
      <c r="E163" t="s">
        <v>74</v>
      </c>
      <c r="F163" t="s">
        <v>3315</v>
      </c>
      <c r="G163" t="s">
        <v>74</v>
      </c>
      <c r="H163" t="s">
        <v>74</v>
      </c>
      <c r="I163" t="s">
        <v>3316</v>
      </c>
      <c r="J163" t="s">
        <v>3295</v>
      </c>
      <c r="K163" t="s">
        <v>74</v>
      </c>
      <c r="L163" t="s">
        <v>74</v>
      </c>
      <c r="M163" t="s">
        <v>78</v>
      </c>
      <c r="N163" t="s">
        <v>79</v>
      </c>
      <c r="O163" t="s">
        <v>74</v>
      </c>
      <c r="P163" t="s">
        <v>74</v>
      </c>
      <c r="Q163" t="s">
        <v>74</v>
      </c>
      <c r="R163" t="s">
        <v>74</v>
      </c>
      <c r="S163" t="s">
        <v>74</v>
      </c>
      <c r="T163" t="s">
        <v>74</v>
      </c>
      <c r="U163" t="s">
        <v>3317</v>
      </c>
      <c r="V163" t="s">
        <v>3318</v>
      </c>
      <c r="W163" t="s">
        <v>3319</v>
      </c>
      <c r="X163" t="s">
        <v>3320</v>
      </c>
      <c r="Y163" t="s">
        <v>3321</v>
      </c>
      <c r="Z163" t="s">
        <v>3322</v>
      </c>
      <c r="AA163" t="s">
        <v>3323</v>
      </c>
      <c r="AB163" t="s">
        <v>3324</v>
      </c>
      <c r="AC163" t="s">
        <v>3325</v>
      </c>
      <c r="AD163" t="s">
        <v>3326</v>
      </c>
      <c r="AE163" t="s">
        <v>3327</v>
      </c>
      <c r="AF163" t="s">
        <v>74</v>
      </c>
      <c r="AG163">
        <v>57</v>
      </c>
      <c r="AH163">
        <v>27</v>
      </c>
      <c r="AI163">
        <v>28</v>
      </c>
      <c r="AJ163">
        <v>1</v>
      </c>
      <c r="AK163">
        <v>16</v>
      </c>
      <c r="AL163" t="s">
        <v>1894</v>
      </c>
      <c r="AM163" t="s">
        <v>1895</v>
      </c>
      <c r="AN163" t="s">
        <v>1896</v>
      </c>
      <c r="AO163" t="s">
        <v>3307</v>
      </c>
      <c r="AP163" t="s">
        <v>74</v>
      </c>
      <c r="AQ163" t="s">
        <v>74</v>
      </c>
      <c r="AR163" t="s">
        <v>3308</v>
      </c>
      <c r="AS163" t="s">
        <v>3309</v>
      </c>
      <c r="AT163" t="s">
        <v>1026</v>
      </c>
      <c r="AU163">
        <v>2009</v>
      </c>
      <c r="AV163">
        <v>28</v>
      </c>
      <c r="AW163" t="s">
        <v>3310</v>
      </c>
      <c r="AX163" t="s">
        <v>74</v>
      </c>
      <c r="AY163" t="s">
        <v>74</v>
      </c>
      <c r="AZ163" t="s">
        <v>74</v>
      </c>
      <c r="BA163" t="s">
        <v>74</v>
      </c>
      <c r="BB163">
        <v>2689</v>
      </c>
      <c r="BC163">
        <v>2696</v>
      </c>
      <c r="BD163" t="s">
        <v>74</v>
      </c>
      <c r="BE163" t="s">
        <v>3328</v>
      </c>
      <c r="BF163" t="str">
        <f>HYPERLINK("http://dx.doi.org/10.1016/j.quascirev.2009.06.006","http://dx.doi.org/10.1016/j.quascirev.2009.06.006")</f>
        <v>http://dx.doi.org/10.1016/j.quascirev.2009.06.006</v>
      </c>
      <c r="BG163" t="s">
        <v>74</v>
      </c>
      <c r="BH163" t="s">
        <v>74</v>
      </c>
      <c r="BI163">
        <v>8</v>
      </c>
      <c r="BJ163" t="s">
        <v>2121</v>
      </c>
      <c r="BK163" t="s">
        <v>98</v>
      </c>
      <c r="BL163" t="s">
        <v>2122</v>
      </c>
      <c r="BM163" t="s">
        <v>3312</v>
      </c>
      <c r="BN163" t="s">
        <v>74</v>
      </c>
      <c r="BO163" t="s">
        <v>239</v>
      </c>
      <c r="BP163" t="s">
        <v>74</v>
      </c>
      <c r="BQ163" t="s">
        <v>74</v>
      </c>
      <c r="BR163" t="s">
        <v>101</v>
      </c>
      <c r="BS163" t="s">
        <v>3329</v>
      </c>
      <c r="BT163" t="str">
        <f>HYPERLINK("https%3A%2F%2Fwww.webofscience.com%2Fwos%2Fwoscc%2Ffull-record%2FWOS:000271872200011","View Full Record in Web of Science")</f>
        <v>View Full Record in Web of Science</v>
      </c>
    </row>
    <row r="164" spans="1:72" x14ac:dyDescent="0.15">
      <c r="A164" t="s">
        <v>72</v>
      </c>
      <c r="B164" t="s">
        <v>3330</v>
      </c>
      <c r="C164" t="s">
        <v>74</v>
      </c>
      <c r="D164" t="s">
        <v>74</v>
      </c>
      <c r="E164" t="s">
        <v>74</v>
      </c>
      <c r="F164" t="s">
        <v>3331</v>
      </c>
      <c r="G164" t="s">
        <v>74</v>
      </c>
      <c r="H164" t="s">
        <v>74</v>
      </c>
      <c r="I164" t="s">
        <v>3332</v>
      </c>
      <c r="J164" t="s">
        <v>3295</v>
      </c>
      <c r="K164" t="s">
        <v>74</v>
      </c>
      <c r="L164" t="s">
        <v>74</v>
      </c>
      <c r="M164" t="s">
        <v>78</v>
      </c>
      <c r="N164" t="s">
        <v>79</v>
      </c>
      <c r="O164" t="s">
        <v>74</v>
      </c>
      <c r="P164" t="s">
        <v>74</v>
      </c>
      <c r="Q164" t="s">
        <v>74</v>
      </c>
      <c r="R164" t="s">
        <v>74</v>
      </c>
      <c r="S164" t="s">
        <v>74</v>
      </c>
      <c r="T164" t="s">
        <v>74</v>
      </c>
      <c r="U164" t="s">
        <v>3333</v>
      </c>
      <c r="V164" t="s">
        <v>3334</v>
      </c>
      <c r="W164" t="s">
        <v>3335</v>
      </c>
      <c r="X164" t="s">
        <v>3336</v>
      </c>
      <c r="Y164" t="s">
        <v>3337</v>
      </c>
      <c r="Z164" t="s">
        <v>3338</v>
      </c>
      <c r="AA164" t="s">
        <v>3339</v>
      </c>
      <c r="AB164" t="s">
        <v>3340</v>
      </c>
      <c r="AC164" t="s">
        <v>3341</v>
      </c>
      <c r="AD164" t="s">
        <v>3342</v>
      </c>
      <c r="AE164" t="s">
        <v>3343</v>
      </c>
      <c r="AF164" t="s">
        <v>74</v>
      </c>
      <c r="AG164">
        <v>94</v>
      </c>
      <c r="AH164">
        <v>67</v>
      </c>
      <c r="AI164">
        <v>71</v>
      </c>
      <c r="AJ164">
        <v>2</v>
      </c>
      <c r="AK164">
        <v>51</v>
      </c>
      <c r="AL164" t="s">
        <v>1894</v>
      </c>
      <c r="AM164" t="s">
        <v>1895</v>
      </c>
      <c r="AN164" t="s">
        <v>1896</v>
      </c>
      <c r="AO164" t="s">
        <v>3307</v>
      </c>
      <c r="AP164" t="s">
        <v>3344</v>
      </c>
      <c r="AQ164" t="s">
        <v>74</v>
      </c>
      <c r="AR164" t="s">
        <v>3308</v>
      </c>
      <c r="AS164" t="s">
        <v>3309</v>
      </c>
      <c r="AT164" t="s">
        <v>1026</v>
      </c>
      <c r="AU164">
        <v>2009</v>
      </c>
      <c r="AV164">
        <v>28</v>
      </c>
      <c r="AW164" t="s">
        <v>3310</v>
      </c>
      <c r="AX164" t="s">
        <v>74</v>
      </c>
      <c r="AY164" t="s">
        <v>74</v>
      </c>
      <c r="AZ164" t="s">
        <v>74</v>
      </c>
      <c r="BA164" t="s">
        <v>74</v>
      </c>
      <c r="BB164">
        <v>2743</v>
      </c>
      <c r="BC164">
        <v>2759</v>
      </c>
      <c r="BD164" t="s">
        <v>74</v>
      </c>
      <c r="BE164" t="s">
        <v>3345</v>
      </c>
      <c r="BF164" t="str">
        <f>HYPERLINK("http://dx.doi.org/10.1016/j.quascirev.2009.06.018","http://dx.doi.org/10.1016/j.quascirev.2009.06.018")</f>
        <v>http://dx.doi.org/10.1016/j.quascirev.2009.06.018</v>
      </c>
      <c r="BG164" t="s">
        <v>74</v>
      </c>
      <c r="BH164" t="s">
        <v>74</v>
      </c>
      <c r="BI164">
        <v>17</v>
      </c>
      <c r="BJ164" t="s">
        <v>2121</v>
      </c>
      <c r="BK164" t="s">
        <v>98</v>
      </c>
      <c r="BL164" t="s">
        <v>2122</v>
      </c>
      <c r="BM164" t="s">
        <v>3312</v>
      </c>
      <c r="BN164" t="s">
        <v>74</v>
      </c>
      <c r="BO164" t="s">
        <v>1381</v>
      </c>
      <c r="BP164" t="s">
        <v>74</v>
      </c>
      <c r="BQ164" t="s">
        <v>74</v>
      </c>
      <c r="BR164" t="s">
        <v>101</v>
      </c>
      <c r="BS164" t="s">
        <v>3346</v>
      </c>
      <c r="BT164" t="str">
        <f>HYPERLINK("https%3A%2F%2Fwww.webofscience.com%2Fwos%2Fwoscc%2Ffull-record%2FWOS:000271872200015","View Full Record in Web of Science")</f>
        <v>View Full Record in Web of Science</v>
      </c>
    </row>
    <row r="165" spans="1:72" x14ac:dyDescent="0.15">
      <c r="A165" t="s">
        <v>72</v>
      </c>
      <c r="B165" t="s">
        <v>3347</v>
      </c>
      <c r="C165" t="s">
        <v>74</v>
      </c>
      <c r="D165" t="s">
        <v>74</v>
      </c>
      <c r="E165" t="s">
        <v>74</v>
      </c>
      <c r="F165" t="s">
        <v>3348</v>
      </c>
      <c r="G165" t="s">
        <v>74</v>
      </c>
      <c r="H165" t="s">
        <v>74</v>
      </c>
      <c r="I165" t="s">
        <v>3349</v>
      </c>
      <c r="J165" t="s">
        <v>3295</v>
      </c>
      <c r="K165" t="s">
        <v>74</v>
      </c>
      <c r="L165" t="s">
        <v>74</v>
      </c>
      <c r="M165" t="s">
        <v>78</v>
      </c>
      <c r="N165" t="s">
        <v>297</v>
      </c>
      <c r="O165" t="s">
        <v>74</v>
      </c>
      <c r="P165" t="s">
        <v>74</v>
      </c>
      <c r="Q165" t="s">
        <v>74</v>
      </c>
      <c r="R165" t="s">
        <v>74</v>
      </c>
      <c r="S165" t="s">
        <v>74</v>
      </c>
      <c r="T165" t="s">
        <v>74</v>
      </c>
      <c r="U165" t="s">
        <v>3350</v>
      </c>
      <c r="V165" t="s">
        <v>3351</v>
      </c>
      <c r="W165" t="s">
        <v>3352</v>
      </c>
      <c r="X165" t="s">
        <v>3353</v>
      </c>
      <c r="Y165" t="s">
        <v>3354</v>
      </c>
      <c r="Z165" t="s">
        <v>3355</v>
      </c>
      <c r="AA165" t="s">
        <v>3356</v>
      </c>
      <c r="AB165" t="s">
        <v>3357</v>
      </c>
      <c r="AC165" t="s">
        <v>3358</v>
      </c>
      <c r="AD165" t="s">
        <v>3359</v>
      </c>
      <c r="AE165" t="s">
        <v>3360</v>
      </c>
      <c r="AF165" t="s">
        <v>74</v>
      </c>
      <c r="AG165">
        <v>104</v>
      </c>
      <c r="AH165">
        <v>126</v>
      </c>
      <c r="AI165">
        <v>129</v>
      </c>
      <c r="AJ165">
        <v>0</v>
      </c>
      <c r="AK165">
        <v>15</v>
      </c>
      <c r="AL165" t="s">
        <v>1894</v>
      </c>
      <c r="AM165" t="s">
        <v>1895</v>
      </c>
      <c r="AN165" t="s">
        <v>1896</v>
      </c>
      <c r="AO165" t="s">
        <v>3307</v>
      </c>
      <c r="AP165" t="s">
        <v>74</v>
      </c>
      <c r="AQ165" t="s">
        <v>74</v>
      </c>
      <c r="AR165" t="s">
        <v>3308</v>
      </c>
      <c r="AS165" t="s">
        <v>3309</v>
      </c>
      <c r="AT165" t="s">
        <v>1026</v>
      </c>
      <c r="AU165">
        <v>2009</v>
      </c>
      <c r="AV165">
        <v>28</v>
      </c>
      <c r="AW165" t="s">
        <v>3310</v>
      </c>
      <c r="AX165" t="s">
        <v>74</v>
      </c>
      <c r="AY165" t="s">
        <v>74</v>
      </c>
      <c r="AZ165" t="s">
        <v>74</v>
      </c>
      <c r="BA165" t="s">
        <v>74</v>
      </c>
      <c r="BB165">
        <v>2774</v>
      </c>
      <c r="BC165">
        <v>2793</v>
      </c>
      <c r="BD165" t="s">
        <v>74</v>
      </c>
      <c r="BE165" t="s">
        <v>3361</v>
      </c>
      <c r="BF165" t="str">
        <f>HYPERLINK("http://dx.doi.org/10.1016/j.quascirev.2009.07.003","http://dx.doi.org/10.1016/j.quascirev.2009.07.003")</f>
        <v>http://dx.doi.org/10.1016/j.quascirev.2009.07.003</v>
      </c>
      <c r="BG165" t="s">
        <v>74</v>
      </c>
      <c r="BH165" t="s">
        <v>74</v>
      </c>
      <c r="BI165">
        <v>20</v>
      </c>
      <c r="BJ165" t="s">
        <v>2121</v>
      </c>
      <c r="BK165" t="s">
        <v>98</v>
      </c>
      <c r="BL165" t="s">
        <v>2122</v>
      </c>
      <c r="BM165" t="s">
        <v>3312</v>
      </c>
      <c r="BN165" t="s">
        <v>74</v>
      </c>
      <c r="BO165" t="s">
        <v>239</v>
      </c>
      <c r="BP165" t="s">
        <v>74</v>
      </c>
      <c r="BQ165" t="s">
        <v>74</v>
      </c>
      <c r="BR165" t="s">
        <v>101</v>
      </c>
      <c r="BS165" t="s">
        <v>3362</v>
      </c>
      <c r="BT165" t="str">
        <f>HYPERLINK("https%3A%2F%2Fwww.webofscience.com%2Fwos%2Fwoscc%2Ffull-record%2FWOS:000271872200017","View Full Record in Web of Science")</f>
        <v>View Full Record in Web of Science</v>
      </c>
    </row>
    <row r="166" spans="1:72" x14ac:dyDescent="0.15">
      <c r="A166" t="s">
        <v>72</v>
      </c>
      <c r="B166" t="s">
        <v>3363</v>
      </c>
      <c r="C166" t="s">
        <v>74</v>
      </c>
      <c r="D166" t="s">
        <v>74</v>
      </c>
      <c r="E166" t="s">
        <v>74</v>
      </c>
      <c r="F166" t="s">
        <v>3364</v>
      </c>
      <c r="G166" t="s">
        <v>74</v>
      </c>
      <c r="H166" t="s">
        <v>74</v>
      </c>
      <c r="I166" t="s">
        <v>3365</v>
      </c>
      <c r="J166" t="s">
        <v>3295</v>
      </c>
      <c r="K166" t="s">
        <v>74</v>
      </c>
      <c r="L166" t="s">
        <v>74</v>
      </c>
      <c r="M166" t="s">
        <v>78</v>
      </c>
      <c r="N166" t="s">
        <v>79</v>
      </c>
      <c r="O166" t="s">
        <v>74</v>
      </c>
      <c r="P166" t="s">
        <v>74</v>
      </c>
      <c r="Q166" t="s">
        <v>74</v>
      </c>
      <c r="R166" t="s">
        <v>74</v>
      </c>
      <c r="S166" t="s">
        <v>74</v>
      </c>
      <c r="T166" t="s">
        <v>74</v>
      </c>
      <c r="U166" t="s">
        <v>3366</v>
      </c>
      <c r="V166" t="s">
        <v>3367</v>
      </c>
      <c r="W166" t="s">
        <v>3368</v>
      </c>
      <c r="X166" t="s">
        <v>3369</v>
      </c>
      <c r="Y166" t="s">
        <v>3370</v>
      </c>
      <c r="Z166" t="s">
        <v>3371</v>
      </c>
      <c r="AA166" t="s">
        <v>3372</v>
      </c>
      <c r="AB166" t="s">
        <v>3373</v>
      </c>
      <c r="AC166" t="s">
        <v>3374</v>
      </c>
      <c r="AD166" t="s">
        <v>3375</v>
      </c>
      <c r="AE166" t="s">
        <v>3376</v>
      </c>
      <c r="AF166" t="s">
        <v>74</v>
      </c>
      <c r="AG166">
        <v>72</v>
      </c>
      <c r="AH166">
        <v>112</v>
      </c>
      <c r="AI166">
        <v>121</v>
      </c>
      <c r="AJ166">
        <v>0</v>
      </c>
      <c r="AK166">
        <v>94</v>
      </c>
      <c r="AL166" t="s">
        <v>1894</v>
      </c>
      <c r="AM166" t="s">
        <v>1895</v>
      </c>
      <c r="AN166" t="s">
        <v>1896</v>
      </c>
      <c r="AO166" t="s">
        <v>3307</v>
      </c>
      <c r="AP166" t="s">
        <v>3344</v>
      </c>
      <c r="AQ166" t="s">
        <v>74</v>
      </c>
      <c r="AR166" t="s">
        <v>3308</v>
      </c>
      <c r="AS166" t="s">
        <v>3309</v>
      </c>
      <c r="AT166" t="s">
        <v>1026</v>
      </c>
      <c r="AU166">
        <v>2009</v>
      </c>
      <c r="AV166">
        <v>28</v>
      </c>
      <c r="AW166" t="s">
        <v>3310</v>
      </c>
      <c r="AX166" t="s">
        <v>74</v>
      </c>
      <c r="AY166" t="s">
        <v>74</v>
      </c>
      <c r="AZ166" t="s">
        <v>74</v>
      </c>
      <c r="BA166" t="s">
        <v>74</v>
      </c>
      <c r="BB166">
        <v>2794</v>
      </c>
      <c r="BC166">
        <v>2803</v>
      </c>
      <c r="BD166" t="s">
        <v>74</v>
      </c>
      <c r="BE166" t="s">
        <v>3377</v>
      </c>
      <c r="BF166" t="str">
        <f>HYPERLINK("http://dx.doi.org/10.1016/j.quascirev.2009.07.006","http://dx.doi.org/10.1016/j.quascirev.2009.07.006")</f>
        <v>http://dx.doi.org/10.1016/j.quascirev.2009.07.006</v>
      </c>
      <c r="BG166" t="s">
        <v>74</v>
      </c>
      <c r="BH166" t="s">
        <v>74</v>
      </c>
      <c r="BI166">
        <v>10</v>
      </c>
      <c r="BJ166" t="s">
        <v>2121</v>
      </c>
      <c r="BK166" t="s">
        <v>98</v>
      </c>
      <c r="BL166" t="s">
        <v>2122</v>
      </c>
      <c r="BM166" t="s">
        <v>3312</v>
      </c>
      <c r="BN166" t="s">
        <v>74</v>
      </c>
      <c r="BO166" t="s">
        <v>74</v>
      </c>
      <c r="BP166" t="s">
        <v>74</v>
      </c>
      <c r="BQ166" t="s">
        <v>74</v>
      </c>
      <c r="BR166" t="s">
        <v>101</v>
      </c>
      <c r="BS166" t="s">
        <v>3378</v>
      </c>
      <c r="BT166" t="str">
        <f>HYPERLINK("https%3A%2F%2Fwww.webofscience.com%2Fwos%2Fwoscc%2Ffull-record%2FWOS:000271872200018","View Full Record in Web of Science")</f>
        <v>View Full Record in Web of Science</v>
      </c>
    </row>
    <row r="167" spans="1:72" x14ac:dyDescent="0.15">
      <c r="A167" t="s">
        <v>72</v>
      </c>
      <c r="B167" t="s">
        <v>3379</v>
      </c>
      <c r="C167" t="s">
        <v>74</v>
      </c>
      <c r="D167" t="s">
        <v>74</v>
      </c>
      <c r="E167" t="s">
        <v>74</v>
      </c>
      <c r="F167" t="s">
        <v>3380</v>
      </c>
      <c r="G167" t="s">
        <v>74</v>
      </c>
      <c r="H167" t="s">
        <v>74</v>
      </c>
      <c r="I167" t="s">
        <v>3381</v>
      </c>
      <c r="J167" t="s">
        <v>3295</v>
      </c>
      <c r="K167" t="s">
        <v>74</v>
      </c>
      <c r="L167" t="s">
        <v>74</v>
      </c>
      <c r="M167" t="s">
        <v>78</v>
      </c>
      <c r="N167" t="s">
        <v>297</v>
      </c>
      <c r="O167" t="s">
        <v>74</v>
      </c>
      <c r="P167" t="s">
        <v>74</v>
      </c>
      <c r="Q167" t="s">
        <v>74</v>
      </c>
      <c r="R167" t="s">
        <v>74</v>
      </c>
      <c r="S167" t="s">
        <v>74</v>
      </c>
      <c r="T167" t="s">
        <v>74</v>
      </c>
      <c r="U167" t="s">
        <v>3382</v>
      </c>
      <c r="V167" t="s">
        <v>3383</v>
      </c>
      <c r="W167" t="s">
        <v>3384</v>
      </c>
      <c r="X167" t="s">
        <v>3385</v>
      </c>
      <c r="Y167" t="s">
        <v>3386</v>
      </c>
      <c r="Z167" t="s">
        <v>1246</v>
      </c>
      <c r="AA167" t="s">
        <v>3387</v>
      </c>
      <c r="AB167" t="s">
        <v>3388</v>
      </c>
      <c r="AC167" t="s">
        <v>3389</v>
      </c>
      <c r="AD167" t="s">
        <v>730</v>
      </c>
      <c r="AE167" t="s">
        <v>74</v>
      </c>
      <c r="AF167" t="s">
        <v>74</v>
      </c>
      <c r="AG167">
        <v>157</v>
      </c>
      <c r="AH167">
        <v>142</v>
      </c>
      <c r="AI167">
        <v>150</v>
      </c>
      <c r="AJ167">
        <v>0</v>
      </c>
      <c r="AK167">
        <v>38</v>
      </c>
      <c r="AL167" t="s">
        <v>1894</v>
      </c>
      <c r="AM167" t="s">
        <v>1895</v>
      </c>
      <c r="AN167" t="s">
        <v>1896</v>
      </c>
      <c r="AO167" t="s">
        <v>3307</v>
      </c>
      <c r="AP167" t="s">
        <v>74</v>
      </c>
      <c r="AQ167" t="s">
        <v>74</v>
      </c>
      <c r="AR167" t="s">
        <v>3308</v>
      </c>
      <c r="AS167" t="s">
        <v>3309</v>
      </c>
      <c r="AT167" t="s">
        <v>1026</v>
      </c>
      <c r="AU167">
        <v>2009</v>
      </c>
      <c r="AV167">
        <v>28</v>
      </c>
      <c r="AW167" t="s">
        <v>3390</v>
      </c>
      <c r="AX167" t="s">
        <v>74</v>
      </c>
      <c r="AY167" t="s">
        <v>74</v>
      </c>
      <c r="AZ167" t="s">
        <v>74</v>
      </c>
      <c r="BA167" t="s">
        <v>74</v>
      </c>
      <c r="BB167">
        <v>3035</v>
      </c>
      <c r="BC167">
        <v>3048</v>
      </c>
      <c r="BD167" t="s">
        <v>74</v>
      </c>
      <c r="BE167" t="s">
        <v>3391</v>
      </c>
      <c r="BF167" t="str">
        <f>HYPERLINK("http://dx.doi.org/10.1016/j.quascirev.2009.08.015","http://dx.doi.org/10.1016/j.quascirev.2009.08.015")</f>
        <v>http://dx.doi.org/10.1016/j.quascirev.2009.08.015</v>
      </c>
      <c r="BG167" t="s">
        <v>74</v>
      </c>
      <c r="BH167" t="s">
        <v>74</v>
      </c>
      <c r="BI167">
        <v>14</v>
      </c>
      <c r="BJ167" t="s">
        <v>2121</v>
      </c>
      <c r="BK167" t="s">
        <v>98</v>
      </c>
      <c r="BL167" t="s">
        <v>2122</v>
      </c>
      <c r="BM167" t="s">
        <v>3392</v>
      </c>
      <c r="BN167" t="s">
        <v>74</v>
      </c>
      <c r="BO167" t="s">
        <v>74</v>
      </c>
      <c r="BP167" t="s">
        <v>74</v>
      </c>
      <c r="BQ167" t="s">
        <v>74</v>
      </c>
      <c r="BR167" t="s">
        <v>101</v>
      </c>
      <c r="BS167" t="s">
        <v>3393</v>
      </c>
      <c r="BT167" t="str">
        <f>HYPERLINK("https%3A%2F%2Fwww.webofscience.com%2Fwos%2Fwoscc%2Ffull-record%2FWOS:000273195700003","View Full Record in Web of Science")</f>
        <v>View Full Record in Web of Science</v>
      </c>
    </row>
    <row r="168" spans="1:72" x14ac:dyDescent="0.15">
      <c r="A168" t="s">
        <v>72</v>
      </c>
      <c r="B168" t="s">
        <v>3394</v>
      </c>
      <c r="C168" t="s">
        <v>74</v>
      </c>
      <c r="D168" t="s">
        <v>74</v>
      </c>
      <c r="E168" t="s">
        <v>74</v>
      </c>
      <c r="F168" t="s">
        <v>3395</v>
      </c>
      <c r="G168" t="s">
        <v>74</v>
      </c>
      <c r="H168" t="s">
        <v>74</v>
      </c>
      <c r="I168" t="s">
        <v>3396</v>
      </c>
      <c r="J168" t="s">
        <v>3295</v>
      </c>
      <c r="K168" t="s">
        <v>74</v>
      </c>
      <c r="L168" t="s">
        <v>74</v>
      </c>
      <c r="M168" t="s">
        <v>78</v>
      </c>
      <c r="N168" t="s">
        <v>79</v>
      </c>
      <c r="O168" t="s">
        <v>74</v>
      </c>
      <c r="P168" t="s">
        <v>74</v>
      </c>
      <c r="Q168" t="s">
        <v>74</v>
      </c>
      <c r="R168" t="s">
        <v>74</v>
      </c>
      <c r="S168" t="s">
        <v>74</v>
      </c>
      <c r="T168" t="s">
        <v>74</v>
      </c>
      <c r="U168" t="s">
        <v>3397</v>
      </c>
      <c r="V168" t="s">
        <v>3398</v>
      </c>
      <c r="W168" t="s">
        <v>3399</v>
      </c>
      <c r="X168" t="s">
        <v>3400</v>
      </c>
      <c r="Y168" t="s">
        <v>3401</v>
      </c>
      <c r="Z168" t="s">
        <v>3402</v>
      </c>
      <c r="AA168" t="s">
        <v>2736</v>
      </c>
      <c r="AB168" t="s">
        <v>2737</v>
      </c>
      <c r="AC168" t="s">
        <v>3403</v>
      </c>
      <c r="AD168" t="s">
        <v>3404</v>
      </c>
      <c r="AE168" t="s">
        <v>3405</v>
      </c>
      <c r="AF168" t="s">
        <v>74</v>
      </c>
      <c r="AG168">
        <v>81</v>
      </c>
      <c r="AH168">
        <v>49</v>
      </c>
      <c r="AI168">
        <v>58</v>
      </c>
      <c r="AJ168">
        <v>1</v>
      </c>
      <c r="AK168">
        <v>28</v>
      </c>
      <c r="AL168" t="s">
        <v>1894</v>
      </c>
      <c r="AM168" t="s">
        <v>1895</v>
      </c>
      <c r="AN168" t="s">
        <v>1896</v>
      </c>
      <c r="AO168" t="s">
        <v>3307</v>
      </c>
      <c r="AP168" t="s">
        <v>74</v>
      </c>
      <c r="AQ168" t="s">
        <v>74</v>
      </c>
      <c r="AR168" t="s">
        <v>3308</v>
      </c>
      <c r="AS168" t="s">
        <v>3309</v>
      </c>
      <c r="AT168" t="s">
        <v>1026</v>
      </c>
      <c r="AU168">
        <v>2009</v>
      </c>
      <c r="AV168">
        <v>28</v>
      </c>
      <c r="AW168" t="s">
        <v>3390</v>
      </c>
      <c r="AX168" t="s">
        <v>74</v>
      </c>
      <c r="AY168" t="s">
        <v>74</v>
      </c>
      <c r="AZ168" t="s">
        <v>74</v>
      </c>
      <c r="BA168" t="s">
        <v>74</v>
      </c>
      <c r="BB168">
        <v>3049</v>
      </c>
      <c r="BC168">
        <v>3065</v>
      </c>
      <c r="BD168" t="s">
        <v>74</v>
      </c>
      <c r="BE168" t="s">
        <v>3406</v>
      </c>
      <c r="BF168" t="str">
        <f>HYPERLINK("http://dx.doi.org/10.1016/j.quascirev.2009.08.012","http://dx.doi.org/10.1016/j.quascirev.2009.08.012")</f>
        <v>http://dx.doi.org/10.1016/j.quascirev.2009.08.012</v>
      </c>
      <c r="BG168" t="s">
        <v>74</v>
      </c>
      <c r="BH168" t="s">
        <v>74</v>
      </c>
      <c r="BI168">
        <v>17</v>
      </c>
      <c r="BJ168" t="s">
        <v>2121</v>
      </c>
      <c r="BK168" t="s">
        <v>98</v>
      </c>
      <c r="BL168" t="s">
        <v>2122</v>
      </c>
      <c r="BM168" t="s">
        <v>3392</v>
      </c>
      <c r="BN168" t="s">
        <v>74</v>
      </c>
      <c r="BO168" t="s">
        <v>74</v>
      </c>
      <c r="BP168" t="s">
        <v>74</v>
      </c>
      <c r="BQ168" t="s">
        <v>74</v>
      </c>
      <c r="BR168" t="s">
        <v>101</v>
      </c>
      <c r="BS168" t="s">
        <v>3407</v>
      </c>
      <c r="BT168" t="str">
        <f>HYPERLINK("https%3A%2F%2Fwww.webofscience.com%2Fwos%2Fwoscc%2Ffull-record%2FWOS:000273195700004","View Full Record in Web of Science")</f>
        <v>View Full Record in Web of Science</v>
      </c>
    </row>
    <row r="169" spans="1:72" x14ac:dyDescent="0.15">
      <c r="A169" t="s">
        <v>72</v>
      </c>
      <c r="B169" t="s">
        <v>3408</v>
      </c>
      <c r="C169" t="s">
        <v>74</v>
      </c>
      <c r="D169" t="s">
        <v>74</v>
      </c>
      <c r="E169" t="s">
        <v>74</v>
      </c>
      <c r="F169" t="s">
        <v>3409</v>
      </c>
      <c r="G169" t="s">
        <v>74</v>
      </c>
      <c r="H169" t="s">
        <v>74</v>
      </c>
      <c r="I169" t="s">
        <v>3410</v>
      </c>
      <c r="J169" t="s">
        <v>3295</v>
      </c>
      <c r="K169" t="s">
        <v>74</v>
      </c>
      <c r="L169" t="s">
        <v>74</v>
      </c>
      <c r="M169" t="s">
        <v>78</v>
      </c>
      <c r="N169" t="s">
        <v>297</v>
      </c>
      <c r="O169" t="s">
        <v>74</v>
      </c>
      <c r="P169" t="s">
        <v>74</v>
      </c>
      <c r="Q169" t="s">
        <v>74</v>
      </c>
      <c r="R169" t="s">
        <v>74</v>
      </c>
      <c r="S169" t="s">
        <v>74</v>
      </c>
      <c r="T169" t="s">
        <v>74</v>
      </c>
      <c r="U169" t="s">
        <v>3411</v>
      </c>
      <c r="V169" t="s">
        <v>3412</v>
      </c>
      <c r="W169" t="s">
        <v>3413</v>
      </c>
      <c r="X169" t="s">
        <v>3414</v>
      </c>
      <c r="Y169" t="s">
        <v>3415</v>
      </c>
      <c r="Z169" t="s">
        <v>3416</v>
      </c>
      <c r="AA169" t="s">
        <v>3417</v>
      </c>
      <c r="AB169" t="s">
        <v>3418</v>
      </c>
      <c r="AC169" t="s">
        <v>3419</v>
      </c>
      <c r="AD169" t="s">
        <v>3420</v>
      </c>
      <c r="AE169" t="s">
        <v>3421</v>
      </c>
      <c r="AF169" t="s">
        <v>74</v>
      </c>
      <c r="AG169">
        <v>130</v>
      </c>
      <c r="AH169">
        <v>168</v>
      </c>
      <c r="AI169">
        <v>176</v>
      </c>
      <c r="AJ169">
        <v>1</v>
      </c>
      <c r="AK169">
        <v>81</v>
      </c>
      <c r="AL169" t="s">
        <v>1894</v>
      </c>
      <c r="AM169" t="s">
        <v>1895</v>
      </c>
      <c r="AN169" t="s">
        <v>1896</v>
      </c>
      <c r="AO169" t="s">
        <v>3307</v>
      </c>
      <c r="AP169" t="s">
        <v>74</v>
      </c>
      <c r="AQ169" t="s">
        <v>74</v>
      </c>
      <c r="AR169" t="s">
        <v>3308</v>
      </c>
      <c r="AS169" t="s">
        <v>3309</v>
      </c>
      <c r="AT169" t="s">
        <v>1026</v>
      </c>
      <c r="AU169">
        <v>2009</v>
      </c>
      <c r="AV169">
        <v>28</v>
      </c>
      <c r="AW169" t="s">
        <v>3390</v>
      </c>
      <c r="AX169" t="s">
        <v>74</v>
      </c>
      <c r="AY169" t="s">
        <v>74</v>
      </c>
      <c r="AZ169" t="s">
        <v>74</v>
      </c>
      <c r="BA169" t="s">
        <v>74</v>
      </c>
      <c r="BB169">
        <v>3066</v>
      </c>
      <c r="BC169">
        <v>3084</v>
      </c>
      <c r="BD169" t="s">
        <v>74</v>
      </c>
      <c r="BE169" t="s">
        <v>3422</v>
      </c>
      <c r="BF169" t="str">
        <f>HYPERLINK("http://dx.doi.org/10.1016/j.quascirev.2009.08.009","http://dx.doi.org/10.1016/j.quascirev.2009.08.009")</f>
        <v>http://dx.doi.org/10.1016/j.quascirev.2009.08.009</v>
      </c>
      <c r="BG169" t="s">
        <v>74</v>
      </c>
      <c r="BH169" t="s">
        <v>74</v>
      </c>
      <c r="BI169">
        <v>19</v>
      </c>
      <c r="BJ169" t="s">
        <v>2121</v>
      </c>
      <c r="BK169" t="s">
        <v>98</v>
      </c>
      <c r="BL169" t="s">
        <v>2122</v>
      </c>
      <c r="BM169" t="s">
        <v>3392</v>
      </c>
      <c r="BN169" t="s">
        <v>74</v>
      </c>
      <c r="BO169" t="s">
        <v>74</v>
      </c>
      <c r="BP169" t="s">
        <v>74</v>
      </c>
      <c r="BQ169" t="s">
        <v>74</v>
      </c>
      <c r="BR169" t="s">
        <v>101</v>
      </c>
      <c r="BS169" t="s">
        <v>3423</v>
      </c>
      <c r="BT169" t="str">
        <f>HYPERLINK("https%3A%2F%2Fwww.webofscience.com%2Fwos%2Fwoscc%2Ffull-record%2FWOS:000273195700005","View Full Record in Web of Science")</f>
        <v>View Full Record in Web of Science</v>
      </c>
    </row>
    <row r="170" spans="1:72" x14ac:dyDescent="0.15">
      <c r="A170" t="s">
        <v>72</v>
      </c>
      <c r="B170" t="s">
        <v>3424</v>
      </c>
      <c r="C170" t="s">
        <v>74</v>
      </c>
      <c r="D170" t="s">
        <v>74</v>
      </c>
      <c r="E170" t="s">
        <v>74</v>
      </c>
      <c r="F170" t="s">
        <v>3425</v>
      </c>
      <c r="G170" t="s">
        <v>74</v>
      </c>
      <c r="H170" t="s">
        <v>74</v>
      </c>
      <c r="I170" t="s">
        <v>3426</v>
      </c>
      <c r="J170" t="s">
        <v>3295</v>
      </c>
      <c r="K170" t="s">
        <v>74</v>
      </c>
      <c r="L170" t="s">
        <v>74</v>
      </c>
      <c r="M170" t="s">
        <v>78</v>
      </c>
      <c r="N170" t="s">
        <v>79</v>
      </c>
      <c r="O170" t="s">
        <v>74</v>
      </c>
      <c r="P170" t="s">
        <v>74</v>
      </c>
      <c r="Q170" t="s">
        <v>74</v>
      </c>
      <c r="R170" t="s">
        <v>74</v>
      </c>
      <c r="S170" t="s">
        <v>74</v>
      </c>
      <c r="T170" t="s">
        <v>74</v>
      </c>
      <c r="U170" t="s">
        <v>3427</v>
      </c>
      <c r="V170" t="s">
        <v>3428</v>
      </c>
      <c r="W170" t="s">
        <v>3429</v>
      </c>
      <c r="X170" t="s">
        <v>3430</v>
      </c>
      <c r="Y170" t="s">
        <v>3431</v>
      </c>
      <c r="Z170" t="s">
        <v>3432</v>
      </c>
      <c r="AA170" t="s">
        <v>3433</v>
      </c>
      <c r="AB170" t="s">
        <v>3434</v>
      </c>
      <c r="AC170" t="s">
        <v>3435</v>
      </c>
      <c r="AD170" t="s">
        <v>3436</v>
      </c>
      <c r="AE170" t="s">
        <v>3437</v>
      </c>
      <c r="AF170" t="s">
        <v>74</v>
      </c>
      <c r="AG170">
        <v>53</v>
      </c>
      <c r="AH170">
        <v>17</v>
      </c>
      <c r="AI170">
        <v>19</v>
      </c>
      <c r="AJ170">
        <v>0</v>
      </c>
      <c r="AK170">
        <v>14</v>
      </c>
      <c r="AL170" t="s">
        <v>1894</v>
      </c>
      <c r="AM170" t="s">
        <v>1895</v>
      </c>
      <c r="AN170" t="s">
        <v>1896</v>
      </c>
      <c r="AO170" t="s">
        <v>3307</v>
      </c>
      <c r="AP170" t="s">
        <v>74</v>
      </c>
      <c r="AQ170" t="s">
        <v>74</v>
      </c>
      <c r="AR170" t="s">
        <v>3308</v>
      </c>
      <c r="AS170" t="s">
        <v>3309</v>
      </c>
      <c r="AT170" t="s">
        <v>1026</v>
      </c>
      <c r="AU170">
        <v>2009</v>
      </c>
      <c r="AV170">
        <v>28</v>
      </c>
      <c r="AW170" t="s">
        <v>3390</v>
      </c>
      <c r="AX170" t="s">
        <v>74</v>
      </c>
      <c r="AY170" t="s">
        <v>74</v>
      </c>
      <c r="AZ170" t="s">
        <v>74</v>
      </c>
      <c r="BA170" t="s">
        <v>74</v>
      </c>
      <c r="BB170">
        <v>3124</v>
      </c>
      <c r="BC170">
        <v>3137</v>
      </c>
      <c r="BD170" t="s">
        <v>74</v>
      </c>
      <c r="BE170" t="s">
        <v>3438</v>
      </c>
      <c r="BF170" t="str">
        <f>HYPERLINK("http://dx.doi.org/10.1016/j.quascirev.2009.08.002","http://dx.doi.org/10.1016/j.quascirev.2009.08.002")</f>
        <v>http://dx.doi.org/10.1016/j.quascirev.2009.08.002</v>
      </c>
      <c r="BG170" t="s">
        <v>74</v>
      </c>
      <c r="BH170" t="s">
        <v>74</v>
      </c>
      <c r="BI170">
        <v>14</v>
      </c>
      <c r="BJ170" t="s">
        <v>2121</v>
      </c>
      <c r="BK170" t="s">
        <v>98</v>
      </c>
      <c r="BL170" t="s">
        <v>2122</v>
      </c>
      <c r="BM170" t="s">
        <v>3392</v>
      </c>
      <c r="BN170" t="s">
        <v>74</v>
      </c>
      <c r="BO170" t="s">
        <v>74</v>
      </c>
      <c r="BP170" t="s">
        <v>74</v>
      </c>
      <c r="BQ170" t="s">
        <v>74</v>
      </c>
      <c r="BR170" t="s">
        <v>101</v>
      </c>
      <c r="BS170" t="s">
        <v>3439</v>
      </c>
      <c r="BT170" t="str">
        <f>HYPERLINK("https%3A%2F%2Fwww.webofscience.com%2Fwos%2Fwoscc%2Ffull-record%2FWOS:000273195700008","View Full Record in Web of Science")</f>
        <v>View Full Record in Web of Science</v>
      </c>
    </row>
    <row r="171" spans="1:72" x14ac:dyDescent="0.15">
      <c r="A171" t="s">
        <v>72</v>
      </c>
      <c r="B171" t="s">
        <v>3440</v>
      </c>
      <c r="C171" t="s">
        <v>74</v>
      </c>
      <c r="D171" t="s">
        <v>74</v>
      </c>
      <c r="E171" t="s">
        <v>74</v>
      </c>
      <c r="F171" t="s">
        <v>3441</v>
      </c>
      <c r="G171" t="s">
        <v>74</v>
      </c>
      <c r="H171" t="s">
        <v>74</v>
      </c>
      <c r="I171" t="s">
        <v>3442</v>
      </c>
      <c r="J171" t="s">
        <v>3295</v>
      </c>
      <c r="K171" t="s">
        <v>74</v>
      </c>
      <c r="L171" t="s">
        <v>74</v>
      </c>
      <c r="M171" t="s">
        <v>78</v>
      </c>
      <c r="N171" t="s">
        <v>79</v>
      </c>
      <c r="O171" t="s">
        <v>74</v>
      </c>
      <c r="P171" t="s">
        <v>74</v>
      </c>
      <c r="Q171" t="s">
        <v>74</v>
      </c>
      <c r="R171" t="s">
        <v>74</v>
      </c>
      <c r="S171" t="s">
        <v>74</v>
      </c>
      <c r="T171" t="s">
        <v>74</v>
      </c>
      <c r="U171" t="s">
        <v>3443</v>
      </c>
      <c r="V171" t="s">
        <v>3444</v>
      </c>
      <c r="W171" t="s">
        <v>3445</v>
      </c>
      <c r="X171" t="s">
        <v>3446</v>
      </c>
      <c r="Y171" t="s">
        <v>3447</v>
      </c>
      <c r="Z171" t="s">
        <v>3448</v>
      </c>
      <c r="AA171" t="s">
        <v>3449</v>
      </c>
      <c r="AB171" t="s">
        <v>3450</v>
      </c>
      <c r="AC171" t="s">
        <v>3451</v>
      </c>
      <c r="AD171" t="s">
        <v>730</v>
      </c>
      <c r="AE171" t="s">
        <v>74</v>
      </c>
      <c r="AF171" t="s">
        <v>74</v>
      </c>
      <c r="AG171">
        <v>99</v>
      </c>
      <c r="AH171">
        <v>30</v>
      </c>
      <c r="AI171">
        <v>30</v>
      </c>
      <c r="AJ171">
        <v>0</v>
      </c>
      <c r="AK171">
        <v>14</v>
      </c>
      <c r="AL171" t="s">
        <v>1894</v>
      </c>
      <c r="AM171" t="s">
        <v>1895</v>
      </c>
      <c r="AN171" t="s">
        <v>1896</v>
      </c>
      <c r="AO171" t="s">
        <v>3307</v>
      </c>
      <c r="AP171" t="s">
        <v>3344</v>
      </c>
      <c r="AQ171" t="s">
        <v>74</v>
      </c>
      <c r="AR171" t="s">
        <v>3308</v>
      </c>
      <c r="AS171" t="s">
        <v>3309</v>
      </c>
      <c r="AT171" t="s">
        <v>1026</v>
      </c>
      <c r="AU171">
        <v>2009</v>
      </c>
      <c r="AV171">
        <v>28</v>
      </c>
      <c r="AW171" t="s">
        <v>3390</v>
      </c>
      <c r="AX171" t="s">
        <v>74</v>
      </c>
      <c r="AY171" t="s">
        <v>74</v>
      </c>
      <c r="AZ171" t="s">
        <v>74</v>
      </c>
      <c r="BA171" t="s">
        <v>74</v>
      </c>
      <c r="BB171">
        <v>3138</v>
      </c>
      <c r="BC171">
        <v>3160</v>
      </c>
      <c r="BD171" t="s">
        <v>74</v>
      </c>
      <c r="BE171" t="s">
        <v>3452</v>
      </c>
      <c r="BF171" t="str">
        <f>HYPERLINK("http://dx.doi.org/10.1016/j.quascirev.2009.08.016","http://dx.doi.org/10.1016/j.quascirev.2009.08.016")</f>
        <v>http://dx.doi.org/10.1016/j.quascirev.2009.08.016</v>
      </c>
      <c r="BG171" t="s">
        <v>74</v>
      </c>
      <c r="BH171" t="s">
        <v>74</v>
      </c>
      <c r="BI171">
        <v>23</v>
      </c>
      <c r="BJ171" t="s">
        <v>2121</v>
      </c>
      <c r="BK171" t="s">
        <v>98</v>
      </c>
      <c r="BL171" t="s">
        <v>2122</v>
      </c>
      <c r="BM171" t="s">
        <v>3392</v>
      </c>
      <c r="BN171" t="s">
        <v>74</v>
      </c>
      <c r="BO171" t="s">
        <v>74</v>
      </c>
      <c r="BP171" t="s">
        <v>74</v>
      </c>
      <c r="BQ171" t="s">
        <v>74</v>
      </c>
      <c r="BR171" t="s">
        <v>101</v>
      </c>
      <c r="BS171" t="s">
        <v>3453</v>
      </c>
      <c r="BT171" t="str">
        <f>HYPERLINK("https%3A%2F%2Fwww.webofscience.com%2Fwos%2Fwoscc%2Ffull-record%2FWOS:000273195700009","View Full Record in Web of Science")</f>
        <v>View Full Record in Web of Science</v>
      </c>
    </row>
    <row r="172" spans="1:72" x14ac:dyDescent="0.15">
      <c r="A172" t="s">
        <v>72</v>
      </c>
      <c r="B172" t="s">
        <v>3454</v>
      </c>
      <c r="C172" t="s">
        <v>74</v>
      </c>
      <c r="D172" t="s">
        <v>74</v>
      </c>
      <c r="E172" t="s">
        <v>74</v>
      </c>
      <c r="F172" t="s">
        <v>3455</v>
      </c>
      <c r="G172" t="s">
        <v>74</v>
      </c>
      <c r="H172" t="s">
        <v>74</v>
      </c>
      <c r="I172" t="s">
        <v>3456</v>
      </c>
      <c r="J172" t="s">
        <v>3295</v>
      </c>
      <c r="K172" t="s">
        <v>74</v>
      </c>
      <c r="L172" t="s">
        <v>74</v>
      </c>
      <c r="M172" t="s">
        <v>78</v>
      </c>
      <c r="N172" t="s">
        <v>79</v>
      </c>
      <c r="O172" t="s">
        <v>74</v>
      </c>
      <c r="P172" t="s">
        <v>74</v>
      </c>
      <c r="Q172" t="s">
        <v>74</v>
      </c>
      <c r="R172" t="s">
        <v>74</v>
      </c>
      <c r="S172" t="s">
        <v>74</v>
      </c>
      <c r="T172" t="s">
        <v>74</v>
      </c>
      <c r="U172" t="s">
        <v>3457</v>
      </c>
      <c r="V172" t="s">
        <v>3458</v>
      </c>
      <c r="W172" t="s">
        <v>3459</v>
      </c>
      <c r="X172" t="s">
        <v>3460</v>
      </c>
      <c r="Y172" t="s">
        <v>3461</v>
      </c>
      <c r="Z172" t="s">
        <v>3462</v>
      </c>
      <c r="AA172" t="s">
        <v>3463</v>
      </c>
      <c r="AB172" t="s">
        <v>3464</v>
      </c>
      <c r="AC172" t="s">
        <v>3465</v>
      </c>
      <c r="AD172" t="s">
        <v>3466</v>
      </c>
      <c r="AE172" t="s">
        <v>3467</v>
      </c>
      <c r="AF172" t="s">
        <v>74</v>
      </c>
      <c r="AG172">
        <v>91</v>
      </c>
      <c r="AH172">
        <v>65</v>
      </c>
      <c r="AI172">
        <v>72</v>
      </c>
      <c r="AJ172">
        <v>0</v>
      </c>
      <c r="AK172">
        <v>24</v>
      </c>
      <c r="AL172" t="s">
        <v>1894</v>
      </c>
      <c r="AM172" t="s">
        <v>1895</v>
      </c>
      <c r="AN172" t="s">
        <v>1896</v>
      </c>
      <c r="AO172" t="s">
        <v>3307</v>
      </c>
      <c r="AP172" t="s">
        <v>74</v>
      </c>
      <c r="AQ172" t="s">
        <v>74</v>
      </c>
      <c r="AR172" t="s">
        <v>3308</v>
      </c>
      <c r="AS172" t="s">
        <v>3309</v>
      </c>
      <c r="AT172" t="s">
        <v>1026</v>
      </c>
      <c r="AU172">
        <v>2009</v>
      </c>
      <c r="AV172">
        <v>28</v>
      </c>
      <c r="AW172" t="s">
        <v>3390</v>
      </c>
      <c r="AX172" t="s">
        <v>74</v>
      </c>
      <c r="AY172" t="s">
        <v>74</v>
      </c>
      <c r="AZ172" t="s">
        <v>74</v>
      </c>
      <c r="BA172" t="s">
        <v>74</v>
      </c>
      <c r="BB172">
        <v>3211</v>
      </c>
      <c r="BC172">
        <v>3223</v>
      </c>
      <c r="BD172" t="s">
        <v>74</v>
      </c>
      <c r="BE172" t="s">
        <v>3468</v>
      </c>
      <c r="BF172" t="str">
        <f>HYPERLINK("http://dx.doi.org/10.1016/j.quascirev.2009.08.007","http://dx.doi.org/10.1016/j.quascirev.2009.08.007")</f>
        <v>http://dx.doi.org/10.1016/j.quascirev.2009.08.007</v>
      </c>
      <c r="BG172" t="s">
        <v>74</v>
      </c>
      <c r="BH172" t="s">
        <v>74</v>
      </c>
      <c r="BI172">
        <v>13</v>
      </c>
      <c r="BJ172" t="s">
        <v>2121</v>
      </c>
      <c r="BK172" t="s">
        <v>98</v>
      </c>
      <c r="BL172" t="s">
        <v>2122</v>
      </c>
      <c r="BM172" t="s">
        <v>3392</v>
      </c>
      <c r="BN172" t="s">
        <v>74</v>
      </c>
      <c r="BO172" t="s">
        <v>74</v>
      </c>
      <c r="BP172" t="s">
        <v>74</v>
      </c>
      <c r="BQ172" t="s">
        <v>74</v>
      </c>
      <c r="BR172" t="s">
        <v>101</v>
      </c>
      <c r="BS172" t="s">
        <v>3469</v>
      </c>
      <c r="BT172" t="str">
        <f>HYPERLINK("https%3A%2F%2Fwww.webofscience.com%2Fwos%2Fwoscc%2Ffull-record%2FWOS:000273195700013","View Full Record in Web of Science")</f>
        <v>View Full Record in Web of Science</v>
      </c>
    </row>
    <row r="173" spans="1:72" x14ac:dyDescent="0.15">
      <c r="A173" t="s">
        <v>72</v>
      </c>
      <c r="B173" t="s">
        <v>3470</v>
      </c>
      <c r="C173" t="s">
        <v>74</v>
      </c>
      <c r="D173" t="s">
        <v>74</v>
      </c>
      <c r="E173" t="s">
        <v>74</v>
      </c>
      <c r="F173" t="s">
        <v>3471</v>
      </c>
      <c r="G173" t="s">
        <v>74</v>
      </c>
      <c r="H173" t="s">
        <v>74</v>
      </c>
      <c r="I173" t="s">
        <v>3472</v>
      </c>
      <c r="J173" t="s">
        <v>3295</v>
      </c>
      <c r="K173" t="s">
        <v>74</v>
      </c>
      <c r="L173" t="s">
        <v>74</v>
      </c>
      <c r="M173" t="s">
        <v>78</v>
      </c>
      <c r="N173" t="s">
        <v>79</v>
      </c>
      <c r="O173" t="s">
        <v>74</v>
      </c>
      <c r="P173" t="s">
        <v>74</v>
      </c>
      <c r="Q173" t="s">
        <v>74</v>
      </c>
      <c r="R173" t="s">
        <v>74</v>
      </c>
      <c r="S173" t="s">
        <v>74</v>
      </c>
      <c r="T173" t="s">
        <v>74</v>
      </c>
      <c r="U173" t="s">
        <v>3473</v>
      </c>
      <c r="V173" t="s">
        <v>3474</v>
      </c>
      <c r="W173" t="s">
        <v>3475</v>
      </c>
      <c r="X173" t="s">
        <v>3476</v>
      </c>
      <c r="Y173" t="s">
        <v>3477</v>
      </c>
      <c r="Z173" t="s">
        <v>3478</v>
      </c>
      <c r="AA173" t="s">
        <v>3479</v>
      </c>
      <c r="AB173" t="s">
        <v>3480</v>
      </c>
      <c r="AC173" t="s">
        <v>74</v>
      </c>
      <c r="AD173" t="s">
        <v>74</v>
      </c>
      <c r="AE173" t="s">
        <v>74</v>
      </c>
      <c r="AF173" t="s">
        <v>74</v>
      </c>
      <c r="AG173">
        <v>40</v>
      </c>
      <c r="AH173">
        <v>60</v>
      </c>
      <c r="AI173">
        <v>65</v>
      </c>
      <c r="AJ173">
        <v>1</v>
      </c>
      <c r="AK173">
        <v>29</v>
      </c>
      <c r="AL173" t="s">
        <v>1894</v>
      </c>
      <c r="AM173" t="s">
        <v>1895</v>
      </c>
      <c r="AN173" t="s">
        <v>1896</v>
      </c>
      <c r="AO173" t="s">
        <v>3307</v>
      </c>
      <c r="AP173" t="s">
        <v>74</v>
      </c>
      <c r="AQ173" t="s">
        <v>74</v>
      </c>
      <c r="AR173" t="s">
        <v>3308</v>
      </c>
      <c r="AS173" t="s">
        <v>3309</v>
      </c>
      <c r="AT173" t="s">
        <v>1026</v>
      </c>
      <c r="AU173">
        <v>2009</v>
      </c>
      <c r="AV173">
        <v>28</v>
      </c>
      <c r="AW173" t="s">
        <v>3390</v>
      </c>
      <c r="AX173" t="s">
        <v>74</v>
      </c>
      <c r="AY173" t="s">
        <v>74</v>
      </c>
      <c r="AZ173" t="s">
        <v>74</v>
      </c>
      <c r="BA173" t="s">
        <v>74</v>
      </c>
      <c r="BB173">
        <v>3361</v>
      </c>
      <c r="BC173">
        <v>3378</v>
      </c>
      <c r="BD173" t="s">
        <v>74</v>
      </c>
      <c r="BE173" t="s">
        <v>3481</v>
      </c>
      <c r="BF173" t="str">
        <f>HYPERLINK("http://dx.doi.org/10.1016/j.quascirev.2009.09.019","http://dx.doi.org/10.1016/j.quascirev.2009.09.019")</f>
        <v>http://dx.doi.org/10.1016/j.quascirev.2009.09.019</v>
      </c>
      <c r="BG173" t="s">
        <v>74</v>
      </c>
      <c r="BH173" t="s">
        <v>74</v>
      </c>
      <c r="BI173">
        <v>18</v>
      </c>
      <c r="BJ173" t="s">
        <v>2121</v>
      </c>
      <c r="BK173" t="s">
        <v>98</v>
      </c>
      <c r="BL173" t="s">
        <v>2122</v>
      </c>
      <c r="BM173" t="s">
        <v>3392</v>
      </c>
      <c r="BN173" t="s">
        <v>74</v>
      </c>
      <c r="BO173" t="s">
        <v>74</v>
      </c>
      <c r="BP173" t="s">
        <v>74</v>
      </c>
      <c r="BQ173" t="s">
        <v>74</v>
      </c>
      <c r="BR173" t="s">
        <v>101</v>
      </c>
      <c r="BS173" t="s">
        <v>3482</v>
      </c>
      <c r="BT173" t="str">
        <f>HYPERLINK("https%3A%2F%2Fwww.webofscience.com%2Fwos%2Fwoscc%2Ffull-record%2FWOS:000273195700025","View Full Record in Web of Science")</f>
        <v>View Full Record in Web of Science</v>
      </c>
    </row>
    <row r="174" spans="1:72" x14ac:dyDescent="0.15">
      <c r="A174" t="s">
        <v>72</v>
      </c>
      <c r="B174" t="s">
        <v>3483</v>
      </c>
      <c r="C174" t="s">
        <v>74</v>
      </c>
      <c r="D174" t="s">
        <v>74</v>
      </c>
      <c r="E174" t="s">
        <v>74</v>
      </c>
      <c r="F174" t="s">
        <v>3484</v>
      </c>
      <c r="G174" t="s">
        <v>74</v>
      </c>
      <c r="H174" t="s">
        <v>74</v>
      </c>
      <c r="I174" t="s">
        <v>3485</v>
      </c>
      <c r="J174" t="s">
        <v>3486</v>
      </c>
      <c r="K174" t="s">
        <v>74</v>
      </c>
      <c r="L174" t="s">
        <v>74</v>
      </c>
      <c r="M174" t="s">
        <v>78</v>
      </c>
      <c r="N174" t="s">
        <v>297</v>
      </c>
      <c r="O174" t="s">
        <v>74</v>
      </c>
      <c r="P174" t="s">
        <v>74</v>
      </c>
      <c r="Q174" t="s">
        <v>74</v>
      </c>
      <c r="R174" t="s">
        <v>74</v>
      </c>
      <c r="S174" t="s">
        <v>74</v>
      </c>
      <c r="T174" t="s">
        <v>3487</v>
      </c>
      <c r="U174" t="s">
        <v>3488</v>
      </c>
      <c r="V174" t="s">
        <v>3489</v>
      </c>
      <c r="W174" t="s">
        <v>3490</v>
      </c>
      <c r="X174" t="s">
        <v>676</v>
      </c>
      <c r="Y174" t="s">
        <v>3491</v>
      </c>
      <c r="Z174" t="s">
        <v>3492</v>
      </c>
      <c r="AA174" t="s">
        <v>74</v>
      </c>
      <c r="AB174" t="s">
        <v>74</v>
      </c>
      <c r="AC174" t="s">
        <v>74</v>
      </c>
      <c r="AD174" t="s">
        <v>74</v>
      </c>
      <c r="AE174" t="s">
        <v>74</v>
      </c>
      <c r="AF174" t="s">
        <v>74</v>
      </c>
      <c r="AG174">
        <v>120</v>
      </c>
      <c r="AH174">
        <v>63</v>
      </c>
      <c r="AI174">
        <v>76</v>
      </c>
      <c r="AJ174">
        <v>0</v>
      </c>
      <c r="AK174">
        <v>34</v>
      </c>
      <c r="AL174" t="s">
        <v>3493</v>
      </c>
      <c r="AM174" t="s">
        <v>3494</v>
      </c>
      <c r="AN174" t="s">
        <v>3495</v>
      </c>
      <c r="AO174" t="s">
        <v>74</v>
      </c>
      <c r="AP174" t="s">
        <v>3496</v>
      </c>
      <c r="AQ174" t="s">
        <v>74</v>
      </c>
      <c r="AR174" t="s">
        <v>3497</v>
      </c>
      <c r="AS174" t="s">
        <v>3498</v>
      </c>
      <c r="AT174" t="s">
        <v>1026</v>
      </c>
      <c r="AU174">
        <v>2009</v>
      </c>
      <c r="AV174">
        <v>1</v>
      </c>
      <c r="AW174">
        <v>4</v>
      </c>
      <c r="AX174" t="s">
        <v>74</v>
      </c>
      <c r="AY174" t="s">
        <v>74</v>
      </c>
      <c r="AZ174" t="s">
        <v>74</v>
      </c>
      <c r="BA174" t="s">
        <v>74</v>
      </c>
      <c r="BB174">
        <v>1212</v>
      </c>
      <c r="BC174">
        <v>1239</v>
      </c>
      <c r="BD174" t="s">
        <v>74</v>
      </c>
      <c r="BE174" t="s">
        <v>3499</v>
      </c>
      <c r="BF174" t="str">
        <f>HYPERLINK("http://dx.doi.org/10.3390/rs1041212","http://dx.doi.org/10.3390/rs1041212")</f>
        <v>http://dx.doi.org/10.3390/rs1041212</v>
      </c>
      <c r="BG174" t="s">
        <v>74</v>
      </c>
      <c r="BH174" t="s">
        <v>74</v>
      </c>
      <c r="BI174">
        <v>28</v>
      </c>
      <c r="BJ174" t="s">
        <v>3500</v>
      </c>
      <c r="BK174" t="s">
        <v>98</v>
      </c>
      <c r="BL174" t="s">
        <v>3501</v>
      </c>
      <c r="BM174" t="s">
        <v>3502</v>
      </c>
      <c r="BN174" t="s">
        <v>74</v>
      </c>
      <c r="BO174" t="s">
        <v>2991</v>
      </c>
      <c r="BP174" t="s">
        <v>74</v>
      </c>
      <c r="BQ174" t="s">
        <v>74</v>
      </c>
      <c r="BR174" t="s">
        <v>101</v>
      </c>
      <c r="BS174" t="s">
        <v>3503</v>
      </c>
      <c r="BT174" t="str">
        <f>HYPERLINK("https%3A%2F%2Fwww.webofscience.com%2Fwos%2Fwoscc%2Ffull-record%2FWOS:000208401000031","View Full Record in Web of Science")</f>
        <v>View Full Record in Web of Science</v>
      </c>
    </row>
    <row r="175" spans="1:72" x14ac:dyDescent="0.15">
      <c r="A175" t="s">
        <v>72</v>
      </c>
      <c r="B175" t="s">
        <v>3504</v>
      </c>
      <c r="C175" t="s">
        <v>74</v>
      </c>
      <c r="D175" t="s">
        <v>74</v>
      </c>
      <c r="E175" t="s">
        <v>74</v>
      </c>
      <c r="F175" t="s">
        <v>3505</v>
      </c>
      <c r="G175" t="s">
        <v>74</v>
      </c>
      <c r="H175" t="s">
        <v>74</v>
      </c>
      <c r="I175" t="s">
        <v>3506</v>
      </c>
      <c r="J175" t="s">
        <v>3507</v>
      </c>
      <c r="K175" t="s">
        <v>74</v>
      </c>
      <c r="L175" t="s">
        <v>74</v>
      </c>
      <c r="M175" t="s">
        <v>78</v>
      </c>
      <c r="N175" t="s">
        <v>79</v>
      </c>
      <c r="O175" t="s">
        <v>74</v>
      </c>
      <c r="P175" t="s">
        <v>74</v>
      </c>
      <c r="Q175" t="s">
        <v>74</v>
      </c>
      <c r="R175" t="s">
        <v>74</v>
      </c>
      <c r="S175" t="s">
        <v>74</v>
      </c>
      <c r="T175" t="s">
        <v>3508</v>
      </c>
      <c r="U175" t="s">
        <v>3509</v>
      </c>
      <c r="V175" t="s">
        <v>3510</v>
      </c>
      <c r="W175" t="s">
        <v>3511</v>
      </c>
      <c r="X175" t="s">
        <v>3512</v>
      </c>
      <c r="Y175" t="s">
        <v>3513</v>
      </c>
      <c r="Z175" t="s">
        <v>3514</v>
      </c>
      <c r="AA175" t="s">
        <v>74</v>
      </c>
      <c r="AB175" t="s">
        <v>74</v>
      </c>
      <c r="AC175" t="s">
        <v>3515</v>
      </c>
      <c r="AD175" t="s">
        <v>3516</v>
      </c>
      <c r="AE175" t="s">
        <v>3517</v>
      </c>
      <c r="AF175" t="s">
        <v>74</v>
      </c>
      <c r="AG175">
        <v>75</v>
      </c>
      <c r="AH175">
        <v>20</v>
      </c>
      <c r="AI175">
        <v>23</v>
      </c>
      <c r="AJ175">
        <v>0</v>
      </c>
      <c r="AK175">
        <v>10</v>
      </c>
      <c r="AL175" t="s">
        <v>305</v>
      </c>
      <c r="AM175" t="s">
        <v>281</v>
      </c>
      <c r="AN175" t="s">
        <v>306</v>
      </c>
      <c r="AO175" t="s">
        <v>3518</v>
      </c>
      <c r="AP175" t="s">
        <v>3519</v>
      </c>
      <c r="AQ175" t="s">
        <v>74</v>
      </c>
      <c r="AR175" t="s">
        <v>3520</v>
      </c>
      <c r="AS175" t="s">
        <v>3521</v>
      </c>
      <c r="AT175" t="s">
        <v>1026</v>
      </c>
      <c r="AU175">
        <v>2009</v>
      </c>
      <c r="AV175">
        <v>158</v>
      </c>
      <c r="AW175" t="s">
        <v>180</v>
      </c>
      <c r="AX175" t="s">
        <v>74</v>
      </c>
      <c r="AY175" t="s">
        <v>74</v>
      </c>
      <c r="AZ175" t="s">
        <v>74</v>
      </c>
      <c r="BA175" t="s">
        <v>74</v>
      </c>
      <c r="BB175">
        <v>167</v>
      </c>
      <c r="BC175">
        <v>179</v>
      </c>
      <c r="BD175" t="s">
        <v>74</v>
      </c>
      <c r="BE175" t="s">
        <v>3522</v>
      </c>
      <c r="BF175" t="str">
        <f>HYPERLINK("http://dx.doi.org/10.1016/j.revpalbo.2009.08.006","http://dx.doi.org/10.1016/j.revpalbo.2009.08.006")</f>
        <v>http://dx.doi.org/10.1016/j.revpalbo.2009.08.006</v>
      </c>
      <c r="BG175" t="s">
        <v>74</v>
      </c>
      <c r="BH175" t="s">
        <v>74</v>
      </c>
      <c r="BI175">
        <v>13</v>
      </c>
      <c r="BJ175" t="s">
        <v>3523</v>
      </c>
      <c r="BK175" t="s">
        <v>98</v>
      </c>
      <c r="BL175" t="s">
        <v>3523</v>
      </c>
      <c r="BM175" t="s">
        <v>3524</v>
      </c>
      <c r="BN175" t="s">
        <v>74</v>
      </c>
      <c r="BO175" t="s">
        <v>74</v>
      </c>
      <c r="BP175" t="s">
        <v>74</v>
      </c>
      <c r="BQ175" t="s">
        <v>74</v>
      </c>
      <c r="BR175" t="s">
        <v>101</v>
      </c>
      <c r="BS175" t="s">
        <v>3525</v>
      </c>
      <c r="BT175" t="str">
        <f>HYPERLINK("https%3A%2F%2Fwww.webofscience.com%2Fwos%2Fwoscc%2Ffull-record%2FWOS:000273064700010","View Full Record in Web of Science")</f>
        <v>View Full Record in Web of Science</v>
      </c>
    </row>
    <row r="176" spans="1:72" x14ac:dyDescent="0.15">
      <c r="A176" t="s">
        <v>72</v>
      </c>
      <c r="B176" t="s">
        <v>3526</v>
      </c>
      <c r="C176" t="s">
        <v>74</v>
      </c>
      <c r="D176" t="s">
        <v>74</v>
      </c>
      <c r="E176" t="s">
        <v>74</v>
      </c>
      <c r="F176" t="s">
        <v>3527</v>
      </c>
      <c r="G176" t="s">
        <v>74</v>
      </c>
      <c r="H176" t="s">
        <v>74</v>
      </c>
      <c r="I176" t="s">
        <v>3528</v>
      </c>
      <c r="J176" t="s">
        <v>3529</v>
      </c>
      <c r="K176" t="s">
        <v>74</v>
      </c>
      <c r="L176" t="s">
        <v>74</v>
      </c>
      <c r="M176" t="s">
        <v>78</v>
      </c>
      <c r="N176" t="s">
        <v>79</v>
      </c>
      <c r="O176" t="s">
        <v>74</v>
      </c>
      <c r="P176" t="s">
        <v>74</v>
      </c>
      <c r="Q176" t="s">
        <v>74</v>
      </c>
      <c r="R176" t="s">
        <v>74</v>
      </c>
      <c r="S176" t="s">
        <v>74</v>
      </c>
      <c r="T176" t="s">
        <v>74</v>
      </c>
      <c r="U176" t="s">
        <v>3530</v>
      </c>
      <c r="V176" t="s">
        <v>3531</v>
      </c>
      <c r="W176" t="s">
        <v>3532</v>
      </c>
      <c r="X176" t="s">
        <v>3533</v>
      </c>
      <c r="Y176" t="s">
        <v>3534</v>
      </c>
      <c r="Z176" t="s">
        <v>74</v>
      </c>
      <c r="AA176" t="s">
        <v>3535</v>
      </c>
      <c r="AB176" t="s">
        <v>3536</v>
      </c>
      <c r="AC176" t="s">
        <v>3537</v>
      </c>
      <c r="AD176" t="s">
        <v>3538</v>
      </c>
      <c r="AE176" t="s">
        <v>3539</v>
      </c>
      <c r="AF176" t="s">
        <v>74</v>
      </c>
      <c r="AG176">
        <v>29</v>
      </c>
      <c r="AH176">
        <v>10</v>
      </c>
      <c r="AI176">
        <v>10</v>
      </c>
      <c r="AJ176">
        <v>0</v>
      </c>
      <c r="AK176">
        <v>18</v>
      </c>
      <c r="AL176" t="s">
        <v>122</v>
      </c>
      <c r="AM176" t="s">
        <v>123</v>
      </c>
      <c r="AN176" t="s">
        <v>3540</v>
      </c>
      <c r="AO176" t="s">
        <v>3541</v>
      </c>
      <c r="AP176" t="s">
        <v>74</v>
      </c>
      <c r="AQ176" t="s">
        <v>74</v>
      </c>
      <c r="AR176" t="s">
        <v>3542</v>
      </c>
      <c r="AS176" t="s">
        <v>3543</v>
      </c>
      <c r="AT176" t="s">
        <v>1026</v>
      </c>
      <c r="AU176">
        <v>2009</v>
      </c>
      <c r="AV176">
        <v>80</v>
      </c>
      <c r="AW176">
        <v>12</v>
      </c>
      <c r="AX176" t="s">
        <v>74</v>
      </c>
      <c r="AY176" t="s">
        <v>74</v>
      </c>
      <c r="AZ176" t="s">
        <v>74</v>
      </c>
      <c r="BA176" t="s">
        <v>74</v>
      </c>
      <c r="BB176" t="s">
        <v>74</v>
      </c>
      <c r="BC176" t="s">
        <v>74</v>
      </c>
      <c r="BD176">
        <v>124501</v>
      </c>
      <c r="BE176" t="s">
        <v>3544</v>
      </c>
      <c r="BF176" t="str">
        <f>HYPERLINK("http://dx.doi.org/10.1063/1.3262506","http://dx.doi.org/10.1063/1.3262506")</f>
        <v>http://dx.doi.org/10.1063/1.3262506</v>
      </c>
      <c r="BG176" t="s">
        <v>74</v>
      </c>
      <c r="BH176" t="s">
        <v>74</v>
      </c>
      <c r="BI176">
        <v>19</v>
      </c>
      <c r="BJ176" t="s">
        <v>3545</v>
      </c>
      <c r="BK176" t="s">
        <v>98</v>
      </c>
      <c r="BL176" t="s">
        <v>3546</v>
      </c>
      <c r="BM176" t="s">
        <v>3547</v>
      </c>
      <c r="BN176">
        <v>20059157</v>
      </c>
      <c r="BO176" t="s">
        <v>74</v>
      </c>
      <c r="BP176" t="s">
        <v>74</v>
      </c>
      <c r="BQ176" t="s">
        <v>74</v>
      </c>
      <c r="BR176" t="s">
        <v>101</v>
      </c>
      <c r="BS176" t="s">
        <v>3548</v>
      </c>
      <c r="BT176" t="str">
        <f>HYPERLINK("https%3A%2F%2Fwww.webofscience.com%2Fwos%2Fwoscc%2Ffull-record%2FWOS:000273217300035","View Full Record in Web of Science")</f>
        <v>View Full Record in Web of Science</v>
      </c>
    </row>
    <row r="177" spans="1:72" x14ac:dyDescent="0.15">
      <c r="A177" t="s">
        <v>72</v>
      </c>
      <c r="B177" t="s">
        <v>3549</v>
      </c>
      <c r="C177" t="s">
        <v>74</v>
      </c>
      <c r="D177" t="s">
        <v>74</v>
      </c>
      <c r="E177" t="s">
        <v>74</v>
      </c>
      <c r="F177" t="s">
        <v>3550</v>
      </c>
      <c r="G177" t="s">
        <v>74</v>
      </c>
      <c r="H177" t="s">
        <v>74</v>
      </c>
      <c r="I177" t="s">
        <v>3551</v>
      </c>
      <c r="J177" t="s">
        <v>3552</v>
      </c>
      <c r="K177" t="s">
        <v>74</v>
      </c>
      <c r="L177" t="s">
        <v>74</v>
      </c>
      <c r="M177" t="s">
        <v>78</v>
      </c>
      <c r="N177" t="s">
        <v>79</v>
      </c>
      <c r="O177" t="s">
        <v>74</v>
      </c>
      <c r="P177" t="s">
        <v>74</v>
      </c>
      <c r="Q177" t="s">
        <v>74</v>
      </c>
      <c r="R177" t="s">
        <v>74</v>
      </c>
      <c r="S177" t="s">
        <v>74</v>
      </c>
      <c r="T177" t="s">
        <v>3553</v>
      </c>
      <c r="U177" t="s">
        <v>3554</v>
      </c>
      <c r="V177" t="s">
        <v>3555</v>
      </c>
      <c r="W177" t="s">
        <v>3556</v>
      </c>
      <c r="X177" t="s">
        <v>3557</v>
      </c>
      <c r="Y177" t="s">
        <v>3558</v>
      </c>
      <c r="Z177" t="s">
        <v>3559</v>
      </c>
      <c r="AA177" t="s">
        <v>3560</v>
      </c>
      <c r="AB177" t="s">
        <v>3561</v>
      </c>
      <c r="AC177" t="s">
        <v>3562</v>
      </c>
      <c r="AD177" t="s">
        <v>3563</v>
      </c>
      <c r="AE177" t="s">
        <v>3564</v>
      </c>
      <c r="AF177" t="s">
        <v>74</v>
      </c>
      <c r="AG177">
        <v>39</v>
      </c>
      <c r="AH177">
        <v>9</v>
      </c>
      <c r="AI177">
        <v>9</v>
      </c>
      <c r="AJ177">
        <v>0</v>
      </c>
      <c r="AK177">
        <v>3</v>
      </c>
      <c r="AL177" t="s">
        <v>3493</v>
      </c>
      <c r="AM177" t="s">
        <v>3494</v>
      </c>
      <c r="AN177" t="s">
        <v>3495</v>
      </c>
      <c r="AO177" t="s">
        <v>74</v>
      </c>
      <c r="AP177" t="s">
        <v>3565</v>
      </c>
      <c r="AQ177" t="s">
        <v>74</v>
      </c>
      <c r="AR177" t="s">
        <v>3566</v>
      </c>
      <c r="AS177" t="s">
        <v>3567</v>
      </c>
      <c r="AT177" t="s">
        <v>1026</v>
      </c>
      <c r="AU177">
        <v>2009</v>
      </c>
      <c r="AV177">
        <v>9</v>
      </c>
      <c r="AW177">
        <v>12</v>
      </c>
      <c r="AX177" t="s">
        <v>74</v>
      </c>
      <c r="AY177" t="s">
        <v>74</v>
      </c>
      <c r="AZ177" t="s">
        <v>74</v>
      </c>
      <c r="BA177" t="s">
        <v>74</v>
      </c>
      <c r="BB177">
        <v>10136</v>
      </c>
      <c r="BC177">
        <v>10157</v>
      </c>
      <c r="BD177" t="s">
        <v>74</v>
      </c>
      <c r="BE177" t="s">
        <v>3568</v>
      </c>
      <c r="BF177" t="str">
        <f>HYPERLINK("http://dx.doi.org/10.3390/s91210136","http://dx.doi.org/10.3390/s91210136")</f>
        <v>http://dx.doi.org/10.3390/s91210136</v>
      </c>
      <c r="BG177" t="s">
        <v>74</v>
      </c>
      <c r="BH177" t="s">
        <v>74</v>
      </c>
      <c r="BI177">
        <v>22</v>
      </c>
      <c r="BJ177" t="s">
        <v>3569</v>
      </c>
      <c r="BK177" t="s">
        <v>98</v>
      </c>
      <c r="BL177" t="s">
        <v>3570</v>
      </c>
      <c r="BM177" t="s">
        <v>3571</v>
      </c>
      <c r="BN177">
        <v>22303166</v>
      </c>
      <c r="BO177" t="s">
        <v>3572</v>
      </c>
      <c r="BP177" t="s">
        <v>74</v>
      </c>
      <c r="BQ177" t="s">
        <v>74</v>
      </c>
      <c r="BR177" t="s">
        <v>101</v>
      </c>
      <c r="BS177" t="s">
        <v>3573</v>
      </c>
      <c r="BT177" t="str">
        <f>HYPERLINK("https%3A%2F%2Fwww.webofscience.com%2Fwos%2Fwoscc%2Ffull-record%2FWOS:000273048800035","View Full Record in Web of Science")</f>
        <v>View Full Record in Web of Science</v>
      </c>
    </row>
    <row r="178" spans="1:72" x14ac:dyDescent="0.15">
      <c r="A178" t="s">
        <v>72</v>
      </c>
      <c r="B178" t="s">
        <v>3574</v>
      </c>
      <c r="C178" t="s">
        <v>74</v>
      </c>
      <c r="D178" t="s">
        <v>74</v>
      </c>
      <c r="E178" t="s">
        <v>74</v>
      </c>
      <c r="F178" t="s">
        <v>3575</v>
      </c>
      <c r="G178" t="s">
        <v>74</v>
      </c>
      <c r="H178" t="s">
        <v>74</v>
      </c>
      <c r="I178" t="s">
        <v>3576</v>
      </c>
      <c r="J178" t="s">
        <v>3577</v>
      </c>
      <c r="K178" t="s">
        <v>74</v>
      </c>
      <c r="L178" t="s">
        <v>74</v>
      </c>
      <c r="M178" t="s">
        <v>78</v>
      </c>
      <c r="N178" t="s">
        <v>79</v>
      </c>
      <c r="O178" t="s">
        <v>74</v>
      </c>
      <c r="P178" t="s">
        <v>74</v>
      </c>
      <c r="Q178" t="s">
        <v>74</v>
      </c>
      <c r="R178" t="s">
        <v>74</v>
      </c>
      <c r="S178" t="s">
        <v>74</v>
      </c>
      <c r="T178" t="s">
        <v>74</v>
      </c>
      <c r="U178" t="s">
        <v>3578</v>
      </c>
      <c r="V178" t="s">
        <v>3579</v>
      </c>
      <c r="W178" t="s">
        <v>3580</v>
      </c>
      <c r="X178" t="s">
        <v>3581</v>
      </c>
      <c r="Y178" t="s">
        <v>3582</v>
      </c>
      <c r="Z178" t="s">
        <v>3583</v>
      </c>
      <c r="AA178" t="s">
        <v>74</v>
      </c>
      <c r="AB178" t="s">
        <v>3584</v>
      </c>
      <c r="AC178" t="s">
        <v>3585</v>
      </c>
      <c r="AD178" t="s">
        <v>3586</v>
      </c>
      <c r="AE178" t="s">
        <v>3587</v>
      </c>
      <c r="AF178" t="s">
        <v>74</v>
      </c>
      <c r="AG178">
        <v>71</v>
      </c>
      <c r="AH178">
        <v>46</v>
      </c>
      <c r="AI178">
        <v>49</v>
      </c>
      <c r="AJ178">
        <v>0</v>
      </c>
      <c r="AK178">
        <v>14</v>
      </c>
      <c r="AL178" t="s">
        <v>1184</v>
      </c>
      <c r="AM178" t="s">
        <v>1185</v>
      </c>
      <c r="AN178" t="s">
        <v>1186</v>
      </c>
      <c r="AO178" t="s">
        <v>3588</v>
      </c>
      <c r="AP178" t="s">
        <v>3589</v>
      </c>
      <c r="AQ178" t="s">
        <v>74</v>
      </c>
      <c r="AR178" t="s">
        <v>3577</v>
      </c>
      <c r="AS178" t="s">
        <v>3590</v>
      </c>
      <c r="AT178" t="s">
        <v>1026</v>
      </c>
      <c r="AU178">
        <v>2009</v>
      </c>
      <c r="AV178">
        <v>21</v>
      </c>
      <c r="AW178">
        <v>6</v>
      </c>
      <c r="AX178" t="s">
        <v>74</v>
      </c>
      <c r="AY178" t="s">
        <v>74</v>
      </c>
      <c r="AZ178" t="s">
        <v>74</v>
      </c>
      <c r="BA178" t="s">
        <v>74</v>
      </c>
      <c r="BB178">
        <v>507</v>
      </c>
      <c r="BC178">
        <v>515</v>
      </c>
      <c r="BD178" t="s">
        <v>74</v>
      </c>
      <c r="BE178" t="s">
        <v>3591</v>
      </c>
      <c r="BF178" t="str">
        <f>HYPERLINK("http://dx.doi.org/10.1111/j.1365-3121.2009.00908.x","http://dx.doi.org/10.1111/j.1365-3121.2009.00908.x")</f>
        <v>http://dx.doi.org/10.1111/j.1365-3121.2009.00908.x</v>
      </c>
      <c r="BG178" t="s">
        <v>74</v>
      </c>
      <c r="BH178" t="s">
        <v>74</v>
      </c>
      <c r="BI178">
        <v>9</v>
      </c>
      <c r="BJ178" t="s">
        <v>464</v>
      </c>
      <c r="BK178" t="s">
        <v>98</v>
      </c>
      <c r="BL178" t="s">
        <v>465</v>
      </c>
      <c r="BM178" t="s">
        <v>3592</v>
      </c>
      <c r="BN178" t="s">
        <v>74</v>
      </c>
      <c r="BO178" t="s">
        <v>263</v>
      </c>
      <c r="BP178" t="s">
        <v>74</v>
      </c>
      <c r="BQ178" t="s">
        <v>74</v>
      </c>
      <c r="BR178" t="s">
        <v>101</v>
      </c>
      <c r="BS178" t="s">
        <v>3593</v>
      </c>
      <c r="BT178" t="str">
        <f>HYPERLINK("https%3A%2F%2Fwww.webofscience.com%2Fwos%2Fwoscc%2Ffull-record%2FWOS:000271811500011","View Full Record in Web of Science")</f>
        <v>View Full Record in Web of Science</v>
      </c>
    </row>
    <row r="179" spans="1:72" x14ac:dyDescent="0.15">
      <c r="A179" t="s">
        <v>72</v>
      </c>
      <c r="B179" t="s">
        <v>3594</v>
      </c>
      <c r="C179" t="s">
        <v>74</v>
      </c>
      <c r="D179" t="s">
        <v>74</v>
      </c>
      <c r="E179" t="s">
        <v>74</v>
      </c>
      <c r="F179" t="s">
        <v>3595</v>
      </c>
      <c r="G179" t="s">
        <v>74</v>
      </c>
      <c r="H179" t="s">
        <v>74</v>
      </c>
      <c r="I179" t="s">
        <v>3596</v>
      </c>
      <c r="J179" t="s">
        <v>3597</v>
      </c>
      <c r="K179" t="s">
        <v>74</v>
      </c>
      <c r="L179" t="s">
        <v>74</v>
      </c>
      <c r="M179" t="s">
        <v>78</v>
      </c>
      <c r="N179" t="s">
        <v>79</v>
      </c>
      <c r="O179" t="s">
        <v>74</v>
      </c>
      <c r="P179" t="s">
        <v>74</v>
      </c>
      <c r="Q179" t="s">
        <v>74</v>
      </c>
      <c r="R179" t="s">
        <v>74</v>
      </c>
      <c r="S179" t="s">
        <v>74</v>
      </c>
      <c r="T179" t="s">
        <v>74</v>
      </c>
      <c r="U179" t="s">
        <v>74</v>
      </c>
      <c r="V179" t="s">
        <v>3598</v>
      </c>
      <c r="W179" t="s">
        <v>3599</v>
      </c>
      <c r="X179" t="s">
        <v>3600</v>
      </c>
      <c r="Y179" t="s">
        <v>3601</v>
      </c>
      <c r="Z179" t="s">
        <v>74</v>
      </c>
      <c r="AA179" t="s">
        <v>74</v>
      </c>
      <c r="AB179" t="s">
        <v>74</v>
      </c>
      <c r="AC179" t="s">
        <v>3602</v>
      </c>
      <c r="AD179" t="s">
        <v>3602</v>
      </c>
      <c r="AE179" t="s">
        <v>3603</v>
      </c>
      <c r="AF179" t="s">
        <v>74</v>
      </c>
      <c r="AG179">
        <v>15</v>
      </c>
      <c r="AH179">
        <v>2</v>
      </c>
      <c r="AI179">
        <v>2</v>
      </c>
      <c r="AJ179">
        <v>0</v>
      </c>
      <c r="AK179">
        <v>1</v>
      </c>
      <c r="AL179" t="s">
        <v>3604</v>
      </c>
      <c r="AM179" t="s">
        <v>3605</v>
      </c>
      <c r="AN179" t="s">
        <v>3606</v>
      </c>
      <c r="AO179" t="s">
        <v>3607</v>
      </c>
      <c r="AP179" t="s">
        <v>3608</v>
      </c>
      <c r="AQ179" t="s">
        <v>74</v>
      </c>
      <c r="AR179" t="s">
        <v>3609</v>
      </c>
      <c r="AS179" t="s">
        <v>3610</v>
      </c>
      <c r="AT179" t="s">
        <v>1026</v>
      </c>
      <c r="AU179">
        <v>2009</v>
      </c>
      <c r="AV179">
        <v>3</v>
      </c>
      <c r="AW179">
        <v>4</v>
      </c>
      <c r="AX179" t="s">
        <v>74</v>
      </c>
      <c r="AY179" t="s">
        <v>74</v>
      </c>
      <c r="AZ179" t="s">
        <v>74</v>
      </c>
      <c r="BA179" t="s">
        <v>74</v>
      </c>
      <c r="BB179">
        <v>409</v>
      </c>
      <c r="BC179">
        <v>414</v>
      </c>
      <c r="BD179" t="s">
        <v>74</v>
      </c>
      <c r="BE179" t="s">
        <v>74</v>
      </c>
      <c r="BF179" t="s">
        <v>74</v>
      </c>
      <c r="BG179" t="s">
        <v>74</v>
      </c>
      <c r="BH179" t="s">
        <v>74</v>
      </c>
      <c r="BI179">
        <v>6</v>
      </c>
      <c r="BJ179" t="s">
        <v>3611</v>
      </c>
      <c r="BK179" t="s">
        <v>1028</v>
      </c>
      <c r="BL179" t="s">
        <v>3612</v>
      </c>
      <c r="BM179" t="s">
        <v>3613</v>
      </c>
      <c r="BN179" t="s">
        <v>74</v>
      </c>
      <c r="BO179" t="s">
        <v>74</v>
      </c>
      <c r="BP179" t="s">
        <v>74</v>
      </c>
      <c r="BQ179" t="s">
        <v>74</v>
      </c>
      <c r="BR179" t="s">
        <v>101</v>
      </c>
      <c r="BS179" t="s">
        <v>3614</v>
      </c>
      <c r="BT179" t="str">
        <f>HYPERLINK("https%3A%2F%2Fwww.webofscience.com%2Fwos%2Fwoscc%2Ffull-record%2FWOS:000437615400007","View Full Record in Web of Science")</f>
        <v>View Full Record in Web of Science</v>
      </c>
    </row>
    <row r="180" spans="1:72" x14ac:dyDescent="0.15">
      <c r="A180" t="s">
        <v>72</v>
      </c>
      <c r="B180" t="s">
        <v>3615</v>
      </c>
      <c r="C180" t="s">
        <v>74</v>
      </c>
      <c r="D180" t="s">
        <v>74</v>
      </c>
      <c r="E180" t="s">
        <v>74</v>
      </c>
      <c r="F180" t="s">
        <v>3616</v>
      </c>
      <c r="G180" t="s">
        <v>74</v>
      </c>
      <c r="H180" t="s">
        <v>74</v>
      </c>
      <c r="I180" t="s">
        <v>3617</v>
      </c>
      <c r="J180" t="s">
        <v>3618</v>
      </c>
      <c r="K180" t="s">
        <v>74</v>
      </c>
      <c r="L180" t="s">
        <v>74</v>
      </c>
      <c r="M180" t="s">
        <v>78</v>
      </c>
      <c r="N180" t="s">
        <v>523</v>
      </c>
      <c r="O180" t="s">
        <v>74</v>
      </c>
      <c r="P180" t="s">
        <v>74</v>
      </c>
      <c r="Q180" t="s">
        <v>74</v>
      </c>
      <c r="R180" t="s">
        <v>74</v>
      </c>
      <c r="S180" t="s">
        <v>74</v>
      </c>
      <c r="T180" t="s">
        <v>74</v>
      </c>
      <c r="U180" t="s">
        <v>74</v>
      </c>
      <c r="V180" t="s">
        <v>74</v>
      </c>
      <c r="W180" t="s">
        <v>3619</v>
      </c>
      <c r="X180" t="s">
        <v>3620</v>
      </c>
      <c r="Y180" t="s">
        <v>3621</v>
      </c>
      <c r="Z180" t="s">
        <v>3622</v>
      </c>
      <c r="AA180" t="s">
        <v>74</v>
      </c>
      <c r="AB180" t="s">
        <v>74</v>
      </c>
      <c r="AC180" t="s">
        <v>74</v>
      </c>
      <c r="AD180" t="s">
        <v>74</v>
      </c>
      <c r="AE180" t="s">
        <v>74</v>
      </c>
      <c r="AF180" t="s">
        <v>74</v>
      </c>
      <c r="AG180">
        <v>1</v>
      </c>
      <c r="AH180">
        <v>0</v>
      </c>
      <c r="AI180">
        <v>1</v>
      </c>
      <c r="AJ180">
        <v>1</v>
      </c>
      <c r="AK180">
        <v>3</v>
      </c>
      <c r="AL180" t="s">
        <v>3623</v>
      </c>
      <c r="AM180" t="s">
        <v>2517</v>
      </c>
      <c r="AN180" t="s">
        <v>3624</v>
      </c>
      <c r="AO180" t="s">
        <v>3625</v>
      </c>
      <c r="AP180" t="s">
        <v>74</v>
      </c>
      <c r="AQ180" t="s">
        <v>74</v>
      </c>
      <c r="AR180" t="s">
        <v>3626</v>
      </c>
      <c r="AS180" t="s">
        <v>3627</v>
      </c>
      <c r="AT180" t="s">
        <v>1746</v>
      </c>
      <c r="AU180">
        <v>2009</v>
      </c>
      <c r="AV180">
        <v>20</v>
      </c>
      <c r="AW180">
        <v>4</v>
      </c>
      <c r="AX180" t="s">
        <v>74</v>
      </c>
      <c r="AY180" t="s">
        <v>74</v>
      </c>
      <c r="AZ180" t="s">
        <v>74</v>
      </c>
      <c r="BA180" t="s">
        <v>74</v>
      </c>
      <c r="BB180">
        <v>383</v>
      </c>
      <c r="BC180">
        <v>387</v>
      </c>
      <c r="BD180" t="s">
        <v>74</v>
      </c>
      <c r="BE180" t="s">
        <v>3628</v>
      </c>
      <c r="BF180" t="str">
        <f>HYPERLINK("http://dx.doi.org/10.1580/1080-6032-020.004.0383","http://dx.doi.org/10.1580/1080-6032-020.004.0383")</f>
        <v>http://dx.doi.org/10.1580/1080-6032-020.004.0383</v>
      </c>
      <c r="BG180" t="s">
        <v>74</v>
      </c>
      <c r="BH180" t="s">
        <v>74</v>
      </c>
      <c r="BI180">
        <v>5</v>
      </c>
      <c r="BJ180" t="s">
        <v>3629</v>
      </c>
      <c r="BK180" t="s">
        <v>98</v>
      </c>
      <c r="BL180" t="s">
        <v>3629</v>
      </c>
      <c r="BM180" t="s">
        <v>3630</v>
      </c>
      <c r="BN180">
        <v>20030450</v>
      </c>
      <c r="BO180" t="s">
        <v>263</v>
      </c>
      <c r="BP180" t="s">
        <v>74</v>
      </c>
      <c r="BQ180" t="s">
        <v>74</v>
      </c>
      <c r="BR180" t="s">
        <v>101</v>
      </c>
      <c r="BS180" t="s">
        <v>3631</v>
      </c>
      <c r="BT180" t="str">
        <f>HYPERLINK("https%3A%2F%2Fwww.webofscience.com%2Fwos%2Fwoscc%2Ffull-record%2FWOS:000273503700015","View Full Record in Web of Science")</f>
        <v>View Full Record in Web of Science</v>
      </c>
    </row>
    <row r="181" spans="1:72" x14ac:dyDescent="0.15">
      <c r="A181" t="s">
        <v>72</v>
      </c>
      <c r="B181" t="s">
        <v>3632</v>
      </c>
      <c r="C181" t="s">
        <v>74</v>
      </c>
      <c r="D181" t="s">
        <v>74</v>
      </c>
      <c r="E181" t="s">
        <v>74</v>
      </c>
      <c r="F181" t="s">
        <v>3633</v>
      </c>
      <c r="G181" t="s">
        <v>74</v>
      </c>
      <c r="H181" t="s">
        <v>74</v>
      </c>
      <c r="I181" t="s">
        <v>3634</v>
      </c>
      <c r="J181" t="s">
        <v>3635</v>
      </c>
      <c r="K181" t="s">
        <v>74</v>
      </c>
      <c r="L181" t="s">
        <v>74</v>
      </c>
      <c r="M181" t="s">
        <v>78</v>
      </c>
      <c r="N181" t="s">
        <v>79</v>
      </c>
      <c r="O181" t="s">
        <v>74</v>
      </c>
      <c r="P181" t="s">
        <v>74</v>
      </c>
      <c r="Q181" t="s">
        <v>74</v>
      </c>
      <c r="R181" t="s">
        <v>74</v>
      </c>
      <c r="S181" t="s">
        <v>74</v>
      </c>
      <c r="T181" t="s">
        <v>74</v>
      </c>
      <c r="U181" t="s">
        <v>3636</v>
      </c>
      <c r="V181" t="s">
        <v>3637</v>
      </c>
      <c r="W181" t="s">
        <v>3638</v>
      </c>
      <c r="X181" t="s">
        <v>3639</v>
      </c>
      <c r="Y181" t="s">
        <v>3640</v>
      </c>
      <c r="Z181" t="s">
        <v>3641</v>
      </c>
      <c r="AA181" t="s">
        <v>3642</v>
      </c>
      <c r="AB181" t="s">
        <v>3643</v>
      </c>
      <c r="AC181" t="s">
        <v>3644</v>
      </c>
      <c r="AD181" t="s">
        <v>3645</v>
      </c>
      <c r="AE181" t="s">
        <v>3646</v>
      </c>
      <c r="AF181" t="s">
        <v>74</v>
      </c>
      <c r="AG181">
        <v>55</v>
      </c>
      <c r="AH181">
        <v>17</v>
      </c>
      <c r="AI181">
        <v>20</v>
      </c>
      <c r="AJ181">
        <v>1</v>
      </c>
      <c r="AK181">
        <v>6</v>
      </c>
      <c r="AL181" t="s">
        <v>3647</v>
      </c>
      <c r="AM181" t="s">
        <v>684</v>
      </c>
      <c r="AN181" t="s">
        <v>3648</v>
      </c>
      <c r="AO181" t="s">
        <v>3649</v>
      </c>
      <c r="AP181" t="s">
        <v>3650</v>
      </c>
      <c r="AQ181" t="s">
        <v>74</v>
      </c>
      <c r="AR181" t="s">
        <v>3651</v>
      </c>
      <c r="AS181" t="s">
        <v>3652</v>
      </c>
      <c r="AT181" t="s">
        <v>3653</v>
      </c>
      <c r="AU181">
        <v>2009</v>
      </c>
      <c r="AV181" t="s">
        <v>74</v>
      </c>
      <c r="AW181">
        <v>3665</v>
      </c>
      <c r="AX181" t="s">
        <v>74</v>
      </c>
      <c r="AY181" t="s">
        <v>74</v>
      </c>
      <c r="AZ181" t="s">
        <v>74</v>
      </c>
      <c r="BA181" t="s">
        <v>74</v>
      </c>
      <c r="BB181">
        <v>1</v>
      </c>
      <c r="BC181">
        <v>21</v>
      </c>
      <c r="BD181" t="s">
        <v>74</v>
      </c>
      <c r="BE181" t="s">
        <v>3654</v>
      </c>
      <c r="BF181" t="str">
        <f>HYPERLINK("http://dx.doi.org/10.1206/676.1","http://dx.doi.org/10.1206/676.1")</f>
        <v>http://dx.doi.org/10.1206/676.1</v>
      </c>
      <c r="BG181" t="s">
        <v>74</v>
      </c>
      <c r="BH181" t="s">
        <v>74</v>
      </c>
      <c r="BI181">
        <v>21</v>
      </c>
      <c r="BJ181" t="s">
        <v>3655</v>
      </c>
      <c r="BK181" t="s">
        <v>98</v>
      </c>
      <c r="BL181" t="s">
        <v>3656</v>
      </c>
      <c r="BM181" t="s">
        <v>3657</v>
      </c>
      <c r="BN181" t="s">
        <v>74</v>
      </c>
      <c r="BO181" t="s">
        <v>1119</v>
      </c>
      <c r="BP181" t="s">
        <v>74</v>
      </c>
      <c r="BQ181" t="s">
        <v>74</v>
      </c>
      <c r="BR181" t="s">
        <v>101</v>
      </c>
      <c r="BS181" t="s">
        <v>3658</v>
      </c>
      <c r="BT181" t="str">
        <f>HYPERLINK("https%3A%2F%2Fwww.webofscience.com%2Fwos%2Fwoscc%2Ffull-record%2FWOS:000272387000001","View Full Record in Web of Science")</f>
        <v>View Full Record in Web of Science</v>
      </c>
    </row>
    <row r="182" spans="1:72" x14ac:dyDescent="0.15">
      <c r="A182" t="s">
        <v>72</v>
      </c>
      <c r="B182" t="s">
        <v>3659</v>
      </c>
      <c r="C182" t="s">
        <v>74</v>
      </c>
      <c r="D182" t="s">
        <v>74</v>
      </c>
      <c r="E182" t="s">
        <v>74</v>
      </c>
      <c r="F182" t="s">
        <v>3660</v>
      </c>
      <c r="G182" t="s">
        <v>74</v>
      </c>
      <c r="H182" t="s">
        <v>74</v>
      </c>
      <c r="I182" t="s">
        <v>3661</v>
      </c>
      <c r="J182" t="s">
        <v>3662</v>
      </c>
      <c r="K182" t="s">
        <v>74</v>
      </c>
      <c r="L182" t="s">
        <v>74</v>
      </c>
      <c r="M182" t="s">
        <v>78</v>
      </c>
      <c r="N182" t="s">
        <v>79</v>
      </c>
      <c r="O182" t="s">
        <v>74</v>
      </c>
      <c r="P182" t="s">
        <v>74</v>
      </c>
      <c r="Q182" t="s">
        <v>74</v>
      </c>
      <c r="R182" t="s">
        <v>74</v>
      </c>
      <c r="S182" t="s">
        <v>74</v>
      </c>
      <c r="T182" t="s">
        <v>3663</v>
      </c>
      <c r="U182" t="s">
        <v>3664</v>
      </c>
      <c r="V182" t="s">
        <v>3665</v>
      </c>
      <c r="W182" t="s">
        <v>3666</v>
      </c>
      <c r="X182" t="s">
        <v>3667</v>
      </c>
      <c r="Y182" t="s">
        <v>3668</v>
      </c>
      <c r="Z182" t="s">
        <v>3669</v>
      </c>
      <c r="AA182" t="s">
        <v>706</v>
      </c>
      <c r="AB182" t="s">
        <v>3670</v>
      </c>
      <c r="AC182" t="s">
        <v>3671</v>
      </c>
      <c r="AD182" t="s">
        <v>3671</v>
      </c>
      <c r="AE182" t="s">
        <v>3672</v>
      </c>
      <c r="AF182" t="s">
        <v>74</v>
      </c>
      <c r="AG182">
        <v>43</v>
      </c>
      <c r="AH182">
        <v>13</v>
      </c>
      <c r="AI182">
        <v>14</v>
      </c>
      <c r="AJ182">
        <v>0</v>
      </c>
      <c r="AK182">
        <v>7</v>
      </c>
      <c r="AL182" t="s">
        <v>1894</v>
      </c>
      <c r="AM182" t="s">
        <v>1895</v>
      </c>
      <c r="AN182" t="s">
        <v>1896</v>
      </c>
      <c r="AO182" t="s">
        <v>3673</v>
      </c>
      <c r="AP182" t="s">
        <v>3674</v>
      </c>
      <c r="AQ182" t="s">
        <v>74</v>
      </c>
      <c r="AR182" t="s">
        <v>3675</v>
      </c>
      <c r="AS182" t="s">
        <v>3676</v>
      </c>
      <c r="AT182" t="s">
        <v>3653</v>
      </c>
      <c r="AU182">
        <v>2009</v>
      </c>
      <c r="AV182">
        <v>29</v>
      </c>
      <c r="AW182">
        <v>20</v>
      </c>
      <c r="AX182" t="s">
        <v>74</v>
      </c>
      <c r="AY182" t="s">
        <v>74</v>
      </c>
      <c r="AZ182" t="s">
        <v>74</v>
      </c>
      <c r="BA182" t="s">
        <v>74</v>
      </c>
      <c r="BB182">
        <v>2333</v>
      </c>
      <c r="BC182">
        <v>2344</v>
      </c>
      <c r="BD182" t="s">
        <v>74</v>
      </c>
      <c r="BE182" t="s">
        <v>3677</v>
      </c>
      <c r="BF182" t="str">
        <f>HYPERLINK("http://dx.doi.org/10.1016/j.csr.2009.10.003","http://dx.doi.org/10.1016/j.csr.2009.10.003")</f>
        <v>http://dx.doi.org/10.1016/j.csr.2009.10.003</v>
      </c>
      <c r="BG182" t="s">
        <v>74</v>
      </c>
      <c r="BH182" t="s">
        <v>74</v>
      </c>
      <c r="BI182">
        <v>12</v>
      </c>
      <c r="BJ182" t="s">
        <v>806</v>
      </c>
      <c r="BK182" t="s">
        <v>98</v>
      </c>
      <c r="BL182" t="s">
        <v>806</v>
      </c>
      <c r="BM182" t="s">
        <v>3678</v>
      </c>
      <c r="BN182" t="s">
        <v>74</v>
      </c>
      <c r="BO182" t="s">
        <v>74</v>
      </c>
      <c r="BP182" t="s">
        <v>74</v>
      </c>
      <c r="BQ182" t="s">
        <v>74</v>
      </c>
      <c r="BR182" t="s">
        <v>101</v>
      </c>
      <c r="BS182" t="s">
        <v>3679</v>
      </c>
      <c r="BT182" t="str">
        <f>HYPERLINK("https%3A%2F%2Fwww.webofscience.com%2Fwos%2Fwoscc%2Ffull-record%2FWOS:000272984700003","View Full Record in Web of Science")</f>
        <v>View Full Record in Web of Science</v>
      </c>
    </row>
    <row r="183" spans="1:72" x14ac:dyDescent="0.15">
      <c r="A183" t="s">
        <v>72</v>
      </c>
      <c r="B183" t="s">
        <v>3680</v>
      </c>
      <c r="C183" t="s">
        <v>74</v>
      </c>
      <c r="D183" t="s">
        <v>74</v>
      </c>
      <c r="E183" t="s">
        <v>74</v>
      </c>
      <c r="F183" t="s">
        <v>3681</v>
      </c>
      <c r="G183" t="s">
        <v>74</v>
      </c>
      <c r="H183" t="s">
        <v>74</v>
      </c>
      <c r="I183" t="s">
        <v>3682</v>
      </c>
      <c r="J183" t="s">
        <v>2245</v>
      </c>
      <c r="K183" t="s">
        <v>74</v>
      </c>
      <c r="L183" t="s">
        <v>74</v>
      </c>
      <c r="M183" t="s">
        <v>78</v>
      </c>
      <c r="N183" t="s">
        <v>79</v>
      </c>
      <c r="O183" t="s">
        <v>74</v>
      </c>
      <c r="P183" t="s">
        <v>74</v>
      </c>
      <c r="Q183" t="s">
        <v>74</v>
      </c>
      <c r="R183" t="s">
        <v>74</v>
      </c>
      <c r="S183" t="s">
        <v>74</v>
      </c>
      <c r="T183" t="s">
        <v>3683</v>
      </c>
      <c r="U183" t="s">
        <v>3684</v>
      </c>
      <c r="V183" t="s">
        <v>3685</v>
      </c>
      <c r="W183" t="s">
        <v>3686</v>
      </c>
      <c r="X183" t="s">
        <v>3687</v>
      </c>
      <c r="Y183" t="s">
        <v>3688</v>
      </c>
      <c r="Z183" t="s">
        <v>3689</v>
      </c>
      <c r="AA183" t="s">
        <v>3690</v>
      </c>
      <c r="AB183" t="s">
        <v>74</v>
      </c>
      <c r="AC183" t="s">
        <v>3691</v>
      </c>
      <c r="AD183" t="s">
        <v>3692</v>
      </c>
      <c r="AE183" t="s">
        <v>3693</v>
      </c>
      <c r="AF183" t="s">
        <v>74</v>
      </c>
      <c r="AG183">
        <v>48</v>
      </c>
      <c r="AH183">
        <v>142</v>
      </c>
      <c r="AI183">
        <v>156</v>
      </c>
      <c r="AJ183">
        <v>0</v>
      </c>
      <c r="AK183">
        <v>32</v>
      </c>
      <c r="AL183" t="s">
        <v>1184</v>
      </c>
      <c r="AM183" t="s">
        <v>1185</v>
      </c>
      <c r="AN183" t="s">
        <v>1186</v>
      </c>
      <c r="AO183" t="s">
        <v>2252</v>
      </c>
      <c r="AP183" t="s">
        <v>2253</v>
      </c>
      <c r="AQ183" t="s">
        <v>74</v>
      </c>
      <c r="AR183" t="s">
        <v>2254</v>
      </c>
      <c r="AS183" t="s">
        <v>2255</v>
      </c>
      <c r="AT183" t="s">
        <v>3653</v>
      </c>
      <c r="AU183">
        <v>2009</v>
      </c>
      <c r="AV183">
        <v>29</v>
      </c>
      <c r="AW183">
        <v>14</v>
      </c>
      <c r="AX183" t="s">
        <v>74</v>
      </c>
      <c r="AY183" t="s">
        <v>74</v>
      </c>
      <c r="AZ183" t="s">
        <v>74</v>
      </c>
      <c r="BA183" t="s">
        <v>74</v>
      </c>
      <c r="BB183">
        <v>2106</v>
      </c>
      <c r="BC183">
        <v>2120</v>
      </c>
      <c r="BD183" t="s">
        <v>74</v>
      </c>
      <c r="BE183" t="s">
        <v>3694</v>
      </c>
      <c r="BF183" t="str">
        <f>HYPERLINK("http://dx.doi.org/10.1002/joc.1761","http://dx.doi.org/10.1002/joc.1761")</f>
        <v>http://dx.doi.org/10.1002/joc.1761</v>
      </c>
      <c r="BG183" t="s">
        <v>74</v>
      </c>
      <c r="BH183" t="s">
        <v>74</v>
      </c>
      <c r="BI183">
        <v>15</v>
      </c>
      <c r="BJ183" t="s">
        <v>413</v>
      </c>
      <c r="BK183" t="s">
        <v>98</v>
      </c>
      <c r="BL183" t="s">
        <v>413</v>
      </c>
      <c r="BM183" t="s">
        <v>3695</v>
      </c>
      <c r="BN183" t="s">
        <v>74</v>
      </c>
      <c r="BO183" t="s">
        <v>74</v>
      </c>
      <c r="BP183" t="s">
        <v>74</v>
      </c>
      <c r="BQ183" t="s">
        <v>74</v>
      </c>
      <c r="BR183" t="s">
        <v>101</v>
      </c>
      <c r="BS183" t="s">
        <v>3696</v>
      </c>
      <c r="BT183" t="str">
        <f>HYPERLINK("https%3A%2F%2Fwww.webofscience.com%2Fwos%2Fwoscc%2Ffull-record%2FWOS:000271782000007","View Full Record in Web of Science")</f>
        <v>View Full Record in Web of Science</v>
      </c>
    </row>
    <row r="184" spans="1:72" x14ac:dyDescent="0.15">
      <c r="A184" t="s">
        <v>72</v>
      </c>
      <c r="B184" t="s">
        <v>3697</v>
      </c>
      <c r="C184" t="s">
        <v>74</v>
      </c>
      <c r="D184" t="s">
        <v>74</v>
      </c>
      <c r="E184" t="s">
        <v>74</v>
      </c>
      <c r="F184" t="s">
        <v>3698</v>
      </c>
      <c r="G184" t="s">
        <v>74</v>
      </c>
      <c r="H184" t="s">
        <v>74</v>
      </c>
      <c r="I184" t="s">
        <v>3699</v>
      </c>
      <c r="J184" t="s">
        <v>632</v>
      </c>
      <c r="K184" t="s">
        <v>74</v>
      </c>
      <c r="L184" t="s">
        <v>74</v>
      </c>
      <c r="M184" t="s">
        <v>78</v>
      </c>
      <c r="N184" t="s">
        <v>79</v>
      </c>
      <c r="O184" t="s">
        <v>74</v>
      </c>
      <c r="P184" t="s">
        <v>74</v>
      </c>
      <c r="Q184" t="s">
        <v>74</v>
      </c>
      <c r="R184" t="s">
        <v>74</v>
      </c>
      <c r="S184" t="s">
        <v>74</v>
      </c>
      <c r="T184" t="s">
        <v>3700</v>
      </c>
      <c r="U184" t="s">
        <v>3701</v>
      </c>
      <c r="V184" t="s">
        <v>3702</v>
      </c>
      <c r="W184" t="s">
        <v>3703</v>
      </c>
      <c r="X184" t="s">
        <v>3704</v>
      </c>
      <c r="Y184" t="s">
        <v>3705</v>
      </c>
      <c r="Z184" t="s">
        <v>3706</v>
      </c>
      <c r="AA184" t="s">
        <v>3707</v>
      </c>
      <c r="AB184" t="s">
        <v>3708</v>
      </c>
      <c r="AC184" t="s">
        <v>3709</v>
      </c>
      <c r="AD184" t="s">
        <v>3710</v>
      </c>
      <c r="AE184" t="s">
        <v>3711</v>
      </c>
      <c r="AF184" t="s">
        <v>74</v>
      </c>
      <c r="AG184">
        <v>55</v>
      </c>
      <c r="AH184">
        <v>19</v>
      </c>
      <c r="AI184">
        <v>23</v>
      </c>
      <c r="AJ184">
        <v>0</v>
      </c>
      <c r="AK184">
        <v>30</v>
      </c>
      <c r="AL184" t="s">
        <v>280</v>
      </c>
      <c r="AM184" t="s">
        <v>281</v>
      </c>
      <c r="AN184" t="s">
        <v>282</v>
      </c>
      <c r="AO184" t="s">
        <v>642</v>
      </c>
      <c r="AP184" t="s">
        <v>643</v>
      </c>
      <c r="AQ184" t="s">
        <v>74</v>
      </c>
      <c r="AR184" t="s">
        <v>644</v>
      </c>
      <c r="AS184" t="s">
        <v>645</v>
      </c>
      <c r="AT184" t="s">
        <v>3653</v>
      </c>
      <c r="AU184">
        <v>2009</v>
      </c>
      <c r="AV184">
        <v>381</v>
      </c>
      <c r="AW184">
        <v>1</v>
      </c>
      <c r="AX184" t="s">
        <v>74</v>
      </c>
      <c r="AY184" t="s">
        <v>74</v>
      </c>
      <c r="AZ184" t="s">
        <v>74</v>
      </c>
      <c r="BA184" t="s">
        <v>74</v>
      </c>
      <c r="BB184">
        <v>47</v>
      </c>
      <c r="BC184">
        <v>56</v>
      </c>
      <c r="BD184" t="s">
        <v>74</v>
      </c>
      <c r="BE184" t="s">
        <v>3712</v>
      </c>
      <c r="BF184" t="str">
        <f>HYPERLINK("http://dx.doi.org/10.1016/j.jembe.2009.09.011","http://dx.doi.org/10.1016/j.jembe.2009.09.011")</f>
        <v>http://dx.doi.org/10.1016/j.jembe.2009.09.011</v>
      </c>
      <c r="BG184" t="s">
        <v>74</v>
      </c>
      <c r="BH184" t="s">
        <v>74</v>
      </c>
      <c r="BI184">
        <v>10</v>
      </c>
      <c r="BJ184" t="s">
        <v>647</v>
      </c>
      <c r="BK184" t="s">
        <v>98</v>
      </c>
      <c r="BL184" t="s">
        <v>648</v>
      </c>
      <c r="BM184" t="s">
        <v>3713</v>
      </c>
      <c r="BN184" t="s">
        <v>74</v>
      </c>
      <c r="BO184" t="s">
        <v>74</v>
      </c>
      <c r="BP184" t="s">
        <v>74</v>
      </c>
      <c r="BQ184" t="s">
        <v>74</v>
      </c>
      <c r="BR184" t="s">
        <v>101</v>
      </c>
      <c r="BS184" t="s">
        <v>3714</v>
      </c>
      <c r="BT184" t="str">
        <f>HYPERLINK("https%3A%2F%2Fwww.webofscience.com%2Fwos%2Fwoscc%2Ffull-record%2FWOS:000271778800007","View Full Record in Web of Science")</f>
        <v>View Full Record in Web of Science</v>
      </c>
    </row>
    <row r="185" spans="1:72" x14ac:dyDescent="0.15">
      <c r="A185" t="s">
        <v>72</v>
      </c>
      <c r="B185" t="s">
        <v>3715</v>
      </c>
      <c r="C185" t="s">
        <v>74</v>
      </c>
      <c r="D185" t="s">
        <v>74</v>
      </c>
      <c r="E185" t="s">
        <v>74</v>
      </c>
      <c r="F185" t="s">
        <v>3716</v>
      </c>
      <c r="G185" t="s">
        <v>74</v>
      </c>
      <c r="H185" t="s">
        <v>74</v>
      </c>
      <c r="I185" t="s">
        <v>3717</v>
      </c>
      <c r="J185" t="s">
        <v>632</v>
      </c>
      <c r="K185" t="s">
        <v>74</v>
      </c>
      <c r="L185" t="s">
        <v>74</v>
      </c>
      <c r="M185" t="s">
        <v>78</v>
      </c>
      <c r="N185" t="s">
        <v>79</v>
      </c>
      <c r="O185" t="s">
        <v>74</v>
      </c>
      <c r="P185" t="s">
        <v>74</v>
      </c>
      <c r="Q185" t="s">
        <v>74</v>
      </c>
      <c r="R185" t="s">
        <v>74</v>
      </c>
      <c r="S185" t="s">
        <v>74</v>
      </c>
      <c r="T185" t="s">
        <v>3718</v>
      </c>
      <c r="U185" t="s">
        <v>3719</v>
      </c>
      <c r="V185" t="s">
        <v>3720</v>
      </c>
      <c r="W185" t="s">
        <v>3721</v>
      </c>
      <c r="X185" t="s">
        <v>3722</v>
      </c>
      <c r="Y185" t="s">
        <v>3723</v>
      </c>
      <c r="Z185" t="s">
        <v>3724</v>
      </c>
      <c r="AA185" t="s">
        <v>3725</v>
      </c>
      <c r="AB185" t="s">
        <v>3726</v>
      </c>
      <c r="AC185" t="s">
        <v>3727</v>
      </c>
      <c r="AD185" t="s">
        <v>3728</v>
      </c>
      <c r="AE185" t="s">
        <v>3729</v>
      </c>
      <c r="AF185" t="s">
        <v>74</v>
      </c>
      <c r="AG185">
        <v>65</v>
      </c>
      <c r="AH185">
        <v>22</v>
      </c>
      <c r="AI185">
        <v>23</v>
      </c>
      <c r="AJ185">
        <v>1</v>
      </c>
      <c r="AK185">
        <v>44</v>
      </c>
      <c r="AL185" t="s">
        <v>305</v>
      </c>
      <c r="AM185" t="s">
        <v>281</v>
      </c>
      <c r="AN185" t="s">
        <v>306</v>
      </c>
      <c r="AO185" t="s">
        <v>642</v>
      </c>
      <c r="AP185" t="s">
        <v>643</v>
      </c>
      <c r="AQ185" t="s">
        <v>74</v>
      </c>
      <c r="AR185" t="s">
        <v>644</v>
      </c>
      <c r="AS185" t="s">
        <v>645</v>
      </c>
      <c r="AT185" t="s">
        <v>3653</v>
      </c>
      <c r="AU185">
        <v>2009</v>
      </c>
      <c r="AV185">
        <v>381</v>
      </c>
      <c r="AW185">
        <v>1</v>
      </c>
      <c r="AX185" t="s">
        <v>74</v>
      </c>
      <c r="AY185" t="s">
        <v>74</v>
      </c>
      <c r="AZ185" t="s">
        <v>74</v>
      </c>
      <c r="BA185" t="s">
        <v>74</v>
      </c>
      <c r="BB185">
        <v>57</v>
      </c>
      <c r="BC185">
        <v>64</v>
      </c>
      <c r="BD185" t="s">
        <v>74</v>
      </c>
      <c r="BE185" t="s">
        <v>3730</v>
      </c>
      <c r="BF185" t="str">
        <f>HYPERLINK("http://dx.doi.org/10.1016/j.jembe.2009.09.010","http://dx.doi.org/10.1016/j.jembe.2009.09.010")</f>
        <v>http://dx.doi.org/10.1016/j.jembe.2009.09.010</v>
      </c>
      <c r="BG185" t="s">
        <v>74</v>
      </c>
      <c r="BH185" t="s">
        <v>74</v>
      </c>
      <c r="BI185">
        <v>8</v>
      </c>
      <c r="BJ185" t="s">
        <v>647</v>
      </c>
      <c r="BK185" t="s">
        <v>98</v>
      </c>
      <c r="BL185" t="s">
        <v>648</v>
      </c>
      <c r="BM185" t="s">
        <v>3713</v>
      </c>
      <c r="BN185" t="s">
        <v>74</v>
      </c>
      <c r="BO185" t="s">
        <v>1119</v>
      </c>
      <c r="BP185" t="s">
        <v>74</v>
      </c>
      <c r="BQ185" t="s">
        <v>74</v>
      </c>
      <c r="BR185" t="s">
        <v>101</v>
      </c>
      <c r="BS185" t="s">
        <v>3731</v>
      </c>
      <c r="BT185" t="str">
        <f>HYPERLINK("https%3A%2F%2Fwww.webofscience.com%2Fwos%2Fwoscc%2Ffull-record%2FWOS:000271778800008","View Full Record in Web of Science")</f>
        <v>View Full Record in Web of Science</v>
      </c>
    </row>
    <row r="186" spans="1:72" x14ac:dyDescent="0.15">
      <c r="A186" t="s">
        <v>72</v>
      </c>
      <c r="B186" t="s">
        <v>3732</v>
      </c>
      <c r="C186" t="s">
        <v>74</v>
      </c>
      <c r="D186" t="s">
        <v>74</v>
      </c>
      <c r="E186" t="s">
        <v>74</v>
      </c>
      <c r="F186" t="s">
        <v>3733</v>
      </c>
      <c r="G186" t="s">
        <v>74</v>
      </c>
      <c r="H186" t="s">
        <v>74</v>
      </c>
      <c r="I186" t="s">
        <v>3734</v>
      </c>
      <c r="J186" t="s">
        <v>3735</v>
      </c>
      <c r="K186" t="s">
        <v>74</v>
      </c>
      <c r="L186" t="s">
        <v>74</v>
      </c>
      <c r="M186" t="s">
        <v>78</v>
      </c>
      <c r="N186" t="s">
        <v>79</v>
      </c>
      <c r="O186" t="s">
        <v>74</v>
      </c>
      <c r="P186" t="s">
        <v>74</v>
      </c>
      <c r="Q186" t="s">
        <v>74</v>
      </c>
      <c r="R186" t="s">
        <v>74</v>
      </c>
      <c r="S186" t="s">
        <v>74</v>
      </c>
      <c r="T186" t="s">
        <v>74</v>
      </c>
      <c r="U186" t="s">
        <v>3736</v>
      </c>
      <c r="V186" t="s">
        <v>3737</v>
      </c>
      <c r="W186" t="s">
        <v>3738</v>
      </c>
      <c r="X186" t="s">
        <v>3739</v>
      </c>
      <c r="Y186" t="s">
        <v>3740</v>
      </c>
      <c r="Z186" t="s">
        <v>3741</v>
      </c>
      <c r="AA186" t="s">
        <v>3742</v>
      </c>
      <c r="AB186" t="s">
        <v>3743</v>
      </c>
      <c r="AC186" t="s">
        <v>3744</v>
      </c>
      <c r="AD186" t="s">
        <v>3745</v>
      </c>
      <c r="AE186" t="s">
        <v>3746</v>
      </c>
      <c r="AF186" t="s">
        <v>74</v>
      </c>
      <c r="AG186">
        <v>49</v>
      </c>
      <c r="AH186">
        <v>15</v>
      </c>
      <c r="AI186">
        <v>15</v>
      </c>
      <c r="AJ186">
        <v>1</v>
      </c>
      <c r="AK186">
        <v>9</v>
      </c>
      <c r="AL186" t="s">
        <v>3747</v>
      </c>
      <c r="AM186" t="s">
        <v>3748</v>
      </c>
      <c r="AN186" t="s">
        <v>3749</v>
      </c>
      <c r="AO186" t="s">
        <v>3750</v>
      </c>
      <c r="AP186" t="s">
        <v>74</v>
      </c>
      <c r="AQ186" t="s">
        <v>74</v>
      </c>
      <c r="AR186" t="s">
        <v>3751</v>
      </c>
      <c r="AS186" t="s">
        <v>3752</v>
      </c>
      <c r="AT186" t="s">
        <v>3753</v>
      </c>
      <c r="AU186">
        <v>2009</v>
      </c>
      <c r="AV186">
        <v>103</v>
      </c>
      <c r="AW186">
        <v>22</v>
      </c>
      <c r="AX186" t="s">
        <v>74</v>
      </c>
      <c r="AY186" t="s">
        <v>74</v>
      </c>
      <c r="AZ186" t="s">
        <v>74</v>
      </c>
      <c r="BA186" t="s">
        <v>74</v>
      </c>
      <c r="BB186" t="s">
        <v>74</v>
      </c>
      <c r="BC186" t="s">
        <v>74</v>
      </c>
      <c r="BD186">
        <v>228501</v>
      </c>
      <c r="BE186" t="s">
        <v>3754</v>
      </c>
      <c r="BF186" t="str">
        <f>HYPERLINK("http://dx.doi.org/10.1103/PhysRevLett.103.228501","http://dx.doi.org/10.1103/PhysRevLett.103.228501")</f>
        <v>http://dx.doi.org/10.1103/PhysRevLett.103.228501</v>
      </c>
      <c r="BG186" t="s">
        <v>74</v>
      </c>
      <c r="BH186" t="s">
        <v>74</v>
      </c>
      <c r="BI186">
        <v>4</v>
      </c>
      <c r="BJ186" t="s">
        <v>3755</v>
      </c>
      <c r="BK186" t="s">
        <v>98</v>
      </c>
      <c r="BL186" t="s">
        <v>154</v>
      </c>
      <c r="BM186" t="s">
        <v>3756</v>
      </c>
      <c r="BN186">
        <v>20366127</v>
      </c>
      <c r="BO186" t="s">
        <v>3064</v>
      </c>
      <c r="BP186" t="s">
        <v>74</v>
      </c>
      <c r="BQ186" t="s">
        <v>74</v>
      </c>
      <c r="BR186" t="s">
        <v>101</v>
      </c>
      <c r="BS186" t="s">
        <v>3757</v>
      </c>
      <c r="BT186" t="str">
        <f>HYPERLINK("https%3A%2F%2Fwww.webofscience.com%2Fwos%2Fwoscc%2Ffull-record%2FWOS:000272182000052","View Full Record in Web of Science")</f>
        <v>View Full Record in Web of Science</v>
      </c>
    </row>
    <row r="187" spans="1:72" x14ac:dyDescent="0.15">
      <c r="A187" t="s">
        <v>72</v>
      </c>
      <c r="B187" t="s">
        <v>3758</v>
      </c>
      <c r="C187" t="s">
        <v>74</v>
      </c>
      <c r="D187" t="s">
        <v>74</v>
      </c>
      <c r="E187" t="s">
        <v>74</v>
      </c>
      <c r="F187" t="s">
        <v>3759</v>
      </c>
      <c r="G187" t="s">
        <v>74</v>
      </c>
      <c r="H187" t="s">
        <v>74</v>
      </c>
      <c r="I187" t="s">
        <v>3760</v>
      </c>
      <c r="J187" t="s">
        <v>542</v>
      </c>
      <c r="K187" t="s">
        <v>74</v>
      </c>
      <c r="L187" t="s">
        <v>74</v>
      </c>
      <c r="M187" t="s">
        <v>78</v>
      </c>
      <c r="N187" t="s">
        <v>79</v>
      </c>
      <c r="O187" t="s">
        <v>74</v>
      </c>
      <c r="P187" t="s">
        <v>74</v>
      </c>
      <c r="Q187" t="s">
        <v>74</v>
      </c>
      <c r="R187" t="s">
        <v>74</v>
      </c>
      <c r="S187" t="s">
        <v>74</v>
      </c>
      <c r="T187" t="s">
        <v>3761</v>
      </c>
      <c r="U187" t="s">
        <v>3762</v>
      </c>
      <c r="V187" t="s">
        <v>3763</v>
      </c>
      <c r="W187" t="s">
        <v>3764</v>
      </c>
      <c r="X187" t="s">
        <v>3765</v>
      </c>
      <c r="Y187" t="s">
        <v>3766</v>
      </c>
      <c r="Z187" t="s">
        <v>3767</v>
      </c>
      <c r="AA187" t="s">
        <v>3768</v>
      </c>
      <c r="AB187" t="s">
        <v>3769</v>
      </c>
      <c r="AC187" t="s">
        <v>3770</v>
      </c>
      <c r="AD187" t="s">
        <v>3771</v>
      </c>
      <c r="AE187" t="s">
        <v>3772</v>
      </c>
      <c r="AF187" t="s">
        <v>74</v>
      </c>
      <c r="AG187">
        <v>91</v>
      </c>
      <c r="AH187">
        <v>58</v>
      </c>
      <c r="AI187">
        <v>65</v>
      </c>
      <c r="AJ187">
        <v>4</v>
      </c>
      <c r="AK187">
        <v>56</v>
      </c>
      <c r="AL187" t="s">
        <v>226</v>
      </c>
      <c r="AM187" t="s">
        <v>227</v>
      </c>
      <c r="AN187" t="s">
        <v>228</v>
      </c>
      <c r="AO187" t="s">
        <v>553</v>
      </c>
      <c r="AP187" t="s">
        <v>74</v>
      </c>
      <c r="AQ187" t="s">
        <v>74</v>
      </c>
      <c r="AR187" t="s">
        <v>554</v>
      </c>
      <c r="AS187" t="s">
        <v>555</v>
      </c>
      <c r="AT187" t="s">
        <v>3773</v>
      </c>
      <c r="AU187">
        <v>2009</v>
      </c>
      <c r="AV187">
        <v>10</v>
      </c>
      <c r="AW187" t="s">
        <v>74</v>
      </c>
      <c r="AX187" t="s">
        <v>74</v>
      </c>
      <c r="AY187" t="s">
        <v>74</v>
      </c>
      <c r="AZ187" t="s">
        <v>74</v>
      </c>
      <c r="BA187" t="s">
        <v>74</v>
      </c>
      <c r="BB187" t="s">
        <v>74</v>
      </c>
      <c r="BC187" t="s">
        <v>74</v>
      </c>
      <c r="BD187" t="s">
        <v>3774</v>
      </c>
      <c r="BE187" t="s">
        <v>3775</v>
      </c>
      <c r="BF187" t="str">
        <f>HYPERLINK("http://dx.doi.org/10.1029/2009GC002468","http://dx.doi.org/10.1029/2009GC002468")</f>
        <v>http://dx.doi.org/10.1029/2009GC002468</v>
      </c>
      <c r="BG187" t="s">
        <v>74</v>
      </c>
      <c r="BH187" t="s">
        <v>74</v>
      </c>
      <c r="BI187">
        <v>22</v>
      </c>
      <c r="BJ187" t="s">
        <v>261</v>
      </c>
      <c r="BK187" t="s">
        <v>98</v>
      </c>
      <c r="BL187" t="s">
        <v>261</v>
      </c>
      <c r="BM187" t="s">
        <v>3776</v>
      </c>
      <c r="BN187" t="s">
        <v>74</v>
      </c>
      <c r="BO187" t="s">
        <v>263</v>
      </c>
      <c r="BP187" t="s">
        <v>74</v>
      </c>
      <c r="BQ187" t="s">
        <v>74</v>
      </c>
      <c r="BR187" t="s">
        <v>101</v>
      </c>
      <c r="BS187" t="s">
        <v>3777</v>
      </c>
      <c r="BT187" t="str">
        <f>HYPERLINK("https%3A%2F%2Fwww.webofscience.com%2Fwos%2Fwoscc%2Ffull-record%2FWOS:000272146100001","View Full Record in Web of Science")</f>
        <v>View Full Record in Web of Science</v>
      </c>
    </row>
    <row r="188" spans="1:72" x14ac:dyDescent="0.15">
      <c r="A188" t="s">
        <v>72</v>
      </c>
      <c r="B188" t="s">
        <v>3778</v>
      </c>
      <c r="C188" t="s">
        <v>74</v>
      </c>
      <c r="D188" t="s">
        <v>74</v>
      </c>
      <c r="E188" t="s">
        <v>74</v>
      </c>
      <c r="F188" t="s">
        <v>3779</v>
      </c>
      <c r="G188" t="s">
        <v>74</v>
      </c>
      <c r="H188" t="s">
        <v>74</v>
      </c>
      <c r="I188" t="s">
        <v>3780</v>
      </c>
      <c r="J188" t="s">
        <v>395</v>
      </c>
      <c r="K188" t="s">
        <v>74</v>
      </c>
      <c r="L188" t="s">
        <v>74</v>
      </c>
      <c r="M188" t="s">
        <v>78</v>
      </c>
      <c r="N188" t="s">
        <v>79</v>
      </c>
      <c r="O188" t="s">
        <v>74</v>
      </c>
      <c r="P188" t="s">
        <v>74</v>
      </c>
      <c r="Q188" t="s">
        <v>74</v>
      </c>
      <c r="R188" t="s">
        <v>74</v>
      </c>
      <c r="S188" t="s">
        <v>74</v>
      </c>
      <c r="T188" t="s">
        <v>74</v>
      </c>
      <c r="U188" t="s">
        <v>3781</v>
      </c>
      <c r="V188" t="s">
        <v>3782</v>
      </c>
      <c r="W188" t="s">
        <v>3783</v>
      </c>
      <c r="X188" t="s">
        <v>3784</v>
      </c>
      <c r="Y188" t="s">
        <v>3785</v>
      </c>
      <c r="Z188" t="s">
        <v>3786</v>
      </c>
      <c r="AA188" t="s">
        <v>74</v>
      </c>
      <c r="AB188" t="s">
        <v>74</v>
      </c>
      <c r="AC188" t="s">
        <v>3787</v>
      </c>
      <c r="AD188" t="s">
        <v>3788</v>
      </c>
      <c r="AE188" t="s">
        <v>3789</v>
      </c>
      <c r="AF188" t="s">
        <v>74</v>
      </c>
      <c r="AG188">
        <v>65</v>
      </c>
      <c r="AH188">
        <v>15</v>
      </c>
      <c r="AI188">
        <v>17</v>
      </c>
      <c r="AJ188">
        <v>0</v>
      </c>
      <c r="AK188">
        <v>16</v>
      </c>
      <c r="AL188" t="s">
        <v>226</v>
      </c>
      <c r="AM188" t="s">
        <v>227</v>
      </c>
      <c r="AN188" t="s">
        <v>228</v>
      </c>
      <c r="AO188" t="s">
        <v>407</v>
      </c>
      <c r="AP188" t="s">
        <v>408</v>
      </c>
      <c r="AQ188" t="s">
        <v>74</v>
      </c>
      <c r="AR188" t="s">
        <v>409</v>
      </c>
      <c r="AS188" t="s">
        <v>410</v>
      </c>
      <c r="AT188" t="s">
        <v>3773</v>
      </c>
      <c r="AU188">
        <v>2009</v>
      </c>
      <c r="AV188">
        <v>114</v>
      </c>
      <c r="AW188" t="s">
        <v>74</v>
      </c>
      <c r="AX188" t="s">
        <v>74</v>
      </c>
      <c r="AY188" t="s">
        <v>74</v>
      </c>
      <c r="AZ188" t="s">
        <v>74</v>
      </c>
      <c r="BA188" t="s">
        <v>74</v>
      </c>
      <c r="BB188" t="s">
        <v>74</v>
      </c>
      <c r="BC188" t="s">
        <v>74</v>
      </c>
      <c r="BD188" t="s">
        <v>3790</v>
      </c>
      <c r="BE188" t="s">
        <v>3791</v>
      </c>
      <c r="BF188" t="str">
        <f>HYPERLINK("http://dx.doi.org/10.1029/2009JD011888","http://dx.doi.org/10.1029/2009JD011888")</f>
        <v>http://dx.doi.org/10.1029/2009JD011888</v>
      </c>
      <c r="BG188" t="s">
        <v>74</v>
      </c>
      <c r="BH188" t="s">
        <v>74</v>
      </c>
      <c r="BI188">
        <v>15</v>
      </c>
      <c r="BJ188" t="s">
        <v>413</v>
      </c>
      <c r="BK188" t="s">
        <v>98</v>
      </c>
      <c r="BL188" t="s">
        <v>413</v>
      </c>
      <c r="BM188" t="s">
        <v>3792</v>
      </c>
      <c r="BN188" t="s">
        <v>74</v>
      </c>
      <c r="BO188" t="s">
        <v>263</v>
      </c>
      <c r="BP188" t="s">
        <v>74</v>
      </c>
      <c r="BQ188" t="s">
        <v>74</v>
      </c>
      <c r="BR188" t="s">
        <v>101</v>
      </c>
      <c r="BS188" t="s">
        <v>3793</v>
      </c>
      <c r="BT188" t="str">
        <f>HYPERLINK("https%3A%2F%2Fwww.webofscience.com%2Fwos%2Fwoscc%2Ffull-record%2FWOS:000272147000002","View Full Record in Web of Science")</f>
        <v>View Full Record in Web of Science</v>
      </c>
    </row>
    <row r="189" spans="1:72" x14ac:dyDescent="0.15">
      <c r="A189" t="s">
        <v>72</v>
      </c>
      <c r="B189" t="s">
        <v>3794</v>
      </c>
      <c r="C189" t="s">
        <v>74</v>
      </c>
      <c r="D189" t="s">
        <v>74</v>
      </c>
      <c r="E189" t="s">
        <v>74</v>
      </c>
      <c r="F189" t="s">
        <v>3795</v>
      </c>
      <c r="G189" t="s">
        <v>74</v>
      </c>
      <c r="H189" t="s">
        <v>74</v>
      </c>
      <c r="I189" t="s">
        <v>3796</v>
      </c>
      <c r="J189" t="s">
        <v>3797</v>
      </c>
      <c r="K189" t="s">
        <v>74</v>
      </c>
      <c r="L189" t="s">
        <v>74</v>
      </c>
      <c r="M189" t="s">
        <v>78</v>
      </c>
      <c r="N189" t="s">
        <v>79</v>
      </c>
      <c r="O189" t="s">
        <v>74</v>
      </c>
      <c r="P189" t="s">
        <v>74</v>
      </c>
      <c r="Q189" t="s">
        <v>74</v>
      </c>
      <c r="R189" t="s">
        <v>74</v>
      </c>
      <c r="S189" t="s">
        <v>74</v>
      </c>
      <c r="T189" t="s">
        <v>3798</v>
      </c>
      <c r="U189" t="s">
        <v>3799</v>
      </c>
      <c r="V189" t="s">
        <v>3800</v>
      </c>
      <c r="W189" t="s">
        <v>3801</v>
      </c>
      <c r="X189" t="s">
        <v>3802</v>
      </c>
      <c r="Y189" t="s">
        <v>3803</v>
      </c>
      <c r="Z189" t="s">
        <v>3804</v>
      </c>
      <c r="AA189" t="s">
        <v>74</v>
      </c>
      <c r="AB189" t="s">
        <v>74</v>
      </c>
      <c r="AC189" t="s">
        <v>3805</v>
      </c>
      <c r="AD189" t="s">
        <v>3806</v>
      </c>
      <c r="AE189" t="s">
        <v>3807</v>
      </c>
      <c r="AF189" t="s">
        <v>74</v>
      </c>
      <c r="AG189">
        <v>70</v>
      </c>
      <c r="AH189">
        <v>17</v>
      </c>
      <c r="AI189">
        <v>17</v>
      </c>
      <c r="AJ189">
        <v>1</v>
      </c>
      <c r="AK189">
        <v>7</v>
      </c>
      <c r="AL189" t="s">
        <v>3808</v>
      </c>
      <c r="AM189" t="s">
        <v>3809</v>
      </c>
      <c r="AN189" t="s">
        <v>3810</v>
      </c>
      <c r="AO189" t="s">
        <v>3811</v>
      </c>
      <c r="AP189" t="s">
        <v>3812</v>
      </c>
      <c r="AQ189" t="s">
        <v>74</v>
      </c>
      <c r="AR189" t="s">
        <v>3797</v>
      </c>
      <c r="AS189" t="s">
        <v>3813</v>
      </c>
      <c r="AT189" t="s">
        <v>3814</v>
      </c>
      <c r="AU189">
        <v>2009</v>
      </c>
      <c r="AV189" t="s">
        <v>74</v>
      </c>
      <c r="AW189">
        <v>2297</v>
      </c>
      <c r="AX189" t="s">
        <v>74</v>
      </c>
      <c r="AY189" t="s">
        <v>74</v>
      </c>
      <c r="AZ189" t="s">
        <v>74</v>
      </c>
      <c r="BA189" t="s">
        <v>74</v>
      </c>
      <c r="BB189">
        <v>27</v>
      </c>
      <c r="BC189">
        <v>43</v>
      </c>
      <c r="BD189" t="s">
        <v>74</v>
      </c>
      <c r="BE189" t="s">
        <v>74</v>
      </c>
      <c r="BF189" t="s">
        <v>74</v>
      </c>
      <c r="BG189" t="s">
        <v>74</v>
      </c>
      <c r="BH189" t="s">
        <v>74</v>
      </c>
      <c r="BI189">
        <v>17</v>
      </c>
      <c r="BJ189" t="s">
        <v>207</v>
      </c>
      <c r="BK189" t="s">
        <v>98</v>
      </c>
      <c r="BL189" t="s">
        <v>207</v>
      </c>
      <c r="BM189" t="s">
        <v>3815</v>
      </c>
      <c r="BN189" t="s">
        <v>74</v>
      </c>
      <c r="BO189" t="s">
        <v>74</v>
      </c>
      <c r="BP189" t="s">
        <v>74</v>
      </c>
      <c r="BQ189" t="s">
        <v>74</v>
      </c>
      <c r="BR189" t="s">
        <v>101</v>
      </c>
      <c r="BS189" t="s">
        <v>3816</v>
      </c>
      <c r="BT189" t="str">
        <f>HYPERLINK("https%3A%2F%2Fwww.webofscience.com%2Fwos%2Fwoscc%2Ffull-record%2FWOS:000272092400003","View Full Record in Web of Science")</f>
        <v>View Full Record in Web of Science</v>
      </c>
    </row>
    <row r="190" spans="1:72" x14ac:dyDescent="0.15">
      <c r="A190" t="s">
        <v>72</v>
      </c>
      <c r="B190" t="s">
        <v>3817</v>
      </c>
      <c r="C190" t="s">
        <v>74</v>
      </c>
      <c r="D190" t="s">
        <v>74</v>
      </c>
      <c r="E190" t="s">
        <v>74</v>
      </c>
      <c r="F190" t="s">
        <v>3818</v>
      </c>
      <c r="G190" t="s">
        <v>74</v>
      </c>
      <c r="H190" t="s">
        <v>74</v>
      </c>
      <c r="I190" t="s">
        <v>3819</v>
      </c>
      <c r="J190" t="s">
        <v>833</v>
      </c>
      <c r="K190" t="s">
        <v>74</v>
      </c>
      <c r="L190" t="s">
        <v>74</v>
      </c>
      <c r="M190" t="s">
        <v>78</v>
      </c>
      <c r="N190" t="s">
        <v>523</v>
      </c>
      <c r="O190" t="s">
        <v>74</v>
      </c>
      <c r="P190" t="s">
        <v>74</v>
      </c>
      <c r="Q190" t="s">
        <v>74</v>
      </c>
      <c r="R190" t="s">
        <v>74</v>
      </c>
      <c r="S190" t="s">
        <v>74</v>
      </c>
      <c r="T190" t="s">
        <v>74</v>
      </c>
      <c r="U190" t="s">
        <v>3820</v>
      </c>
      <c r="V190" t="s">
        <v>74</v>
      </c>
      <c r="W190" t="s">
        <v>3821</v>
      </c>
      <c r="X190" t="s">
        <v>3822</v>
      </c>
      <c r="Y190" t="s">
        <v>3823</v>
      </c>
      <c r="Z190" t="s">
        <v>3824</v>
      </c>
      <c r="AA190" t="s">
        <v>3825</v>
      </c>
      <c r="AB190" t="s">
        <v>3826</v>
      </c>
      <c r="AC190" t="s">
        <v>74</v>
      </c>
      <c r="AD190" t="s">
        <v>74</v>
      </c>
      <c r="AE190" t="s">
        <v>74</v>
      </c>
      <c r="AF190" t="s">
        <v>74</v>
      </c>
      <c r="AG190">
        <v>21</v>
      </c>
      <c r="AH190">
        <v>22</v>
      </c>
      <c r="AI190">
        <v>26</v>
      </c>
      <c r="AJ190">
        <v>0</v>
      </c>
      <c r="AK190">
        <v>17</v>
      </c>
      <c r="AL190" t="s">
        <v>846</v>
      </c>
      <c r="AM190" t="s">
        <v>227</v>
      </c>
      <c r="AN190" t="s">
        <v>847</v>
      </c>
      <c r="AO190" t="s">
        <v>848</v>
      </c>
      <c r="AP190" t="s">
        <v>74</v>
      </c>
      <c r="AQ190" t="s">
        <v>74</v>
      </c>
      <c r="AR190" t="s">
        <v>849</v>
      </c>
      <c r="AS190" t="s">
        <v>850</v>
      </c>
      <c r="AT190" t="s">
        <v>3827</v>
      </c>
      <c r="AU190">
        <v>2009</v>
      </c>
      <c r="AV190">
        <v>106</v>
      </c>
      <c r="AW190">
        <v>47</v>
      </c>
      <c r="AX190" t="s">
        <v>74</v>
      </c>
      <c r="AY190" t="s">
        <v>74</v>
      </c>
      <c r="AZ190" t="s">
        <v>74</v>
      </c>
      <c r="BA190" t="s">
        <v>74</v>
      </c>
      <c r="BB190">
        <v>19749</v>
      </c>
      <c r="BC190">
        <v>19750</v>
      </c>
      <c r="BD190" t="s">
        <v>74</v>
      </c>
      <c r="BE190" t="s">
        <v>3828</v>
      </c>
      <c r="BF190" t="str">
        <f>HYPERLINK("http://dx.doi.org/10.1073/pnas.0911628106","http://dx.doi.org/10.1073/pnas.0911628106")</f>
        <v>http://dx.doi.org/10.1073/pnas.0911628106</v>
      </c>
      <c r="BG190" t="s">
        <v>74</v>
      </c>
      <c r="BH190" t="s">
        <v>74</v>
      </c>
      <c r="BI190">
        <v>2</v>
      </c>
      <c r="BJ190" t="s">
        <v>388</v>
      </c>
      <c r="BK190" t="s">
        <v>98</v>
      </c>
      <c r="BL190" t="s">
        <v>389</v>
      </c>
      <c r="BM190" t="s">
        <v>3829</v>
      </c>
      <c r="BN190">
        <v>19923427</v>
      </c>
      <c r="BO190" t="s">
        <v>239</v>
      </c>
      <c r="BP190" t="s">
        <v>74</v>
      </c>
      <c r="BQ190" t="s">
        <v>74</v>
      </c>
      <c r="BR190" t="s">
        <v>101</v>
      </c>
      <c r="BS190" t="s">
        <v>3830</v>
      </c>
      <c r="BT190" t="str">
        <f>HYPERLINK("https%3A%2F%2Fwww.webofscience.com%2Fwos%2Fwoscc%2Ffull-record%2FWOS:000272180900003","View Full Record in Web of Science")</f>
        <v>View Full Record in Web of Science</v>
      </c>
    </row>
    <row r="191" spans="1:72" x14ac:dyDescent="0.15">
      <c r="A191" t="s">
        <v>72</v>
      </c>
      <c r="B191" t="s">
        <v>3831</v>
      </c>
      <c r="C191" t="s">
        <v>74</v>
      </c>
      <c r="D191" t="s">
        <v>74</v>
      </c>
      <c r="E191" t="s">
        <v>74</v>
      </c>
      <c r="F191" t="s">
        <v>3832</v>
      </c>
      <c r="G191" t="s">
        <v>74</v>
      </c>
      <c r="H191" t="s">
        <v>74</v>
      </c>
      <c r="I191" t="s">
        <v>3833</v>
      </c>
      <c r="J191" t="s">
        <v>721</v>
      </c>
      <c r="K191" t="s">
        <v>74</v>
      </c>
      <c r="L191" t="s">
        <v>74</v>
      </c>
      <c r="M191" t="s">
        <v>78</v>
      </c>
      <c r="N191" t="s">
        <v>79</v>
      </c>
      <c r="O191" t="s">
        <v>74</v>
      </c>
      <c r="P191" t="s">
        <v>74</v>
      </c>
      <c r="Q191" t="s">
        <v>74</v>
      </c>
      <c r="R191" t="s">
        <v>74</v>
      </c>
      <c r="S191" t="s">
        <v>74</v>
      </c>
      <c r="T191" t="s">
        <v>74</v>
      </c>
      <c r="U191" t="s">
        <v>3834</v>
      </c>
      <c r="V191" t="s">
        <v>3835</v>
      </c>
      <c r="W191" t="s">
        <v>3836</v>
      </c>
      <c r="X191" t="s">
        <v>3837</v>
      </c>
      <c r="Y191" t="s">
        <v>3838</v>
      </c>
      <c r="Z191" t="s">
        <v>3839</v>
      </c>
      <c r="AA191" t="s">
        <v>3840</v>
      </c>
      <c r="AB191" t="s">
        <v>3841</v>
      </c>
      <c r="AC191" t="s">
        <v>3842</v>
      </c>
      <c r="AD191" t="s">
        <v>3843</v>
      </c>
      <c r="AE191" t="s">
        <v>3844</v>
      </c>
      <c r="AF191" t="s">
        <v>74</v>
      </c>
      <c r="AG191">
        <v>17</v>
      </c>
      <c r="AH191">
        <v>75</v>
      </c>
      <c r="AI191">
        <v>79</v>
      </c>
      <c r="AJ191">
        <v>0</v>
      </c>
      <c r="AK191">
        <v>8</v>
      </c>
      <c r="AL191" t="s">
        <v>226</v>
      </c>
      <c r="AM191" t="s">
        <v>227</v>
      </c>
      <c r="AN191" t="s">
        <v>228</v>
      </c>
      <c r="AO191" t="s">
        <v>731</v>
      </c>
      <c r="AP191" t="s">
        <v>732</v>
      </c>
      <c r="AQ191" t="s">
        <v>74</v>
      </c>
      <c r="AR191" t="s">
        <v>733</v>
      </c>
      <c r="AS191" t="s">
        <v>734</v>
      </c>
      <c r="AT191" t="s">
        <v>3845</v>
      </c>
      <c r="AU191">
        <v>2009</v>
      </c>
      <c r="AV191">
        <v>36</v>
      </c>
      <c r="AW191" t="s">
        <v>74</v>
      </c>
      <c r="AX191" t="s">
        <v>74</v>
      </c>
      <c r="AY191" t="s">
        <v>74</v>
      </c>
      <c r="AZ191" t="s">
        <v>74</v>
      </c>
      <c r="BA191" t="s">
        <v>74</v>
      </c>
      <c r="BB191" t="s">
        <v>74</v>
      </c>
      <c r="BC191" t="s">
        <v>74</v>
      </c>
      <c r="BD191" t="s">
        <v>3846</v>
      </c>
      <c r="BE191" t="s">
        <v>3847</v>
      </c>
      <c r="BF191" t="str">
        <f>HYPERLINK("http://dx.doi.org/10.1029/2009GL040451","http://dx.doi.org/10.1029/2009GL040451")</f>
        <v>http://dx.doi.org/10.1029/2009GL040451</v>
      </c>
      <c r="BG191" t="s">
        <v>74</v>
      </c>
      <c r="BH191" t="s">
        <v>74</v>
      </c>
      <c r="BI191">
        <v>5</v>
      </c>
      <c r="BJ191" t="s">
        <v>464</v>
      </c>
      <c r="BK191" t="s">
        <v>98</v>
      </c>
      <c r="BL191" t="s">
        <v>465</v>
      </c>
      <c r="BM191" t="s">
        <v>3848</v>
      </c>
      <c r="BN191" t="s">
        <v>74</v>
      </c>
      <c r="BO191" t="s">
        <v>3849</v>
      </c>
      <c r="BP191" t="s">
        <v>74</v>
      </c>
      <c r="BQ191" t="s">
        <v>74</v>
      </c>
      <c r="BR191" t="s">
        <v>101</v>
      </c>
      <c r="BS191" t="s">
        <v>3850</v>
      </c>
      <c r="BT191" t="str">
        <f>HYPERLINK("https%3A%2F%2Fwww.webofscience.com%2Fwos%2Fwoscc%2Ffull-record%2FWOS:000271995200002","View Full Record in Web of Science")</f>
        <v>View Full Record in Web of Science</v>
      </c>
    </row>
    <row r="192" spans="1:72" x14ac:dyDescent="0.15">
      <c r="A192" t="s">
        <v>72</v>
      </c>
      <c r="B192" t="s">
        <v>3851</v>
      </c>
      <c r="C192" t="s">
        <v>74</v>
      </c>
      <c r="D192" t="s">
        <v>74</v>
      </c>
      <c r="E192" t="s">
        <v>74</v>
      </c>
      <c r="F192" t="s">
        <v>3852</v>
      </c>
      <c r="G192" t="s">
        <v>74</v>
      </c>
      <c r="H192" t="s">
        <v>74</v>
      </c>
      <c r="I192" t="s">
        <v>3853</v>
      </c>
      <c r="J192" t="s">
        <v>721</v>
      </c>
      <c r="K192" t="s">
        <v>74</v>
      </c>
      <c r="L192" t="s">
        <v>74</v>
      </c>
      <c r="M192" t="s">
        <v>78</v>
      </c>
      <c r="N192" t="s">
        <v>79</v>
      </c>
      <c r="O192" t="s">
        <v>74</v>
      </c>
      <c r="P192" t="s">
        <v>74</v>
      </c>
      <c r="Q192" t="s">
        <v>74</v>
      </c>
      <c r="R192" t="s">
        <v>74</v>
      </c>
      <c r="S192" t="s">
        <v>74</v>
      </c>
      <c r="T192" t="s">
        <v>74</v>
      </c>
      <c r="U192" t="s">
        <v>3854</v>
      </c>
      <c r="V192" t="s">
        <v>3855</v>
      </c>
      <c r="W192" t="s">
        <v>3856</v>
      </c>
      <c r="X192" t="s">
        <v>3857</v>
      </c>
      <c r="Y192" t="s">
        <v>3858</v>
      </c>
      <c r="Z192" t="s">
        <v>3859</v>
      </c>
      <c r="AA192" t="s">
        <v>3860</v>
      </c>
      <c r="AB192" t="s">
        <v>3861</v>
      </c>
      <c r="AC192" t="s">
        <v>3862</v>
      </c>
      <c r="AD192" t="s">
        <v>3863</v>
      </c>
      <c r="AE192" t="s">
        <v>3864</v>
      </c>
      <c r="AF192" t="s">
        <v>74</v>
      </c>
      <c r="AG192">
        <v>26</v>
      </c>
      <c r="AH192">
        <v>135</v>
      </c>
      <c r="AI192">
        <v>154</v>
      </c>
      <c r="AJ192">
        <v>5</v>
      </c>
      <c r="AK192">
        <v>51</v>
      </c>
      <c r="AL192" t="s">
        <v>226</v>
      </c>
      <c r="AM192" t="s">
        <v>227</v>
      </c>
      <c r="AN192" t="s">
        <v>228</v>
      </c>
      <c r="AO192" t="s">
        <v>731</v>
      </c>
      <c r="AP192" t="s">
        <v>732</v>
      </c>
      <c r="AQ192" t="s">
        <v>74</v>
      </c>
      <c r="AR192" t="s">
        <v>733</v>
      </c>
      <c r="AS192" t="s">
        <v>734</v>
      </c>
      <c r="AT192" t="s">
        <v>3845</v>
      </c>
      <c r="AU192">
        <v>2009</v>
      </c>
      <c r="AV192">
        <v>36</v>
      </c>
      <c r="AW192" t="s">
        <v>74</v>
      </c>
      <c r="AX192" t="s">
        <v>74</v>
      </c>
      <c r="AY192" t="s">
        <v>74</v>
      </c>
      <c r="AZ192" t="s">
        <v>74</v>
      </c>
      <c r="BA192" t="s">
        <v>74</v>
      </c>
      <c r="BB192" t="s">
        <v>74</v>
      </c>
      <c r="BC192" t="s">
        <v>74</v>
      </c>
      <c r="BD192" t="s">
        <v>3865</v>
      </c>
      <c r="BE192" t="s">
        <v>3866</v>
      </c>
      <c r="BF192" t="str">
        <f>HYPERLINK("http://dx.doi.org/10.1029/2009GL040242","http://dx.doi.org/10.1029/2009GL040242")</f>
        <v>http://dx.doi.org/10.1029/2009GL040242</v>
      </c>
      <c r="BG192" t="s">
        <v>74</v>
      </c>
      <c r="BH192" t="s">
        <v>74</v>
      </c>
      <c r="BI192">
        <v>5</v>
      </c>
      <c r="BJ192" t="s">
        <v>464</v>
      </c>
      <c r="BK192" t="s">
        <v>98</v>
      </c>
      <c r="BL192" t="s">
        <v>465</v>
      </c>
      <c r="BM192" t="s">
        <v>3848</v>
      </c>
      <c r="BN192" t="s">
        <v>74</v>
      </c>
      <c r="BO192" t="s">
        <v>577</v>
      </c>
      <c r="BP192" t="s">
        <v>74</v>
      </c>
      <c r="BQ192" t="s">
        <v>74</v>
      </c>
      <c r="BR192" t="s">
        <v>101</v>
      </c>
      <c r="BS192" t="s">
        <v>3867</v>
      </c>
      <c r="BT192" t="str">
        <f>HYPERLINK("https%3A%2F%2Fwww.webofscience.com%2Fwos%2Fwoscc%2Ffull-record%2FWOS:000271995200001","View Full Record in Web of Science")</f>
        <v>View Full Record in Web of Science</v>
      </c>
    </row>
    <row r="193" spans="1:72" x14ac:dyDescent="0.15">
      <c r="A193" t="s">
        <v>72</v>
      </c>
      <c r="B193" t="s">
        <v>3868</v>
      </c>
      <c r="C193" t="s">
        <v>74</v>
      </c>
      <c r="D193" t="s">
        <v>74</v>
      </c>
      <c r="E193" t="s">
        <v>74</v>
      </c>
      <c r="F193" t="s">
        <v>3869</v>
      </c>
      <c r="G193" t="s">
        <v>74</v>
      </c>
      <c r="H193" t="s">
        <v>74</v>
      </c>
      <c r="I193" t="s">
        <v>3870</v>
      </c>
      <c r="J193" t="s">
        <v>3871</v>
      </c>
      <c r="K193" t="s">
        <v>74</v>
      </c>
      <c r="L193" t="s">
        <v>74</v>
      </c>
      <c r="M193" t="s">
        <v>78</v>
      </c>
      <c r="N193" t="s">
        <v>297</v>
      </c>
      <c r="O193" t="s">
        <v>74</v>
      </c>
      <c r="P193" t="s">
        <v>74</v>
      </c>
      <c r="Q193" t="s">
        <v>74</v>
      </c>
      <c r="R193" t="s">
        <v>74</v>
      </c>
      <c r="S193" t="s">
        <v>74</v>
      </c>
      <c r="T193" t="s">
        <v>74</v>
      </c>
      <c r="U193" t="s">
        <v>3872</v>
      </c>
      <c r="V193" t="s">
        <v>3873</v>
      </c>
      <c r="W193" t="s">
        <v>3874</v>
      </c>
      <c r="X193" t="s">
        <v>3875</v>
      </c>
      <c r="Y193" t="s">
        <v>3876</v>
      </c>
      <c r="Z193" t="s">
        <v>3877</v>
      </c>
      <c r="AA193" t="s">
        <v>74</v>
      </c>
      <c r="AB193" t="s">
        <v>3878</v>
      </c>
      <c r="AC193" t="s">
        <v>74</v>
      </c>
      <c r="AD193" t="s">
        <v>74</v>
      </c>
      <c r="AE193" t="s">
        <v>74</v>
      </c>
      <c r="AF193" t="s">
        <v>74</v>
      </c>
      <c r="AG193">
        <v>108</v>
      </c>
      <c r="AH193">
        <v>44</v>
      </c>
      <c r="AI193">
        <v>44</v>
      </c>
      <c r="AJ193">
        <v>0</v>
      </c>
      <c r="AK193">
        <v>20</v>
      </c>
      <c r="AL193" t="s">
        <v>226</v>
      </c>
      <c r="AM193" t="s">
        <v>227</v>
      </c>
      <c r="AN193" t="s">
        <v>228</v>
      </c>
      <c r="AO193" t="s">
        <v>3879</v>
      </c>
      <c r="AP193" t="s">
        <v>3880</v>
      </c>
      <c r="AQ193" t="s">
        <v>74</v>
      </c>
      <c r="AR193" t="s">
        <v>3871</v>
      </c>
      <c r="AS193" t="s">
        <v>3881</v>
      </c>
      <c r="AT193" t="s">
        <v>3845</v>
      </c>
      <c r="AU193">
        <v>2009</v>
      </c>
      <c r="AV193">
        <v>28</v>
      </c>
      <c r="AW193" t="s">
        <v>74</v>
      </c>
      <c r="AX193" t="s">
        <v>74</v>
      </c>
      <c r="AY193" t="s">
        <v>74</v>
      </c>
      <c r="AZ193" t="s">
        <v>74</v>
      </c>
      <c r="BA193" t="s">
        <v>74</v>
      </c>
      <c r="BB193" t="s">
        <v>74</v>
      </c>
      <c r="BC193" t="s">
        <v>74</v>
      </c>
      <c r="BD193" t="s">
        <v>3882</v>
      </c>
      <c r="BE193" t="s">
        <v>3883</v>
      </c>
      <c r="BF193" t="str">
        <f>HYPERLINK("http://dx.doi.org/10.1029/2009TC002447","http://dx.doi.org/10.1029/2009TC002447")</f>
        <v>http://dx.doi.org/10.1029/2009TC002447</v>
      </c>
      <c r="BG193" t="s">
        <v>74</v>
      </c>
      <c r="BH193" t="s">
        <v>74</v>
      </c>
      <c r="BI193">
        <v>26</v>
      </c>
      <c r="BJ193" t="s">
        <v>261</v>
      </c>
      <c r="BK193" t="s">
        <v>98</v>
      </c>
      <c r="BL193" t="s">
        <v>261</v>
      </c>
      <c r="BM193" t="s">
        <v>3884</v>
      </c>
      <c r="BN193" t="s">
        <v>74</v>
      </c>
      <c r="BO193" t="s">
        <v>74</v>
      </c>
      <c r="BP193" t="s">
        <v>74</v>
      </c>
      <c r="BQ193" t="s">
        <v>74</v>
      </c>
      <c r="BR193" t="s">
        <v>101</v>
      </c>
      <c r="BS193" t="s">
        <v>3885</v>
      </c>
      <c r="BT193" t="str">
        <f>HYPERLINK("https%3A%2F%2Fwww.webofscience.com%2Fwos%2Fwoscc%2Ffull-record%2FWOS:000272003000001","View Full Record in Web of Science")</f>
        <v>View Full Record in Web of Science</v>
      </c>
    </row>
    <row r="194" spans="1:72" x14ac:dyDescent="0.15">
      <c r="A194" t="s">
        <v>72</v>
      </c>
      <c r="B194" t="s">
        <v>3886</v>
      </c>
      <c r="C194" t="s">
        <v>74</v>
      </c>
      <c r="D194" t="s">
        <v>74</v>
      </c>
      <c r="E194" t="s">
        <v>74</v>
      </c>
      <c r="F194" t="s">
        <v>3887</v>
      </c>
      <c r="G194" t="s">
        <v>74</v>
      </c>
      <c r="H194" t="s">
        <v>74</v>
      </c>
      <c r="I194" t="s">
        <v>3888</v>
      </c>
      <c r="J194" t="s">
        <v>3889</v>
      </c>
      <c r="K194" t="s">
        <v>74</v>
      </c>
      <c r="L194" t="s">
        <v>74</v>
      </c>
      <c r="M194" t="s">
        <v>78</v>
      </c>
      <c r="N194" t="s">
        <v>1965</v>
      </c>
      <c r="O194" t="s">
        <v>3890</v>
      </c>
      <c r="P194" t="s">
        <v>3891</v>
      </c>
      <c r="Q194" t="s">
        <v>3892</v>
      </c>
      <c r="R194" t="s">
        <v>74</v>
      </c>
      <c r="S194" t="s">
        <v>74</v>
      </c>
      <c r="T194" t="s">
        <v>3893</v>
      </c>
      <c r="U194" t="s">
        <v>3894</v>
      </c>
      <c r="V194" t="s">
        <v>3895</v>
      </c>
      <c r="W194" t="s">
        <v>3896</v>
      </c>
      <c r="X194" t="s">
        <v>3897</v>
      </c>
      <c r="Y194" t="s">
        <v>3898</v>
      </c>
      <c r="Z194" t="s">
        <v>3899</v>
      </c>
      <c r="AA194" t="s">
        <v>3900</v>
      </c>
      <c r="AB194" t="s">
        <v>3901</v>
      </c>
      <c r="AC194" t="s">
        <v>3902</v>
      </c>
      <c r="AD194" t="s">
        <v>730</v>
      </c>
      <c r="AE194" t="s">
        <v>74</v>
      </c>
      <c r="AF194" t="s">
        <v>74</v>
      </c>
      <c r="AG194">
        <v>113</v>
      </c>
      <c r="AH194">
        <v>31</v>
      </c>
      <c r="AI194">
        <v>33</v>
      </c>
      <c r="AJ194">
        <v>0</v>
      </c>
      <c r="AK194">
        <v>12</v>
      </c>
      <c r="AL194" t="s">
        <v>305</v>
      </c>
      <c r="AM194" t="s">
        <v>281</v>
      </c>
      <c r="AN194" t="s">
        <v>306</v>
      </c>
      <c r="AO194" t="s">
        <v>3903</v>
      </c>
      <c r="AP194" t="s">
        <v>3904</v>
      </c>
      <c r="AQ194" t="s">
        <v>74</v>
      </c>
      <c r="AR194" t="s">
        <v>3889</v>
      </c>
      <c r="AS194" t="s">
        <v>3905</v>
      </c>
      <c r="AT194" t="s">
        <v>3845</v>
      </c>
      <c r="AU194">
        <v>2009</v>
      </c>
      <c r="AV194">
        <v>478</v>
      </c>
      <c r="AW194" t="s">
        <v>180</v>
      </c>
      <c r="AX194" t="s">
        <v>74</v>
      </c>
      <c r="AY194" t="s">
        <v>74</v>
      </c>
      <c r="AZ194" t="s">
        <v>1546</v>
      </c>
      <c r="BA194" t="s">
        <v>74</v>
      </c>
      <c r="BB194">
        <v>43</v>
      </c>
      <c r="BC194">
        <v>61</v>
      </c>
      <c r="BD194" t="s">
        <v>74</v>
      </c>
      <c r="BE194" t="s">
        <v>3906</v>
      </c>
      <c r="BF194" t="str">
        <f>HYPERLINK("http://dx.doi.org/10.1016/j.tecto.2008.11.028","http://dx.doi.org/10.1016/j.tecto.2008.11.028")</f>
        <v>http://dx.doi.org/10.1016/j.tecto.2008.11.028</v>
      </c>
      <c r="BG194" t="s">
        <v>74</v>
      </c>
      <c r="BH194" t="s">
        <v>74</v>
      </c>
      <c r="BI194">
        <v>19</v>
      </c>
      <c r="BJ194" t="s">
        <v>261</v>
      </c>
      <c r="BK194" t="s">
        <v>1986</v>
      </c>
      <c r="BL194" t="s">
        <v>261</v>
      </c>
      <c r="BM194" t="s">
        <v>3907</v>
      </c>
      <c r="BN194" t="s">
        <v>74</v>
      </c>
      <c r="BO194" t="s">
        <v>74</v>
      </c>
      <c r="BP194" t="s">
        <v>74</v>
      </c>
      <c r="BQ194" t="s">
        <v>74</v>
      </c>
      <c r="BR194" t="s">
        <v>101</v>
      </c>
      <c r="BS194" t="s">
        <v>3908</v>
      </c>
      <c r="BT194" t="str">
        <f>HYPERLINK("https%3A%2F%2Fwww.webofscience.com%2Fwos%2Fwoscc%2Ffull-record%2FWOS:000272566700005","View Full Record in Web of Science")</f>
        <v>View Full Record in Web of Science</v>
      </c>
    </row>
    <row r="195" spans="1:72" x14ac:dyDescent="0.15">
      <c r="A195" t="s">
        <v>72</v>
      </c>
      <c r="B195" t="s">
        <v>3909</v>
      </c>
      <c r="C195" t="s">
        <v>74</v>
      </c>
      <c r="D195" t="s">
        <v>74</v>
      </c>
      <c r="E195" t="s">
        <v>74</v>
      </c>
      <c r="F195" t="s">
        <v>3910</v>
      </c>
      <c r="G195" t="s">
        <v>74</v>
      </c>
      <c r="H195" t="s">
        <v>74</v>
      </c>
      <c r="I195" t="s">
        <v>3911</v>
      </c>
      <c r="J195" t="s">
        <v>3889</v>
      </c>
      <c r="K195" t="s">
        <v>74</v>
      </c>
      <c r="L195" t="s">
        <v>74</v>
      </c>
      <c r="M195" t="s">
        <v>78</v>
      </c>
      <c r="N195" t="s">
        <v>1965</v>
      </c>
      <c r="O195" t="s">
        <v>3890</v>
      </c>
      <c r="P195" t="s">
        <v>3891</v>
      </c>
      <c r="Q195" t="s">
        <v>3892</v>
      </c>
      <c r="R195" t="s">
        <v>74</v>
      </c>
      <c r="S195" t="s">
        <v>74</v>
      </c>
      <c r="T195" t="s">
        <v>3912</v>
      </c>
      <c r="U195" t="s">
        <v>3913</v>
      </c>
      <c r="V195" t="s">
        <v>3914</v>
      </c>
      <c r="W195" t="s">
        <v>3915</v>
      </c>
      <c r="X195" t="s">
        <v>3916</v>
      </c>
      <c r="Y195" t="s">
        <v>3917</v>
      </c>
      <c r="Z195" t="s">
        <v>3899</v>
      </c>
      <c r="AA195" t="s">
        <v>3918</v>
      </c>
      <c r="AB195" t="s">
        <v>3919</v>
      </c>
      <c r="AC195" t="s">
        <v>3902</v>
      </c>
      <c r="AD195" t="s">
        <v>730</v>
      </c>
      <c r="AE195" t="s">
        <v>74</v>
      </c>
      <c r="AF195" t="s">
        <v>74</v>
      </c>
      <c r="AG195">
        <v>113</v>
      </c>
      <c r="AH195">
        <v>97</v>
      </c>
      <c r="AI195">
        <v>111</v>
      </c>
      <c r="AJ195">
        <v>2</v>
      </c>
      <c r="AK195">
        <v>26</v>
      </c>
      <c r="AL195" t="s">
        <v>305</v>
      </c>
      <c r="AM195" t="s">
        <v>281</v>
      </c>
      <c r="AN195" t="s">
        <v>306</v>
      </c>
      <c r="AO195" t="s">
        <v>3903</v>
      </c>
      <c r="AP195" t="s">
        <v>3904</v>
      </c>
      <c r="AQ195" t="s">
        <v>74</v>
      </c>
      <c r="AR195" t="s">
        <v>3889</v>
      </c>
      <c r="AS195" t="s">
        <v>3905</v>
      </c>
      <c r="AT195" t="s">
        <v>3845</v>
      </c>
      <c r="AU195">
        <v>2009</v>
      </c>
      <c r="AV195">
        <v>478</v>
      </c>
      <c r="AW195" t="s">
        <v>180</v>
      </c>
      <c r="AX195" t="s">
        <v>74</v>
      </c>
      <c r="AY195" t="s">
        <v>74</v>
      </c>
      <c r="AZ195" t="s">
        <v>1546</v>
      </c>
      <c r="BA195" t="s">
        <v>74</v>
      </c>
      <c r="BB195">
        <v>62</v>
      </c>
      <c r="BC195">
        <v>77</v>
      </c>
      <c r="BD195" t="s">
        <v>74</v>
      </c>
      <c r="BE195" t="s">
        <v>3920</v>
      </c>
      <c r="BF195" t="str">
        <f>HYPERLINK("http://dx.doi.org/10.1016/j.tecto.2009.03.013","http://dx.doi.org/10.1016/j.tecto.2009.03.013")</f>
        <v>http://dx.doi.org/10.1016/j.tecto.2009.03.013</v>
      </c>
      <c r="BG195" t="s">
        <v>74</v>
      </c>
      <c r="BH195" t="s">
        <v>74</v>
      </c>
      <c r="BI195">
        <v>16</v>
      </c>
      <c r="BJ195" t="s">
        <v>261</v>
      </c>
      <c r="BK195" t="s">
        <v>1986</v>
      </c>
      <c r="BL195" t="s">
        <v>261</v>
      </c>
      <c r="BM195" t="s">
        <v>3907</v>
      </c>
      <c r="BN195" t="s">
        <v>74</v>
      </c>
      <c r="BO195" t="s">
        <v>74</v>
      </c>
      <c r="BP195" t="s">
        <v>74</v>
      </c>
      <c r="BQ195" t="s">
        <v>74</v>
      </c>
      <c r="BR195" t="s">
        <v>101</v>
      </c>
      <c r="BS195" t="s">
        <v>3921</v>
      </c>
      <c r="BT195" t="str">
        <f>HYPERLINK("https%3A%2F%2Fwww.webofscience.com%2Fwos%2Fwoscc%2Ffull-record%2FWOS:000272566700006","View Full Record in Web of Science")</f>
        <v>View Full Record in Web of Science</v>
      </c>
    </row>
    <row r="196" spans="1:72" x14ac:dyDescent="0.15">
      <c r="A196" t="s">
        <v>72</v>
      </c>
      <c r="B196" t="s">
        <v>3922</v>
      </c>
      <c r="C196" t="s">
        <v>74</v>
      </c>
      <c r="D196" t="s">
        <v>74</v>
      </c>
      <c r="E196" t="s">
        <v>74</v>
      </c>
      <c r="F196" t="s">
        <v>3923</v>
      </c>
      <c r="G196" t="s">
        <v>74</v>
      </c>
      <c r="H196" t="s">
        <v>74</v>
      </c>
      <c r="I196" t="s">
        <v>3924</v>
      </c>
      <c r="J196" t="s">
        <v>789</v>
      </c>
      <c r="K196" t="s">
        <v>74</v>
      </c>
      <c r="L196" t="s">
        <v>74</v>
      </c>
      <c r="M196" t="s">
        <v>78</v>
      </c>
      <c r="N196" t="s">
        <v>79</v>
      </c>
      <c r="O196" t="s">
        <v>74</v>
      </c>
      <c r="P196" t="s">
        <v>74</v>
      </c>
      <c r="Q196" t="s">
        <v>74</v>
      </c>
      <c r="R196" t="s">
        <v>74</v>
      </c>
      <c r="S196" t="s">
        <v>74</v>
      </c>
      <c r="T196" t="s">
        <v>74</v>
      </c>
      <c r="U196" t="s">
        <v>3925</v>
      </c>
      <c r="V196" t="s">
        <v>3926</v>
      </c>
      <c r="W196" t="s">
        <v>3927</v>
      </c>
      <c r="X196" t="s">
        <v>3928</v>
      </c>
      <c r="Y196" t="s">
        <v>3929</v>
      </c>
      <c r="Z196" t="s">
        <v>3930</v>
      </c>
      <c r="AA196" t="s">
        <v>3931</v>
      </c>
      <c r="AB196" t="s">
        <v>3932</v>
      </c>
      <c r="AC196" t="s">
        <v>74</v>
      </c>
      <c r="AD196" t="s">
        <v>74</v>
      </c>
      <c r="AE196" t="s">
        <v>74</v>
      </c>
      <c r="AF196" t="s">
        <v>74</v>
      </c>
      <c r="AG196">
        <v>45</v>
      </c>
      <c r="AH196">
        <v>103</v>
      </c>
      <c r="AI196">
        <v>108</v>
      </c>
      <c r="AJ196">
        <v>3</v>
      </c>
      <c r="AK196">
        <v>47</v>
      </c>
      <c r="AL196" t="s">
        <v>226</v>
      </c>
      <c r="AM196" t="s">
        <v>227</v>
      </c>
      <c r="AN196" t="s">
        <v>228</v>
      </c>
      <c r="AO196" t="s">
        <v>800</v>
      </c>
      <c r="AP196" t="s">
        <v>801</v>
      </c>
      <c r="AQ196" t="s">
        <v>74</v>
      </c>
      <c r="AR196" t="s">
        <v>802</v>
      </c>
      <c r="AS196" t="s">
        <v>803</v>
      </c>
      <c r="AT196" t="s">
        <v>3933</v>
      </c>
      <c r="AU196">
        <v>2009</v>
      </c>
      <c r="AV196">
        <v>114</v>
      </c>
      <c r="AW196" t="s">
        <v>74</v>
      </c>
      <c r="AX196" t="s">
        <v>74</v>
      </c>
      <c r="AY196" t="s">
        <v>74</v>
      </c>
      <c r="AZ196" t="s">
        <v>74</v>
      </c>
      <c r="BA196" t="s">
        <v>74</v>
      </c>
      <c r="BB196" t="s">
        <v>74</v>
      </c>
      <c r="BC196" t="s">
        <v>74</v>
      </c>
      <c r="BD196" t="s">
        <v>3934</v>
      </c>
      <c r="BE196" t="s">
        <v>3935</v>
      </c>
      <c r="BF196" t="str">
        <f>HYPERLINK("http://dx.doi.org/10.1029/2008JC005248","http://dx.doi.org/10.1029/2008JC005248")</f>
        <v>http://dx.doi.org/10.1029/2008JC005248</v>
      </c>
      <c r="BG196" t="s">
        <v>74</v>
      </c>
      <c r="BH196" t="s">
        <v>74</v>
      </c>
      <c r="BI196">
        <v>15</v>
      </c>
      <c r="BJ196" t="s">
        <v>806</v>
      </c>
      <c r="BK196" t="s">
        <v>98</v>
      </c>
      <c r="BL196" t="s">
        <v>806</v>
      </c>
      <c r="BM196" t="s">
        <v>3936</v>
      </c>
      <c r="BN196" t="s">
        <v>74</v>
      </c>
      <c r="BO196" t="s">
        <v>263</v>
      </c>
      <c r="BP196" t="s">
        <v>74</v>
      </c>
      <c r="BQ196" t="s">
        <v>74</v>
      </c>
      <c r="BR196" t="s">
        <v>101</v>
      </c>
      <c r="BS196" t="s">
        <v>3937</v>
      </c>
      <c r="BT196" t="str">
        <f>HYPERLINK("https%3A%2F%2Fwww.webofscience.com%2Fwos%2Fwoscc%2Ffull-record%2FWOS:000271999300002","View Full Record in Web of Science")</f>
        <v>View Full Record in Web of Science</v>
      </c>
    </row>
    <row r="197" spans="1:72" x14ac:dyDescent="0.15">
      <c r="A197" t="s">
        <v>72</v>
      </c>
      <c r="B197" t="s">
        <v>3922</v>
      </c>
      <c r="C197" t="s">
        <v>74</v>
      </c>
      <c r="D197" t="s">
        <v>74</v>
      </c>
      <c r="E197" t="s">
        <v>74</v>
      </c>
      <c r="F197" t="s">
        <v>3923</v>
      </c>
      <c r="G197" t="s">
        <v>74</v>
      </c>
      <c r="H197" t="s">
        <v>74</v>
      </c>
      <c r="I197" t="s">
        <v>3938</v>
      </c>
      <c r="J197" t="s">
        <v>789</v>
      </c>
      <c r="K197" t="s">
        <v>74</v>
      </c>
      <c r="L197" t="s">
        <v>74</v>
      </c>
      <c r="M197" t="s">
        <v>78</v>
      </c>
      <c r="N197" t="s">
        <v>79</v>
      </c>
      <c r="O197" t="s">
        <v>74</v>
      </c>
      <c r="P197" t="s">
        <v>74</v>
      </c>
      <c r="Q197" t="s">
        <v>74</v>
      </c>
      <c r="R197" t="s">
        <v>74</v>
      </c>
      <c r="S197" t="s">
        <v>74</v>
      </c>
      <c r="T197" t="s">
        <v>74</v>
      </c>
      <c r="U197" t="s">
        <v>3939</v>
      </c>
      <c r="V197" t="s">
        <v>3940</v>
      </c>
      <c r="W197" t="s">
        <v>3927</v>
      </c>
      <c r="X197" t="s">
        <v>3928</v>
      </c>
      <c r="Y197" t="s">
        <v>3929</v>
      </c>
      <c r="Z197" t="s">
        <v>3930</v>
      </c>
      <c r="AA197" t="s">
        <v>3931</v>
      </c>
      <c r="AB197" t="s">
        <v>3932</v>
      </c>
      <c r="AC197" t="s">
        <v>74</v>
      </c>
      <c r="AD197" t="s">
        <v>74</v>
      </c>
      <c r="AE197" t="s">
        <v>74</v>
      </c>
      <c r="AF197" t="s">
        <v>74</v>
      </c>
      <c r="AG197">
        <v>36</v>
      </c>
      <c r="AH197">
        <v>372</v>
      </c>
      <c r="AI197">
        <v>396</v>
      </c>
      <c r="AJ197">
        <v>3</v>
      </c>
      <c r="AK197">
        <v>72</v>
      </c>
      <c r="AL197" t="s">
        <v>226</v>
      </c>
      <c r="AM197" t="s">
        <v>227</v>
      </c>
      <c r="AN197" t="s">
        <v>228</v>
      </c>
      <c r="AO197" t="s">
        <v>800</v>
      </c>
      <c r="AP197" t="s">
        <v>801</v>
      </c>
      <c r="AQ197" t="s">
        <v>74</v>
      </c>
      <c r="AR197" t="s">
        <v>802</v>
      </c>
      <c r="AS197" t="s">
        <v>803</v>
      </c>
      <c r="AT197" t="s">
        <v>3933</v>
      </c>
      <c r="AU197">
        <v>2009</v>
      </c>
      <c r="AV197">
        <v>114</v>
      </c>
      <c r="AW197" t="s">
        <v>74</v>
      </c>
      <c r="AX197" t="s">
        <v>74</v>
      </c>
      <c r="AY197" t="s">
        <v>74</v>
      </c>
      <c r="AZ197" t="s">
        <v>74</v>
      </c>
      <c r="BA197" t="s">
        <v>74</v>
      </c>
      <c r="BB197" t="s">
        <v>74</v>
      </c>
      <c r="BC197" t="s">
        <v>74</v>
      </c>
      <c r="BD197" t="s">
        <v>3941</v>
      </c>
      <c r="BE197" t="s">
        <v>3942</v>
      </c>
      <c r="BF197" t="str">
        <f>HYPERLINK("http://dx.doi.org/10.1029/2008JC005108","http://dx.doi.org/10.1029/2008JC005108")</f>
        <v>http://dx.doi.org/10.1029/2008JC005108</v>
      </c>
      <c r="BG197" t="s">
        <v>74</v>
      </c>
      <c r="BH197" t="s">
        <v>74</v>
      </c>
      <c r="BI197">
        <v>19</v>
      </c>
      <c r="BJ197" t="s">
        <v>806</v>
      </c>
      <c r="BK197" t="s">
        <v>98</v>
      </c>
      <c r="BL197" t="s">
        <v>806</v>
      </c>
      <c r="BM197" t="s">
        <v>3936</v>
      </c>
      <c r="BN197" t="s">
        <v>74</v>
      </c>
      <c r="BO197" t="s">
        <v>3943</v>
      </c>
      <c r="BP197" t="s">
        <v>74</v>
      </c>
      <c r="BQ197" t="s">
        <v>74</v>
      </c>
      <c r="BR197" t="s">
        <v>101</v>
      </c>
      <c r="BS197" t="s">
        <v>3944</v>
      </c>
      <c r="BT197" t="str">
        <f>HYPERLINK("https%3A%2F%2Fwww.webofscience.com%2Fwos%2Fwoscc%2Ffull-record%2FWOS:000271999300001","View Full Record in Web of Science")</f>
        <v>View Full Record in Web of Science</v>
      </c>
    </row>
    <row r="198" spans="1:72" x14ac:dyDescent="0.15">
      <c r="A198" t="s">
        <v>72</v>
      </c>
      <c r="B198" t="s">
        <v>3945</v>
      </c>
      <c r="C198" t="s">
        <v>74</v>
      </c>
      <c r="D198" t="s">
        <v>74</v>
      </c>
      <c r="E198" t="s">
        <v>74</v>
      </c>
      <c r="F198" t="s">
        <v>3946</v>
      </c>
      <c r="G198" t="s">
        <v>74</v>
      </c>
      <c r="H198" t="s">
        <v>74</v>
      </c>
      <c r="I198" t="s">
        <v>3947</v>
      </c>
      <c r="J198" t="s">
        <v>522</v>
      </c>
      <c r="K198" t="s">
        <v>74</v>
      </c>
      <c r="L198" t="s">
        <v>74</v>
      </c>
      <c r="M198" t="s">
        <v>78</v>
      </c>
      <c r="N198" t="s">
        <v>79</v>
      </c>
      <c r="O198" t="s">
        <v>74</v>
      </c>
      <c r="P198" t="s">
        <v>74</v>
      </c>
      <c r="Q198" t="s">
        <v>74</v>
      </c>
      <c r="R198" t="s">
        <v>74</v>
      </c>
      <c r="S198" t="s">
        <v>74</v>
      </c>
      <c r="T198" t="s">
        <v>74</v>
      </c>
      <c r="U198" t="s">
        <v>3948</v>
      </c>
      <c r="V198" t="s">
        <v>3949</v>
      </c>
      <c r="W198" t="s">
        <v>3950</v>
      </c>
      <c r="X198" t="s">
        <v>3951</v>
      </c>
      <c r="Y198" t="s">
        <v>3952</v>
      </c>
      <c r="Z198" t="s">
        <v>3953</v>
      </c>
      <c r="AA198" t="s">
        <v>3954</v>
      </c>
      <c r="AB198" t="s">
        <v>3955</v>
      </c>
      <c r="AC198" t="s">
        <v>3956</v>
      </c>
      <c r="AD198" t="s">
        <v>730</v>
      </c>
      <c r="AE198" t="s">
        <v>74</v>
      </c>
      <c r="AF198" t="s">
        <v>74</v>
      </c>
      <c r="AG198">
        <v>30</v>
      </c>
      <c r="AH198">
        <v>110</v>
      </c>
      <c r="AI198">
        <v>116</v>
      </c>
      <c r="AJ198">
        <v>2</v>
      </c>
      <c r="AK198">
        <v>54</v>
      </c>
      <c r="AL198" t="s">
        <v>2890</v>
      </c>
      <c r="AM198" t="s">
        <v>433</v>
      </c>
      <c r="AN198" t="s">
        <v>3957</v>
      </c>
      <c r="AO198" t="s">
        <v>532</v>
      </c>
      <c r="AP198" t="s">
        <v>533</v>
      </c>
      <c r="AQ198" t="s">
        <v>74</v>
      </c>
      <c r="AR198" t="s">
        <v>522</v>
      </c>
      <c r="AS198" t="s">
        <v>534</v>
      </c>
      <c r="AT198" t="s">
        <v>3933</v>
      </c>
      <c r="AU198">
        <v>2009</v>
      </c>
      <c r="AV198">
        <v>462</v>
      </c>
      <c r="AW198">
        <v>7271</v>
      </c>
      <c r="AX198" t="s">
        <v>74</v>
      </c>
      <c r="AY198" t="s">
        <v>74</v>
      </c>
      <c r="AZ198" t="s">
        <v>74</v>
      </c>
      <c r="BA198" t="s">
        <v>74</v>
      </c>
      <c r="BB198">
        <v>342</v>
      </c>
      <c r="BC198" t="s">
        <v>3958</v>
      </c>
      <c r="BD198" t="s">
        <v>74</v>
      </c>
      <c r="BE198" t="s">
        <v>3959</v>
      </c>
      <c r="BF198" t="str">
        <f>HYPERLINK("http://dx.doi.org/10.1038/nature08564","http://dx.doi.org/10.1038/nature08564")</f>
        <v>http://dx.doi.org/10.1038/nature08564</v>
      </c>
      <c r="BG198" t="s">
        <v>74</v>
      </c>
      <c r="BH198" t="s">
        <v>74</v>
      </c>
      <c r="BI198">
        <v>5</v>
      </c>
      <c r="BJ198" t="s">
        <v>388</v>
      </c>
      <c r="BK198" t="s">
        <v>98</v>
      </c>
      <c r="BL198" t="s">
        <v>389</v>
      </c>
      <c r="BM198" t="s">
        <v>3960</v>
      </c>
      <c r="BN198">
        <v>19924212</v>
      </c>
      <c r="BO198" t="s">
        <v>74</v>
      </c>
      <c r="BP198" t="s">
        <v>74</v>
      </c>
      <c r="BQ198" t="s">
        <v>74</v>
      </c>
      <c r="BR198" t="s">
        <v>101</v>
      </c>
      <c r="BS198" t="s">
        <v>3961</v>
      </c>
      <c r="BT198" t="str">
        <f>HYPERLINK("https%3A%2F%2Fwww.webofscience.com%2Fwos%2Fwoscc%2Ffull-record%2FWOS:000271899300042","View Full Record in Web of Science")</f>
        <v>View Full Record in Web of Science</v>
      </c>
    </row>
    <row r="199" spans="1:72" x14ac:dyDescent="0.15">
      <c r="A199" t="s">
        <v>72</v>
      </c>
      <c r="B199" t="s">
        <v>3962</v>
      </c>
      <c r="C199" t="s">
        <v>74</v>
      </c>
      <c r="D199" t="s">
        <v>74</v>
      </c>
      <c r="E199" t="s">
        <v>74</v>
      </c>
      <c r="F199" t="s">
        <v>3963</v>
      </c>
      <c r="G199" t="s">
        <v>74</v>
      </c>
      <c r="H199" t="s">
        <v>74</v>
      </c>
      <c r="I199" t="s">
        <v>3964</v>
      </c>
      <c r="J199" t="s">
        <v>987</v>
      </c>
      <c r="K199" t="s">
        <v>74</v>
      </c>
      <c r="L199" t="s">
        <v>74</v>
      </c>
      <c r="M199" t="s">
        <v>78</v>
      </c>
      <c r="N199" t="s">
        <v>79</v>
      </c>
      <c r="O199" t="s">
        <v>74</v>
      </c>
      <c r="P199" t="s">
        <v>74</v>
      </c>
      <c r="Q199" t="s">
        <v>74</v>
      </c>
      <c r="R199" t="s">
        <v>74</v>
      </c>
      <c r="S199" t="s">
        <v>74</v>
      </c>
      <c r="T199" t="s">
        <v>74</v>
      </c>
      <c r="U199" t="s">
        <v>3965</v>
      </c>
      <c r="V199" t="s">
        <v>3966</v>
      </c>
      <c r="W199" t="s">
        <v>3967</v>
      </c>
      <c r="X199" t="s">
        <v>3968</v>
      </c>
      <c r="Y199" t="s">
        <v>3969</v>
      </c>
      <c r="Z199" t="s">
        <v>3970</v>
      </c>
      <c r="AA199" t="s">
        <v>3971</v>
      </c>
      <c r="AB199" t="s">
        <v>3972</v>
      </c>
      <c r="AC199" t="s">
        <v>3973</v>
      </c>
      <c r="AD199" t="s">
        <v>3974</v>
      </c>
      <c r="AE199" t="s">
        <v>3975</v>
      </c>
      <c r="AF199" t="s">
        <v>74</v>
      </c>
      <c r="AG199">
        <v>47</v>
      </c>
      <c r="AH199">
        <v>14</v>
      </c>
      <c r="AI199">
        <v>15</v>
      </c>
      <c r="AJ199">
        <v>0</v>
      </c>
      <c r="AK199">
        <v>1</v>
      </c>
      <c r="AL199" t="s">
        <v>226</v>
      </c>
      <c r="AM199" t="s">
        <v>227</v>
      </c>
      <c r="AN199" t="s">
        <v>228</v>
      </c>
      <c r="AO199" t="s">
        <v>997</v>
      </c>
      <c r="AP199" t="s">
        <v>998</v>
      </c>
      <c r="AQ199" t="s">
        <v>74</v>
      </c>
      <c r="AR199" t="s">
        <v>999</v>
      </c>
      <c r="AS199" t="s">
        <v>1000</v>
      </c>
      <c r="AT199" t="s">
        <v>3976</v>
      </c>
      <c r="AU199">
        <v>2009</v>
      </c>
      <c r="AV199">
        <v>114</v>
      </c>
      <c r="AW199" t="s">
        <v>74</v>
      </c>
      <c r="AX199" t="s">
        <v>74</v>
      </c>
      <c r="AY199" t="s">
        <v>74</v>
      </c>
      <c r="AZ199" t="s">
        <v>74</v>
      </c>
      <c r="BA199" t="s">
        <v>74</v>
      </c>
      <c r="BB199" t="s">
        <v>74</v>
      </c>
      <c r="BC199" t="s">
        <v>74</v>
      </c>
      <c r="BD199" t="s">
        <v>3977</v>
      </c>
      <c r="BE199" t="s">
        <v>3978</v>
      </c>
      <c r="BF199" t="str">
        <f>HYPERLINK("http://dx.doi.org/10.1029/2009JA014163","http://dx.doi.org/10.1029/2009JA014163")</f>
        <v>http://dx.doi.org/10.1029/2009JA014163</v>
      </c>
      <c r="BG199" t="s">
        <v>74</v>
      </c>
      <c r="BH199" t="s">
        <v>74</v>
      </c>
      <c r="BI199">
        <v>16</v>
      </c>
      <c r="BJ199" t="s">
        <v>1003</v>
      </c>
      <c r="BK199" t="s">
        <v>98</v>
      </c>
      <c r="BL199" t="s">
        <v>1003</v>
      </c>
      <c r="BM199" t="s">
        <v>3979</v>
      </c>
      <c r="BN199" t="s">
        <v>74</v>
      </c>
      <c r="BO199" t="s">
        <v>263</v>
      </c>
      <c r="BP199" t="s">
        <v>74</v>
      </c>
      <c r="BQ199" t="s">
        <v>74</v>
      </c>
      <c r="BR199" t="s">
        <v>101</v>
      </c>
      <c r="BS199" t="s">
        <v>3980</v>
      </c>
      <c r="BT199" t="str">
        <f>HYPERLINK("https%3A%2F%2Fwww.webofscience.com%2Fwos%2Fwoscc%2Ffull-record%2FWOS:000272000700001","View Full Record in Web of Science")</f>
        <v>View Full Record in Web of Science</v>
      </c>
    </row>
    <row r="200" spans="1:72" x14ac:dyDescent="0.15">
      <c r="A200" t="s">
        <v>72</v>
      </c>
      <c r="B200" t="s">
        <v>3981</v>
      </c>
      <c r="C200" t="s">
        <v>74</v>
      </c>
      <c r="D200" t="s">
        <v>74</v>
      </c>
      <c r="E200" t="s">
        <v>74</v>
      </c>
      <c r="F200" t="s">
        <v>3982</v>
      </c>
      <c r="G200" t="s">
        <v>74</v>
      </c>
      <c r="H200" t="s">
        <v>74</v>
      </c>
      <c r="I200" t="s">
        <v>3983</v>
      </c>
      <c r="J200" t="s">
        <v>3984</v>
      </c>
      <c r="K200" t="s">
        <v>74</v>
      </c>
      <c r="L200" t="s">
        <v>74</v>
      </c>
      <c r="M200" t="s">
        <v>78</v>
      </c>
      <c r="N200" t="s">
        <v>79</v>
      </c>
      <c r="O200" t="s">
        <v>74</v>
      </c>
      <c r="P200" t="s">
        <v>74</v>
      </c>
      <c r="Q200" t="s">
        <v>74</v>
      </c>
      <c r="R200" t="s">
        <v>74</v>
      </c>
      <c r="S200" t="s">
        <v>74</v>
      </c>
      <c r="T200" t="s">
        <v>3985</v>
      </c>
      <c r="U200" t="s">
        <v>3986</v>
      </c>
      <c r="V200" t="s">
        <v>3987</v>
      </c>
      <c r="W200" t="s">
        <v>3988</v>
      </c>
      <c r="X200" t="s">
        <v>3989</v>
      </c>
      <c r="Y200" t="s">
        <v>3990</v>
      </c>
      <c r="Z200" t="s">
        <v>3991</v>
      </c>
      <c r="AA200" t="s">
        <v>74</v>
      </c>
      <c r="AB200" t="s">
        <v>3992</v>
      </c>
      <c r="AC200" t="s">
        <v>74</v>
      </c>
      <c r="AD200" t="s">
        <v>74</v>
      </c>
      <c r="AE200" t="s">
        <v>74</v>
      </c>
      <c r="AF200" t="s">
        <v>74</v>
      </c>
      <c r="AG200">
        <v>38</v>
      </c>
      <c r="AH200">
        <v>0</v>
      </c>
      <c r="AI200">
        <v>0</v>
      </c>
      <c r="AJ200">
        <v>0</v>
      </c>
      <c r="AK200">
        <v>3</v>
      </c>
      <c r="AL200" t="s">
        <v>1978</v>
      </c>
      <c r="AM200" t="s">
        <v>1895</v>
      </c>
      <c r="AN200" t="s">
        <v>1979</v>
      </c>
      <c r="AO200" t="s">
        <v>3993</v>
      </c>
      <c r="AP200" t="s">
        <v>3994</v>
      </c>
      <c r="AQ200" t="s">
        <v>74</v>
      </c>
      <c r="AR200" t="s">
        <v>3995</v>
      </c>
      <c r="AS200" t="s">
        <v>3996</v>
      </c>
      <c r="AT200" t="s">
        <v>3997</v>
      </c>
      <c r="AU200">
        <v>2009</v>
      </c>
      <c r="AV200">
        <v>44</v>
      </c>
      <c r="AW200">
        <v>10</v>
      </c>
      <c r="AX200" t="s">
        <v>74</v>
      </c>
      <c r="AY200" t="s">
        <v>74</v>
      </c>
      <c r="AZ200" t="s">
        <v>74</v>
      </c>
      <c r="BA200" t="s">
        <v>74</v>
      </c>
      <c r="BB200">
        <v>1144</v>
      </c>
      <c r="BC200">
        <v>1154</v>
      </c>
      <c r="BD200" t="s">
        <v>74</v>
      </c>
      <c r="BE200" t="s">
        <v>3998</v>
      </c>
      <c r="BF200" t="str">
        <f>HYPERLINK("http://dx.doi.org/10.1016/j.asr.2009.02.020","http://dx.doi.org/10.1016/j.asr.2009.02.020")</f>
        <v>http://dx.doi.org/10.1016/j.asr.2009.02.020</v>
      </c>
      <c r="BG200" t="s">
        <v>74</v>
      </c>
      <c r="BH200" t="s">
        <v>74</v>
      </c>
      <c r="BI200">
        <v>11</v>
      </c>
      <c r="BJ200" t="s">
        <v>3999</v>
      </c>
      <c r="BK200" t="s">
        <v>98</v>
      </c>
      <c r="BL200" t="s">
        <v>4000</v>
      </c>
      <c r="BM200" t="s">
        <v>4001</v>
      </c>
      <c r="BN200" t="s">
        <v>74</v>
      </c>
      <c r="BO200" t="s">
        <v>74</v>
      </c>
      <c r="BP200" t="s">
        <v>74</v>
      </c>
      <c r="BQ200" t="s">
        <v>74</v>
      </c>
      <c r="BR200" t="s">
        <v>101</v>
      </c>
      <c r="BS200" t="s">
        <v>4002</v>
      </c>
      <c r="BT200" t="str">
        <f>HYPERLINK("https%3A%2F%2Fwww.webofscience.com%2Fwos%2Fwoscc%2Ffull-record%2FWOS:000271677300007","View Full Record in Web of Science")</f>
        <v>View Full Record in Web of Science</v>
      </c>
    </row>
    <row r="201" spans="1:72" x14ac:dyDescent="0.15">
      <c r="A201" t="s">
        <v>72</v>
      </c>
      <c r="B201" t="s">
        <v>4003</v>
      </c>
      <c r="C201" t="s">
        <v>74</v>
      </c>
      <c r="D201" t="s">
        <v>74</v>
      </c>
      <c r="E201" t="s">
        <v>74</v>
      </c>
      <c r="F201" t="s">
        <v>4004</v>
      </c>
      <c r="G201" t="s">
        <v>74</v>
      </c>
      <c r="H201" t="s">
        <v>74</v>
      </c>
      <c r="I201" t="s">
        <v>4005</v>
      </c>
      <c r="J201" t="s">
        <v>3984</v>
      </c>
      <c r="K201" t="s">
        <v>74</v>
      </c>
      <c r="L201" t="s">
        <v>74</v>
      </c>
      <c r="M201" t="s">
        <v>78</v>
      </c>
      <c r="N201" t="s">
        <v>79</v>
      </c>
      <c r="O201" t="s">
        <v>74</v>
      </c>
      <c r="P201" t="s">
        <v>74</v>
      </c>
      <c r="Q201" t="s">
        <v>74</v>
      </c>
      <c r="R201" t="s">
        <v>74</v>
      </c>
      <c r="S201" t="s">
        <v>74</v>
      </c>
      <c r="T201" t="s">
        <v>4006</v>
      </c>
      <c r="U201" t="s">
        <v>4007</v>
      </c>
      <c r="V201" t="s">
        <v>4008</v>
      </c>
      <c r="W201" t="s">
        <v>4009</v>
      </c>
      <c r="X201" t="s">
        <v>4010</v>
      </c>
      <c r="Y201" t="s">
        <v>4011</v>
      </c>
      <c r="Z201" t="s">
        <v>4012</v>
      </c>
      <c r="AA201" t="s">
        <v>74</v>
      </c>
      <c r="AB201" t="s">
        <v>74</v>
      </c>
      <c r="AC201" t="s">
        <v>4013</v>
      </c>
      <c r="AD201" t="s">
        <v>4013</v>
      </c>
      <c r="AE201" t="s">
        <v>4014</v>
      </c>
      <c r="AF201" t="s">
        <v>74</v>
      </c>
      <c r="AG201">
        <v>35</v>
      </c>
      <c r="AH201">
        <v>3</v>
      </c>
      <c r="AI201">
        <v>3</v>
      </c>
      <c r="AJ201">
        <v>0</v>
      </c>
      <c r="AK201">
        <v>0</v>
      </c>
      <c r="AL201" t="s">
        <v>1978</v>
      </c>
      <c r="AM201" t="s">
        <v>1895</v>
      </c>
      <c r="AN201" t="s">
        <v>1979</v>
      </c>
      <c r="AO201" t="s">
        <v>3993</v>
      </c>
      <c r="AP201" t="s">
        <v>3994</v>
      </c>
      <c r="AQ201" t="s">
        <v>74</v>
      </c>
      <c r="AR201" t="s">
        <v>3995</v>
      </c>
      <c r="AS201" t="s">
        <v>3996</v>
      </c>
      <c r="AT201" t="s">
        <v>3997</v>
      </c>
      <c r="AU201">
        <v>2009</v>
      </c>
      <c r="AV201">
        <v>44</v>
      </c>
      <c r="AW201">
        <v>10</v>
      </c>
      <c r="AX201" t="s">
        <v>74</v>
      </c>
      <c r="AY201" t="s">
        <v>74</v>
      </c>
      <c r="AZ201" t="s">
        <v>74</v>
      </c>
      <c r="BA201" t="s">
        <v>74</v>
      </c>
      <c r="BB201">
        <v>1221</v>
      </c>
      <c r="BC201">
        <v>1231</v>
      </c>
      <c r="BD201" t="s">
        <v>74</v>
      </c>
      <c r="BE201" t="s">
        <v>4015</v>
      </c>
      <c r="BF201" t="str">
        <f>HYPERLINK("http://dx.doi.org/10.1016/j.asr.2009.02.019","http://dx.doi.org/10.1016/j.asr.2009.02.019")</f>
        <v>http://dx.doi.org/10.1016/j.asr.2009.02.019</v>
      </c>
      <c r="BG201" t="s">
        <v>74</v>
      </c>
      <c r="BH201" t="s">
        <v>74</v>
      </c>
      <c r="BI201">
        <v>11</v>
      </c>
      <c r="BJ201" t="s">
        <v>3999</v>
      </c>
      <c r="BK201" t="s">
        <v>98</v>
      </c>
      <c r="BL201" t="s">
        <v>4000</v>
      </c>
      <c r="BM201" t="s">
        <v>4001</v>
      </c>
      <c r="BN201" t="s">
        <v>74</v>
      </c>
      <c r="BO201" t="s">
        <v>74</v>
      </c>
      <c r="BP201" t="s">
        <v>74</v>
      </c>
      <c r="BQ201" t="s">
        <v>74</v>
      </c>
      <c r="BR201" t="s">
        <v>101</v>
      </c>
      <c r="BS201" t="s">
        <v>4016</v>
      </c>
      <c r="BT201" t="str">
        <f>HYPERLINK("https%3A%2F%2Fwww.webofscience.com%2Fwos%2Fwoscc%2Ffull-record%2FWOS:000271677300018","View Full Record in Web of Science")</f>
        <v>View Full Record in Web of Science</v>
      </c>
    </row>
    <row r="202" spans="1:72" x14ac:dyDescent="0.15">
      <c r="A202" t="s">
        <v>72</v>
      </c>
      <c r="B202" t="s">
        <v>4017</v>
      </c>
      <c r="C202" t="s">
        <v>74</v>
      </c>
      <c r="D202" t="s">
        <v>74</v>
      </c>
      <c r="E202" t="s">
        <v>74</v>
      </c>
      <c r="F202" t="s">
        <v>4018</v>
      </c>
      <c r="G202" t="s">
        <v>74</v>
      </c>
      <c r="H202" t="s">
        <v>74</v>
      </c>
      <c r="I202" t="s">
        <v>4019</v>
      </c>
      <c r="J202" t="s">
        <v>4020</v>
      </c>
      <c r="K202" t="s">
        <v>74</v>
      </c>
      <c r="L202" t="s">
        <v>74</v>
      </c>
      <c r="M202" t="s">
        <v>78</v>
      </c>
      <c r="N202" t="s">
        <v>79</v>
      </c>
      <c r="O202" t="s">
        <v>74</v>
      </c>
      <c r="P202" t="s">
        <v>74</v>
      </c>
      <c r="Q202" t="s">
        <v>74</v>
      </c>
      <c r="R202" t="s">
        <v>74</v>
      </c>
      <c r="S202" t="s">
        <v>74</v>
      </c>
      <c r="T202" t="s">
        <v>4021</v>
      </c>
      <c r="U202" t="s">
        <v>4022</v>
      </c>
      <c r="V202" t="s">
        <v>4023</v>
      </c>
      <c r="W202" t="s">
        <v>4024</v>
      </c>
      <c r="X202" t="s">
        <v>4025</v>
      </c>
      <c r="Y202" t="s">
        <v>4026</v>
      </c>
      <c r="Z202" t="s">
        <v>4027</v>
      </c>
      <c r="AA202" t="s">
        <v>4028</v>
      </c>
      <c r="AB202" t="s">
        <v>4029</v>
      </c>
      <c r="AC202" t="s">
        <v>4030</v>
      </c>
      <c r="AD202" t="s">
        <v>4031</v>
      </c>
      <c r="AE202" t="s">
        <v>4032</v>
      </c>
      <c r="AF202" t="s">
        <v>74</v>
      </c>
      <c r="AG202">
        <v>38</v>
      </c>
      <c r="AH202">
        <v>113</v>
      </c>
      <c r="AI202">
        <v>123</v>
      </c>
      <c r="AJ202">
        <v>1</v>
      </c>
      <c r="AK202">
        <v>48</v>
      </c>
      <c r="AL202" t="s">
        <v>305</v>
      </c>
      <c r="AM202" t="s">
        <v>281</v>
      </c>
      <c r="AN202" t="s">
        <v>306</v>
      </c>
      <c r="AO202" t="s">
        <v>4033</v>
      </c>
      <c r="AP202" t="s">
        <v>4034</v>
      </c>
      <c r="AQ202" t="s">
        <v>74</v>
      </c>
      <c r="AR202" t="s">
        <v>4035</v>
      </c>
      <c r="AS202" t="s">
        <v>4036</v>
      </c>
      <c r="AT202" t="s">
        <v>4037</v>
      </c>
      <c r="AU202">
        <v>2009</v>
      </c>
      <c r="AV202">
        <v>288</v>
      </c>
      <c r="AW202" t="s">
        <v>288</v>
      </c>
      <c r="AX202" t="s">
        <v>74</v>
      </c>
      <c r="AY202" t="s">
        <v>74</v>
      </c>
      <c r="AZ202" t="s">
        <v>74</v>
      </c>
      <c r="BA202" t="s">
        <v>74</v>
      </c>
      <c r="BB202">
        <v>516</v>
      </c>
      <c r="BC202">
        <v>523</v>
      </c>
      <c r="BD202" t="s">
        <v>74</v>
      </c>
      <c r="BE202" t="s">
        <v>4038</v>
      </c>
      <c r="BF202" t="str">
        <f>HYPERLINK("http://dx.doi.org/10.1016/j.epsl.2009.10.013","http://dx.doi.org/10.1016/j.epsl.2009.10.013")</f>
        <v>http://dx.doi.org/10.1016/j.epsl.2009.10.013</v>
      </c>
      <c r="BG202" t="s">
        <v>74</v>
      </c>
      <c r="BH202" t="s">
        <v>74</v>
      </c>
      <c r="BI202">
        <v>8</v>
      </c>
      <c r="BJ202" t="s">
        <v>261</v>
      </c>
      <c r="BK202" t="s">
        <v>98</v>
      </c>
      <c r="BL202" t="s">
        <v>261</v>
      </c>
      <c r="BM202" t="s">
        <v>4039</v>
      </c>
      <c r="BN202" t="s">
        <v>74</v>
      </c>
      <c r="BO202" t="s">
        <v>74</v>
      </c>
      <c r="BP202" t="s">
        <v>74</v>
      </c>
      <c r="BQ202" t="s">
        <v>74</v>
      </c>
      <c r="BR202" t="s">
        <v>101</v>
      </c>
      <c r="BS202" t="s">
        <v>4040</v>
      </c>
      <c r="BT202" t="str">
        <f>HYPERLINK("https%3A%2F%2Fwww.webofscience.com%2Fwos%2Fwoscc%2Ffull-record%2FWOS:000273150900017","View Full Record in Web of Science")</f>
        <v>View Full Record in Web of Science</v>
      </c>
    </row>
    <row r="203" spans="1:72" x14ac:dyDescent="0.15">
      <c r="A203" t="s">
        <v>72</v>
      </c>
      <c r="B203" t="s">
        <v>4041</v>
      </c>
      <c r="C203" t="s">
        <v>74</v>
      </c>
      <c r="D203" t="s">
        <v>74</v>
      </c>
      <c r="E203" t="s">
        <v>74</v>
      </c>
      <c r="F203" t="s">
        <v>4042</v>
      </c>
      <c r="G203" t="s">
        <v>74</v>
      </c>
      <c r="H203" t="s">
        <v>74</v>
      </c>
      <c r="I203" t="s">
        <v>4043</v>
      </c>
      <c r="J203" t="s">
        <v>4020</v>
      </c>
      <c r="K203" t="s">
        <v>74</v>
      </c>
      <c r="L203" t="s">
        <v>74</v>
      </c>
      <c r="M203" t="s">
        <v>78</v>
      </c>
      <c r="N203" t="s">
        <v>79</v>
      </c>
      <c r="O203" t="s">
        <v>74</v>
      </c>
      <c r="P203" t="s">
        <v>74</v>
      </c>
      <c r="Q203" t="s">
        <v>74</v>
      </c>
      <c r="R203" t="s">
        <v>74</v>
      </c>
      <c r="S203" t="s">
        <v>74</v>
      </c>
      <c r="T203" t="s">
        <v>4044</v>
      </c>
      <c r="U203" t="s">
        <v>4045</v>
      </c>
      <c r="V203" t="s">
        <v>4046</v>
      </c>
      <c r="W203" t="s">
        <v>4047</v>
      </c>
      <c r="X203" t="s">
        <v>4048</v>
      </c>
      <c r="Y203" t="s">
        <v>4049</v>
      </c>
      <c r="Z203" t="s">
        <v>4050</v>
      </c>
      <c r="AA203" t="s">
        <v>4051</v>
      </c>
      <c r="AB203" t="s">
        <v>4052</v>
      </c>
      <c r="AC203" t="s">
        <v>4053</v>
      </c>
      <c r="AD203" t="s">
        <v>4054</v>
      </c>
      <c r="AE203" t="s">
        <v>4055</v>
      </c>
      <c r="AF203" t="s">
        <v>74</v>
      </c>
      <c r="AG203">
        <v>60</v>
      </c>
      <c r="AH203">
        <v>19</v>
      </c>
      <c r="AI203">
        <v>21</v>
      </c>
      <c r="AJ203">
        <v>0</v>
      </c>
      <c r="AK203">
        <v>17</v>
      </c>
      <c r="AL203" t="s">
        <v>280</v>
      </c>
      <c r="AM203" t="s">
        <v>281</v>
      </c>
      <c r="AN203" t="s">
        <v>282</v>
      </c>
      <c r="AO203" t="s">
        <v>4033</v>
      </c>
      <c r="AP203" t="s">
        <v>74</v>
      </c>
      <c r="AQ203" t="s">
        <v>74</v>
      </c>
      <c r="AR203" t="s">
        <v>4035</v>
      </c>
      <c r="AS203" t="s">
        <v>4036</v>
      </c>
      <c r="AT203" t="s">
        <v>4037</v>
      </c>
      <c r="AU203">
        <v>2009</v>
      </c>
      <c r="AV203">
        <v>288</v>
      </c>
      <c r="AW203" t="s">
        <v>288</v>
      </c>
      <c r="AX203" t="s">
        <v>74</v>
      </c>
      <c r="AY203" t="s">
        <v>74</v>
      </c>
      <c r="AZ203" t="s">
        <v>74</v>
      </c>
      <c r="BA203" t="s">
        <v>74</v>
      </c>
      <c r="BB203">
        <v>611</v>
      </c>
      <c r="BC203">
        <v>618</v>
      </c>
      <c r="BD203" t="s">
        <v>74</v>
      </c>
      <c r="BE203" t="s">
        <v>4056</v>
      </c>
      <c r="BF203" t="str">
        <f>HYPERLINK("http://dx.doi.org/10.1016/j.epsl.2009.10.025","http://dx.doi.org/10.1016/j.epsl.2009.10.025")</f>
        <v>http://dx.doi.org/10.1016/j.epsl.2009.10.025</v>
      </c>
      <c r="BG203" t="s">
        <v>74</v>
      </c>
      <c r="BH203" t="s">
        <v>74</v>
      </c>
      <c r="BI203">
        <v>8</v>
      </c>
      <c r="BJ203" t="s">
        <v>261</v>
      </c>
      <c r="BK203" t="s">
        <v>98</v>
      </c>
      <c r="BL203" t="s">
        <v>261</v>
      </c>
      <c r="BM203" t="s">
        <v>4039</v>
      </c>
      <c r="BN203" t="s">
        <v>74</v>
      </c>
      <c r="BO203" t="s">
        <v>74</v>
      </c>
      <c r="BP203" t="s">
        <v>74</v>
      </c>
      <c r="BQ203" t="s">
        <v>74</v>
      </c>
      <c r="BR203" t="s">
        <v>101</v>
      </c>
      <c r="BS203" t="s">
        <v>4057</v>
      </c>
      <c r="BT203" t="str">
        <f>HYPERLINK("https%3A%2F%2Fwww.webofscience.com%2Fwos%2Fwoscc%2Ffull-record%2FWOS:000273150900027","View Full Record in Web of Science")</f>
        <v>View Full Record in Web of Science</v>
      </c>
    </row>
    <row r="204" spans="1:72" x14ac:dyDescent="0.15">
      <c r="A204" t="s">
        <v>72</v>
      </c>
      <c r="B204" t="s">
        <v>4058</v>
      </c>
      <c r="C204" t="s">
        <v>74</v>
      </c>
      <c r="D204" t="s">
        <v>74</v>
      </c>
      <c r="E204" t="s">
        <v>74</v>
      </c>
      <c r="F204" t="s">
        <v>4059</v>
      </c>
      <c r="G204" t="s">
        <v>74</v>
      </c>
      <c r="H204" t="s">
        <v>74</v>
      </c>
      <c r="I204" t="s">
        <v>4060</v>
      </c>
      <c r="J204" t="s">
        <v>4061</v>
      </c>
      <c r="K204" t="s">
        <v>74</v>
      </c>
      <c r="L204" t="s">
        <v>74</v>
      </c>
      <c r="M204" t="s">
        <v>78</v>
      </c>
      <c r="N204" t="s">
        <v>79</v>
      </c>
      <c r="O204" t="s">
        <v>74</v>
      </c>
      <c r="P204" t="s">
        <v>74</v>
      </c>
      <c r="Q204" t="s">
        <v>74</v>
      </c>
      <c r="R204" t="s">
        <v>74</v>
      </c>
      <c r="S204" t="s">
        <v>74</v>
      </c>
      <c r="T204" t="s">
        <v>74</v>
      </c>
      <c r="U204" t="s">
        <v>4062</v>
      </c>
      <c r="V204" t="s">
        <v>4063</v>
      </c>
      <c r="W204" t="s">
        <v>4064</v>
      </c>
      <c r="X204" t="s">
        <v>4065</v>
      </c>
      <c r="Y204" t="s">
        <v>4066</v>
      </c>
      <c r="Z204" t="s">
        <v>4067</v>
      </c>
      <c r="AA204" t="s">
        <v>4068</v>
      </c>
      <c r="AB204" t="s">
        <v>4069</v>
      </c>
      <c r="AC204" t="s">
        <v>4070</v>
      </c>
      <c r="AD204" t="s">
        <v>4071</v>
      </c>
      <c r="AE204" t="s">
        <v>4072</v>
      </c>
      <c r="AF204" t="s">
        <v>74</v>
      </c>
      <c r="AG204">
        <v>100</v>
      </c>
      <c r="AH204">
        <v>45</v>
      </c>
      <c r="AI204">
        <v>47</v>
      </c>
      <c r="AJ204">
        <v>1</v>
      </c>
      <c r="AK204">
        <v>20</v>
      </c>
      <c r="AL204" t="s">
        <v>1894</v>
      </c>
      <c r="AM204" t="s">
        <v>1895</v>
      </c>
      <c r="AN204" t="s">
        <v>1896</v>
      </c>
      <c r="AO204" t="s">
        <v>4073</v>
      </c>
      <c r="AP204" t="s">
        <v>4074</v>
      </c>
      <c r="AQ204" t="s">
        <v>74</v>
      </c>
      <c r="AR204" t="s">
        <v>4075</v>
      </c>
      <c r="AS204" t="s">
        <v>4076</v>
      </c>
      <c r="AT204" t="s">
        <v>4037</v>
      </c>
      <c r="AU204">
        <v>2009</v>
      </c>
      <c r="AV204">
        <v>73</v>
      </c>
      <c r="AW204">
        <v>22</v>
      </c>
      <c r="AX204" t="s">
        <v>74</v>
      </c>
      <c r="AY204" t="s">
        <v>74</v>
      </c>
      <c r="AZ204" t="s">
        <v>74</v>
      </c>
      <c r="BA204" t="s">
        <v>74</v>
      </c>
      <c r="BB204">
        <v>6771</v>
      </c>
      <c r="BC204">
        <v>6788</v>
      </c>
      <c r="BD204" t="s">
        <v>74</v>
      </c>
      <c r="BE204" t="s">
        <v>4077</v>
      </c>
      <c r="BF204" t="str">
        <f>HYPERLINK("http://dx.doi.org/10.1016/j.gca.2009.08.028","http://dx.doi.org/10.1016/j.gca.2009.08.028")</f>
        <v>http://dx.doi.org/10.1016/j.gca.2009.08.028</v>
      </c>
      <c r="BG204" t="s">
        <v>74</v>
      </c>
      <c r="BH204" t="s">
        <v>74</v>
      </c>
      <c r="BI204">
        <v>18</v>
      </c>
      <c r="BJ204" t="s">
        <v>261</v>
      </c>
      <c r="BK204" t="s">
        <v>98</v>
      </c>
      <c r="BL204" t="s">
        <v>261</v>
      </c>
      <c r="BM204" t="s">
        <v>4078</v>
      </c>
      <c r="BN204" t="s">
        <v>74</v>
      </c>
      <c r="BO204" t="s">
        <v>74</v>
      </c>
      <c r="BP204" t="s">
        <v>74</v>
      </c>
      <c r="BQ204" t="s">
        <v>74</v>
      </c>
      <c r="BR204" t="s">
        <v>101</v>
      </c>
      <c r="BS204" t="s">
        <v>4079</v>
      </c>
      <c r="BT204" t="str">
        <f>HYPERLINK("https%3A%2F%2Fwww.webofscience.com%2Fwos%2Fwoscc%2Ffull-record%2FWOS:000273416700007","View Full Record in Web of Science")</f>
        <v>View Full Record in Web of Science</v>
      </c>
    </row>
    <row r="205" spans="1:72" x14ac:dyDescent="0.15">
      <c r="A205" t="s">
        <v>72</v>
      </c>
      <c r="B205" t="s">
        <v>4080</v>
      </c>
      <c r="C205" t="s">
        <v>74</v>
      </c>
      <c r="D205" t="s">
        <v>74</v>
      </c>
      <c r="E205" t="s">
        <v>74</v>
      </c>
      <c r="F205" t="s">
        <v>4081</v>
      </c>
      <c r="G205" t="s">
        <v>74</v>
      </c>
      <c r="H205" t="s">
        <v>74</v>
      </c>
      <c r="I205" t="s">
        <v>4082</v>
      </c>
      <c r="J205" t="s">
        <v>2386</v>
      </c>
      <c r="K205" t="s">
        <v>74</v>
      </c>
      <c r="L205" t="s">
        <v>74</v>
      </c>
      <c r="M205" t="s">
        <v>78</v>
      </c>
      <c r="N205" t="s">
        <v>79</v>
      </c>
      <c r="O205" t="s">
        <v>74</v>
      </c>
      <c r="P205" t="s">
        <v>74</v>
      </c>
      <c r="Q205" t="s">
        <v>74</v>
      </c>
      <c r="R205" t="s">
        <v>74</v>
      </c>
      <c r="S205" t="s">
        <v>74</v>
      </c>
      <c r="T205" t="s">
        <v>74</v>
      </c>
      <c r="U205" t="s">
        <v>4083</v>
      </c>
      <c r="V205" t="s">
        <v>4084</v>
      </c>
      <c r="W205" t="s">
        <v>4085</v>
      </c>
      <c r="X205" t="s">
        <v>4086</v>
      </c>
      <c r="Y205" t="s">
        <v>4087</v>
      </c>
      <c r="Z205" t="s">
        <v>4088</v>
      </c>
      <c r="AA205" t="s">
        <v>4089</v>
      </c>
      <c r="AB205" t="s">
        <v>74</v>
      </c>
      <c r="AC205" t="s">
        <v>4090</v>
      </c>
      <c r="AD205" t="s">
        <v>4091</v>
      </c>
      <c r="AE205" t="s">
        <v>4092</v>
      </c>
      <c r="AF205" t="s">
        <v>74</v>
      </c>
      <c r="AG205">
        <v>19</v>
      </c>
      <c r="AH205">
        <v>44</v>
      </c>
      <c r="AI205">
        <v>51</v>
      </c>
      <c r="AJ205">
        <v>2</v>
      </c>
      <c r="AK205">
        <v>23</v>
      </c>
      <c r="AL205" t="s">
        <v>2397</v>
      </c>
      <c r="AM205" t="s">
        <v>2398</v>
      </c>
      <c r="AN205" t="s">
        <v>2399</v>
      </c>
      <c r="AO205" t="s">
        <v>2400</v>
      </c>
      <c r="AP205" t="s">
        <v>74</v>
      </c>
      <c r="AQ205" t="s">
        <v>74</v>
      </c>
      <c r="AR205" t="s">
        <v>2402</v>
      </c>
      <c r="AS205" t="s">
        <v>2403</v>
      </c>
      <c r="AT205" t="s">
        <v>4037</v>
      </c>
      <c r="AU205">
        <v>2009</v>
      </c>
      <c r="AV205">
        <v>22</v>
      </c>
      <c r="AW205">
        <v>22</v>
      </c>
      <c r="AX205" t="s">
        <v>74</v>
      </c>
      <c r="AY205" t="s">
        <v>74</v>
      </c>
      <c r="AZ205" t="s">
        <v>74</v>
      </c>
      <c r="BA205" t="s">
        <v>74</v>
      </c>
      <c r="BB205">
        <v>5809</v>
      </c>
      <c r="BC205">
        <v>5819</v>
      </c>
      <c r="BD205" t="s">
        <v>74</v>
      </c>
      <c r="BE205" t="s">
        <v>4093</v>
      </c>
      <c r="BF205" t="str">
        <f>HYPERLINK("http://dx.doi.org/10.1175/2009JCLI2865.1","http://dx.doi.org/10.1175/2009JCLI2865.1")</f>
        <v>http://dx.doi.org/10.1175/2009JCLI2865.1</v>
      </c>
      <c r="BG205" t="s">
        <v>74</v>
      </c>
      <c r="BH205" t="s">
        <v>74</v>
      </c>
      <c r="BI205">
        <v>11</v>
      </c>
      <c r="BJ205" t="s">
        <v>413</v>
      </c>
      <c r="BK205" t="s">
        <v>98</v>
      </c>
      <c r="BL205" t="s">
        <v>413</v>
      </c>
      <c r="BM205" t="s">
        <v>4094</v>
      </c>
      <c r="BN205" t="s">
        <v>74</v>
      </c>
      <c r="BO205" t="s">
        <v>2571</v>
      </c>
      <c r="BP205" t="s">
        <v>74</v>
      </c>
      <c r="BQ205" t="s">
        <v>74</v>
      </c>
      <c r="BR205" t="s">
        <v>101</v>
      </c>
      <c r="BS205" t="s">
        <v>4095</v>
      </c>
      <c r="BT205" t="str">
        <f>HYPERLINK("https%3A%2F%2Fwww.webofscience.com%2Fwos%2Fwoscc%2Ffull-record%2FWOS:000271934200002","View Full Record in Web of Science")</f>
        <v>View Full Record in Web of Science</v>
      </c>
    </row>
    <row r="206" spans="1:72" x14ac:dyDescent="0.15">
      <c r="A206" t="s">
        <v>72</v>
      </c>
      <c r="B206" t="s">
        <v>4096</v>
      </c>
      <c r="C206" t="s">
        <v>74</v>
      </c>
      <c r="D206" t="s">
        <v>74</v>
      </c>
      <c r="E206" t="s">
        <v>74</v>
      </c>
      <c r="F206" t="s">
        <v>4097</v>
      </c>
      <c r="G206" t="s">
        <v>74</v>
      </c>
      <c r="H206" t="s">
        <v>74</v>
      </c>
      <c r="I206" t="s">
        <v>4098</v>
      </c>
      <c r="J206" t="s">
        <v>2386</v>
      </c>
      <c r="K206" t="s">
        <v>74</v>
      </c>
      <c r="L206" t="s">
        <v>74</v>
      </c>
      <c r="M206" t="s">
        <v>78</v>
      </c>
      <c r="N206" t="s">
        <v>79</v>
      </c>
      <c r="O206" t="s">
        <v>74</v>
      </c>
      <c r="P206" t="s">
        <v>74</v>
      </c>
      <c r="Q206" t="s">
        <v>74</v>
      </c>
      <c r="R206" t="s">
        <v>74</v>
      </c>
      <c r="S206" t="s">
        <v>74</v>
      </c>
      <c r="T206" t="s">
        <v>74</v>
      </c>
      <c r="U206" t="s">
        <v>4099</v>
      </c>
      <c r="V206" t="s">
        <v>4100</v>
      </c>
      <c r="W206" t="s">
        <v>4101</v>
      </c>
      <c r="X206" t="s">
        <v>4102</v>
      </c>
      <c r="Y206" t="s">
        <v>4103</v>
      </c>
      <c r="Z206" t="s">
        <v>4104</v>
      </c>
      <c r="AA206" t="s">
        <v>74</v>
      </c>
      <c r="AB206" t="s">
        <v>4105</v>
      </c>
      <c r="AC206" t="s">
        <v>4106</v>
      </c>
      <c r="AD206" t="s">
        <v>4107</v>
      </c>
      <c r="AE206" t="s">
        <v>4108</v>
      </c>
      <c r="AF206" t="s">
        <v>74</v>
      </c>
      <c r="AG206">
        <v>25</v>
      </c>
      <c r="AH206">
        <v>78</v>
      </c>
      <c r="AI206">
        <v>80</v>
      </c>
      <c r="AJ206">
        <v>0</v>
      </c>
      <c r="AK206">
        <v>13</v>
      </c>
      <c r="AL206" t="s">
        <v>2397</v>
      </c>
      <c r="AM206" t="s">
        <v>2398</v>
      </c>
      <c r="AN206" t="s">
        <v>2399</v>
      </c>
      <c r="AO206" t="s">
        <v>2400</v>
      </c>
      <c r="AP206" t="s">
        <v>74</v>
      </c>
      <c r="AQ206" t="s">
        <v>74</v>
      </c>
      <c r="AR206" t="s">
        <v>2402</v>
      </c>
      <c r="AS206" t="s">
        <v>2403</v>
      </c>
      <c r="AT206" t="s">
        <v>4037</v>
      </c>
      <c r="AU206">
        <v>2009</v>
      </c>
      <c r="AV206">
        <v>22</v>
      </c>
      <c r="AW206">
        <v>22</v>
      </c>
      <c r="AX206" t="s">
        <v>74</v>
      </c>
      <c r="AY206" t="s">
        <v>74</v>
      </c>
      <c r="AZ206" t="s">
        <v>74</v>
      </c>
      <c r="BA206" t="s">
        <v>74</v>
      </c>
      <c r="BB206">
        <v>6142</v>
      </c>
      <c r="BC206">
        <v>6148</v>
      </c>
      <c r="BD206" t="s">
        <v>74</v>
      </c>
      <c r="BE206" t="s">
        <v>4109</v>
      </c>
      <c r="BF206" t="str">
        <f>HYPERLINK("http://dx.doi.org/10.1175/2009JCLI3036.1","http://dx.doi.org/10.1175/2009JCLI3036.1")</f>
        <v>http://dx.doi.org/10.1175/2009JCLI3036.1</v>
      </c>
      <c r="BG206" t="s">
        <v>74</v>
      </c>
      <c r="BH206" t="s">
        <v>74</v>
      </c>
      <c r="BI206">
        <v>7</v>
      </c>
      <c r="BJ206" t="s">
        <v>413</v>
      </c>
      <c r="BK206" t="s">
        <v>98</v>
      </c>
      <c r="BL206" t="s">
        <v>413</v>
      </c>
      <c r="BM206" t="s">
        <v>4094</v>
      </c>
      <c r="BN206" t="s">
        <v>74</v>
      </c>
      <c r="BO206" t="s">
        <v>765</v>
      </c>
      <c r="BP206" t="s">
        <v>74</v>
      </c>
      <c r="BQ206" t="s">
        <v>74</v>
      </c>
      <c r="BR206" t="s">
        <v>101</v>
      </c>
      <c r="BS206" t="s">
        <v>4110</v>
      </c>
      <c r="BT206" t="str">
        <f>HYPERLINK("https%3A%2F%2Fwww.webofscience.com%2Fwos%2Fwoscc%2Ffull-record%2FWOS:000271934200021","View Full Record in Web of Science")</f>
        <v>View Full Record in Web of Science</v>
      </c>
    </row>
    <row r="207" spans="1:72" x14ac:dyDescent="0.15">
      <c r="A207" t="s">
        <v>72</v>
      </c>
      <c r="B207" t="s">
        <v>4111</v>
      </c>
      <c r="C207" t="s">
        <v>74</v>
      </c>
      <c r="D207" t="s">
        <v>74</v>
      </c>
      <c r="E207" t="s">
        <v>74</v>
      </c>
      <c r="F207" t="s">
        <v>4112</v>
      </c>
      <c r="G207" t="s">
        <v>74</v>
      </c>
      <c r="H207" t="s">
        <v>74</v>
      </c>
      <c r="I207" t="s">
        <v>4113</v>
      </c>
      <c r="J207" t="s">
        <v>2386</v>
      </c>
      <c r="K207" t="s">
        <v>74</v>
      </c>
      <c r="L207" t="s">
        <v>74</v>
      </c>
      <c r="M207" t="s">
        <v>78</v>
      </c>
      <c r="N207" t="s">
        <v>2080</v>
      </c>
      <c r="O207" t="s">
        <v>74</v>
      </c>
      <c r="P207" t="s">
        <v>74</v>
      </c>
      <c r="Q207" t="s">
        <v>74</v>
      </c>
      <c r="R207" t="s">
        <v>74</v>
      </c>
      <c r="S207" t="s">
        <v>74</v>
      </c>
      <c r="T207" t="s">
        <v>74</v>
      </c>
      <c r="U207" t="s">
        <v>4114</v>
      </c>
      <c r="V207" t="s">
        <v>74</v>
      </c>
      <c r="W207" t="s">
        <v>4115</v>
      </c>
      <c r="X207" t="s">
        <v>4116</v>
      </c>
      <c r="Y207" t="s">
        <v>4117</v>
      </c>
      <c r="Z207" t="s">
        <v>4118</v>
      </c>
      <c r="AA207" t="s">
        <v>4119</v>
      </c>
      <c r="AB207" t="s">
        <v>4120</v>
      </c>
      <c r="AC207" t="s">
        <v>572</v>
      </c>
      <c r="AD207" t="s">
        <v>573</v>
      </c>
      <c r="AE207" t="s">
        <v>74</v>
      </c>
      <c r="AF207" t="s">
        <v>74</v>
      </c>
      <c r="AG207">
        <v>10</v>
      </c>
      <c r="AH207">
        <v>1</v>
      </c>
      <c r="AI207">
        <v>1</v>
      </c>
      <c r="AJ207">
        <v>0</v>
      </c>
      <c r="AK207">
        <v>6</v>
      </c>
      <c r="AL207" t="s">
        <v>2397</v>
      </c>
      <c r="AM207" t="s">
        <v>2398</v>
      </c>
      <c r="AN207" t="s">
        <v>2399</v>
      </c>
      <c r="AO207" t="s">
        <v>2400</v>
      </c>
      <c r="AP207" t="s">
        <v>74</v>
      </c>
      <c r="AQ207" t="s">
        <v>74</v>
      </c>
      <c r="AR207" t="s">
        <v>2402</v>
      </c>
      <c r="AS207" t="s">
        <v>2403</v>
      </c>
      <c r="AT207" t="s">
        <v>4037</v>
      </c>
      <c r="AU207">
        <v>2009</v>
      </c>
      <c r="AV207">
        <v>22</v>
      </c>
      <c r="AW207">
        <v>22</v>
      </c>
      <c r="AX207" t="s">
        <v>74</v>
      </c>
      <c r="AY207" t="s">
        <v>74</v>
      </c>
      <c r="AZ207" t="s">
        <v>74</v>
      </c>
      <c r="BA207" t="s">
        <v>74</v>
      </c>
      <c r="BB207">
        <v>6149</v>
      </c>
      <c r="BC207">
        <v>6150</v>
      </c>
      <c r="BD207" t="s">
        <v>74</v>
      </c>
      <c r="BE207" t="s">
        <v>4121</v>
      </c>
      <c r="BF207" t="str">
        <f>HYPERLINK("http://dx.doi.org/10.1175/2009JCLI3400.1","http://dx.doi.org/10.1175/2009JCLI3400.1")</f>
        <v>http://dx.doi.org/10.1175/2009JCLI3400.1</v>
      </c>
      <c r="BG207" t="s">
        <v>74</v>
      </c>
      <c r="BH207" t="s">
        <v>74</v>
      </c>
      <c r="BI207">
        <v>2</v>
      </c>
      <c r="BJ207" t="s">
        <v>413</v>
      </c>
      <c r="BK207" t="s">
        <v>98</v>
      </c>
      <c r="BL207" t="s">
        <v>413</v>
      </c>
      <c r="BM207" t="s">
        <v>4094</v>
      </c>
      <c r="BN207" t="s">
        <v>74</v>
      </c>
      <c r="BO207" t="s">
        <v>4122</v>
      </c>
      <c r="BP207" t="s">
        <v>74</v>
      </c>
      <c r="BQ207" t="s">
        <v>74</v>
      </c>
      <c r="BR207" t="s">
        <v>101</v>
      </c>
      <c r="BS207" t="s">
        <v>4123</v>
      </c>
      <c r="BT207" t="str">
        <f>HYPERLINK("https%3A%2F%2Fwww.webofscience.com%2Fwos%2Fwoscc%2Ffull-record%2FWOS:000271934200022","View Full Record in Web of Science")</f>
        <v>View Full Record in Web of Science</v>
      </c>
    </row>
    <row r="208" spans="1:72" x14ac:dyDescent="0.15">
      <c r="A208" t="s">
        <v>72</v>
      </c>
      <c r="B208" t="s">
        <v>4124</v>
      </c>
      <c r="C208" t="s">
        <v>74</v>
      </c>
      <c r="D208" t="s">
        <v>74</v>
      </c>
      <c r="E208" t="s">
        <v>74</v>
      </c>
      <c r="F208" t="s">
        <v>4125</v>
      </c>
      <c r="G208" t="s">
        <v>74</v>
      </c>
      <c r="H208" t="s">
        <v>74</v>
      </c>
      <c r="I208" t="s">
        <v>4126</v>
      </c>
      <c r="J208" t="s">
        <v>4127</v>
      </c>
      <c r="K208" t="s">
        <v>74</v>
      </c>
      <c r="L208" t="s">
        <v>74</v>
      </c>
      <c r="M208" t="s">
        <v>78</v>
      </c>
      <c r="N208" t="s">
        <v>79</v>
      </c>
      <c r="O208" t="s">
        <v>74</v>
      </c>
      <c r="P208" t="s">
        <v>74</v>
      </c>
      <c r="Q208" t="s">
        <v>74</v>
      </c>
      <c r="R208" t="s">
        <v>74</v>
      </c>
      <c r="S208" t="s">
        <v>74</v>
      </c>
      <c r="T208" t="s">
        <v>4128</v>
      </c>
      <c r="U208" t="s">
        <v>4129</v>
      </c>
      <c r="V208" t="s">
        <v>4130</v>
      </c>
      <c r="W208" t="s">
        <v>4131</v>
      </c>
      <c r="X208" t="s">
        <v>4132</v>
      </c>
      <c r="Y208" t="s">
        <v>4133</v>
      </c>
      <c r="Z208" t="s">
        <v>4134</v>
      </c>
      <c r="AA208" t="s">
        <v>74</v>
      </c>
      <c r="AB208" t="s">
        <v>74</v>
      </c>
      <c r="AC208" t="s">
        <v>4135</v>
      </c>
      <c r="AD208" t="s">
        <v>4136</v>
      </c>
      <c r="AE208" t="s">
        <v>4137</v>
      </c>
      <c r="AF208" t="s">
        <v>74</v>
      </c>
      <c r="AG208">
        <v>84</v>
      </c>
      <c r="AH208">
        <v>5</v>
      </c>
      <c r="AI208">
        <v>6</v>
      </c>
      <c r="AJ208">
        <v>0</v>
      </c>
      <c r="AK208">
        <v>5</v>
      </c>
      <c r="AL208" t="s">
        <v>305</v>
      </c>
      <c r="AM208" t="s">
        <v>281</v>
      </c>
      <c r="AN208" t="s">
        <v>306</v>
      </c>
      <c r="AO208" t="s">
        <v>4138</v>
      </c>
      <c r="AP208" t="s">
        <v>4139</v>
      </c>
      <c r="AQ208" t="s">
        <v>74</v>
      </c>
      <c r="AR208" t="s">
        <v>4140</v>
      </c>
      <c r="AS208" t="s">
        <v>4141</v>
      </c>
      <c r="AT208" t="s">
        <v>4037</v>
      </c>
      <c r="AU208">
        <v>2009</v>
      </c>
      <c r="AV208">
        <v>267</v>
      </c>
      <c r="AW208" t="s">
        <v>180</v>
      </c>
      <c r="AX208" t="s">
        <v>74</v>
      </c>
      <c r="AY208" t="s">
        <v>74</v>
      </c>
      <c r="AZ208" t="s">
        <v>74</v>
      </c>
      <c r="BA208" t="s">
        <v>74</v>
      </c>
      <c r="BB208">
        <v>86</v>
      </c>
      <c r="BC208">
        <v>100</v>
      </c>
      <c r="BD208" t="s">
        <v>74</v>
      </c>
      <c r="BE208" t="s">
        <v>4142</v>
      </c>
      <c r="BF208" t="str">
        <f>HYPERLINK("http://dx.doi.org/10.1016/j.margeo.2009.09.006","http://dx.doi.org/10.1016/j.margeo.2009.09.006")</f>
        <v>http://dx.doi.org/10.1016/j.margeo.2009.09.006</v>
      </c>
      <c r="BG208" t="s">
        <v>74</v>
      </c>
      <c r="BH208" t="s">
        <v>74</v>
      </c>
      <c r="BI208">
        <v>15</v>
      </c>
      <c r="BJ208" t="s">
        <v>4143</v>
      </c>
      <c r="BK208" t="s">
        <v>98</v>
      </c>
      <c r="BL208" t="s">
        <v>4144</v>
      </c>
      <c r="BM208" t="s">
        <v>4145</v>
      </c>
      <c r="BN208" t="s">
        <v>74</v>
      </c>
      <c r="BO208" t="s">
        <v>74</v>
      </c>
      <c r="BP208" t="s">
        <v>74</v>
      </c>
      <c r="BQ208" t="s">
        <v>74</v>
      </c>
      <c r="BR208" t="s">
        <v>101</v>
      </c>
      <c r="BS208" t="s">
        <v>4146</v>
      </c>
      <c r="BT208" t="str">
        <f>HYPERLINK("https%3A%2F%2Fwww.webofscience.com%2Fwos%2Fwoscc%2Ffull-record%2FWOS:000272121600007","View Full Record in Web of Science")</f>
        <v>View Full Record in Web of Science</v>
      </c>
    </row>
    <row r="209" spans="1:72" x14ac:dyDescent="0.15">
      <c r="A209" t="s">
        <v>72</v>
      </c>
      <c r="B209" t="s">
        <v>4147</v>
      </c>
      <c r="C209" t="s">
        <v>74</v>
      </c>
      <c r="D209" t="s">
        <v>74</v>
      </c>
      <c r="E209" t="s">
        <v>74</v>
      </c>
      <c r="F209" t="s">
        <v>4148</v>
      </c>
      <c r="G209" t="s">
        <v>74</v>
      </c>
      <c r="H209" t="s">
        <v>74</v>
      </c>
      <c r="I209" t="s">
        <v>4149</v>
      </c>
      <c r="J209" t="s">
        <v>789</v>
      </c>
      <c r="K209" t="s">
        <v>74</v>
      </c>
      <c r="L209" t="s">
        <v>74</v>
      </c>
      <c r="M209" t="s">
        <v>78</v>
      </c>
      <c r="N209" t="s">
        <v>79</v>
      </c>
      <c r="O209" t="s">
        <v>74</v>
      </c>
      <c r="P209" t="s">
        <v>74</v>
      </c>
      <c r="Q209" t="s">
        <v>74</v>
      </c>
      <c r="R209" t="s">
        <v>74</v>
      </c>
      <c r="S209" t="s">
        <v>74</v>
      </c>
      <c r="T209" t="s">
        <v>74</v>
      </c>
      <c r="U209" t="s">
        <v>4150</v>
      </c>
      <c r="V209" t="s">
        <v>4151</v>
      </c>
      <c r="W209" t="s">
        <v>4152</v>
      </c>
      <c r="X209" t="s">
        <v>4153</v>
      </c>
      <c r="Y209" t="s">
        <v>4154</v>
      </c>
      <c r="Z209" t="s">
        <v>4155</v>
      </c>
      <c r="AA209" t="s">
        <v>74</v>
      </c>
      <c r="AB209" t="s">
        <v>74</v>
      </c>
      <c r="AC209" t="s">
        <v>4156</v>
      </c>
      <c r="AD209" t="s">
        <v>4157</v>
      </c>
      <c r="AE209" t="s">
        <v>4158</v>
      </c>
      <c r="AF209" t="s">
        <v>74</v>
      </c>
      <c r="AG209">
        <v>33</v>
      </c>
      <c r="AH209">
        <v>94</v>
      </c>
      <c r="AI209">
        <v>106</v>
      </c>
      <c r="AJ209">
        <v>1</v>
      </c>
      <c r="AK209">
        <v>21</v>
      </c>
      <c r="AL209" t="s">
        <v>226</v>
      </c>
      <c r="AM209" t="s">
        <v>227</v>
      </c>
      <c r="AN209" t="s">
        <v>228</v>
      </c>
      <c r="AO209" t="s">
        <v>800</v>
      </c>
      <c r="AP209" t="s">
        <v>801</v>
      </c>
      <c r="AQ209" t="s">
        <v>74</v>
      </c>
      <c r="AR209" t="s">
        <v>802</v>
      </c>
      <c r="AS209" t="s">
        <v>803</v>
      </c>
      <c r="AT209" t="s">
        <v>4159</v>
      </c>
      <c r="AU209">
        <v>2009</v>
      </c>
      <c r="AV209">
        <v>114</v>
      </c>
      <c r="AW209" t="s">
        <v>74</v>
      </c>
      <c r="AX209" t="s">
        <v>74</v>
      </c>
      <c r="AY209" t="s">
        <v>74</v>
      </c>
      <c r="AZ209" t="s">
        <v>74</v>
      </c>
      <c r="BA209" t="s">
        <v>74</v>
      </c>
      <c r="BB209" t="s">
        <v>74</v>
      </c>
      <c r="BC209" t="s">
        <v>74</v>
      </c>
      <c r="BD209" t="s">
        <v>4160</v>
      </c>
      <c r="BE209" t="s">
        <v>4161</v>
      </c>
      <c r="BF209" t="str">
        <f>HYPERLINK("http://dx.doi.org/10.1029/2009JC005349","http://dx.doi.org/10.1029/2009JC005349")</f>
        <v>http://dx.doi.org/10.1029/2009JC005349</v>
      </c>
      <c r="BG209" t="s">
        <v>74</v>
      </c>
      <c r="BH209" t="s">
        <v>74</v>
      </c>
      <c r="BI209">
        <v>14</v>
      </c>
      <c r="BJ209" t="s">
        <v>806</v>
      </c>
      <c r="BK209" t="s">
        <v>98</v>
      </c>
      <c r="BL209" t="s">
        <v>806</v>
      </c>
      <c r="BM209" t="s">
        <v>4162</v>
      </c>
      <c r="BN209" t="s">
        <v>74</v>
      </c>
      <c r="BO209" t="s">
        <v>263</v>
      </c>
      <c r="BP209" t="s">
        <v>74</v>
      </c>
      <c r="BQ209" t="s">
        <v>74</v>
      </c>
      <c r="BR209" t="s">
        <v>101</v>
      </c>
      <c r="BS209" t="s">
        <v>4163</v>
      </c>
      <c r="BT209" t="str">
        <f>HYPERLINK("https%3A%2F%2Fwww.webofscience.com%2Fwos%2Fwoscc%2Ffull-record%2FWOS:000271862100002","View Full Record in Web of Science")</f>
        <v>View Full Record in Web of Science</v>
      </c>
    </row>
    <row r="210" spans="1:72" x14ac:dyDescent="0.15">
      <c r="A210" t="s">
        <v>72</v>
      </c>
      <c r="B210" t="s">
        <v>4164</v>
      </c>
      <c r="C210" t="s">
        <v>74</v>
      </c>
      <c r="D210" t="s">
        <v>74</v>
      </c>
      <c r="E210" t="s">
        <v>74</v>
      </c>
      <c r="F210" t="s">
        <v>4165</v>
      </c>
      <c r="G210" t="s">
        <v>74</v>
      </c>
      <c r="H210" t="s">
        <v>74</v>
      </c>
      <c r="I210" t="s">
        <v>4166</v>
      </c>
      <c r="J210" t="s">
        <v>721</v>
      </c>
      <c r="K210" t="s">
        <v>74</v>
      </c>
      <c r="L210" t="s">
        <v>74</v>
      </c>
      <c r="M210" t="s">
        <v>78</v>
      </c>
      <c r="N210" t="s">
        <v>79</v>
      </c>
      <c r="O210" t="s">
        <v>74</v>
      </c>
      <c r="P210" t="s">
        <v>74</v>
      </c>
      <c r="Q210" t="s">
        <v>74</v>
      </c>
      <c r="R210" t="s">
        <v>74</v>
      </c>
      <c r="S210" t="s">
        <v>74</v>
      </c>
      <c r="T210" t="s">
        <v>74</v>
      </c>
      <c r="U210" t="s">
        <v>4167</v>
      </c>
      <c r="V210" t="s">
        <v>4168</v>
      </c>
      <c r="W210" t="s">
        <v>4169</v>
      </c>
      <c r="X210" t="s">
        <v>4170</v>
      </c>
      <c r="Y210" t="s">
        <v>4171</v>
      </c>
      <c r="Z210" t="s">
        <v>4172</v>
      </c>
      <c r="AA210" t="s">
        <v>4173</v>
      </c>
      <c r="AB210" t="s">
        <v>4174</v>
      </c>
      <c r="AC210" t="s">
        <v>4175</v>
      </c>
      <c r="AD210" t="s">
        <v>4176</v>
      </c>
      <c r="AE210" t="s">
        <v>4177</v>
      </c>
      <c r="AF210" t="s">
        <v>74</v>
      </c>
      <c r="AG210">
        <v>34</v>
      </c>
      <c r="AH210">
        <v>27</v>
      </c>
      <c r="AI210">
        <v>27</v>
      </c>
      <c r="AJ210">
        <v>0</v>
      </c>
      <c r="AK210">
        <v>8</v>
      </c>
      <c r="AL210" t="s">
        <v>226</v>
      </c>
      <c r="AM210" t="s">
        <v>227</v>
      </c>
      <c r="AN210" t="s">
        <v>228</v>
      </c>
      <c r="AO210" t="s">
        <v>731</v>
      </c>
      <c r="AP210" t="s">
        <v>732</v>
      </c>
      <c r="AQ210" t="s">
        <v>74</v>
      </c>
      <c r="AR210" t="s">
        <v>733</v>
      </c>
      <c r="AS210" t="s">
        <v>734</v>
      </c>
      <c r="AT210" t="s">
        <v>4178</v>
      </c>
      <c r="AU210">
        <v>2009</v>
      </c>
      <c r="AV210">
        <v>36</v>
      </c>
      <c r="AW210" t="s">
        <v>74</v>
      </c>
      <c r="AX210" t="s">
        <v>74</v>
      </c>
      <c r="AY210" t="s">
        <v>74</v>
      </c>
      <c r="AZ210" t="s">
        <v>74</v>
      </c>
      <c r="BA210" t="s">
        <v>74</v>
      </c>
      <c r="BB210" t="s">
        <v>74</v>
      </c>
      <c r="BC210" t="s">
        <v>74</v>
      </c>
      <c r="BD210" t="s">
        <v>4179</v>
      </c>
      <c r="BE210" t="s">
        <v>4180</v>
      </c>
      <c r="BF210" t="str">
        <f>HYPERLINK("http://dx.doi.org/10.1029/2009GL040721","http://dx.doi.org/10.1029/2009GL040721")</f>
        <v>http://dx.doi.org/10.1029/2009GL040721</v>
      </c>
      <c r="BG210" t="s">
        <v>74</v>
      </c>
      <c r="BH210" t="s">
        <v>74</v>
      </c>
      <c r="BI210">
        <v>4</v>
      </c>
      <c r="BJ210" t="s">
        <v>464</v>
      </c>
      <c r="BK210" t="s">
        <v>98</v>
      </c>
      <c r="BL210" t="s">
        <v>465</v>
      </c>
      <c r="BM210" t="s">
        <v>4181</v>
      </c>
      <c r="BN210" t="s">
        <v>74</v>
      </c>
      <c r="BO210" t="s">
        <v>4182</v>
      </c>
      <c r="BP210" t="s">
        <v>74</v>
      </c>
      <c r="BQ210" t="s">
        <v>74</v>
      </c>
      <c r="BR210" t="s">
        <v>101</v>
      </c>
      <c r="BS210" t="s">
        <v>4183</v>
      </c>
      <c r="BT210" t="str">
        <f>HYPERLINK("https%3A%2F%2Fwww.webofscience.com%2Fwos%2Fwoscc%2Ffull-record%2FWOS:000271579600009","View Full Record in Web of Science")</f>
        <v>View Full Record in Web of Science</v>
      </c>
    </row>
    <row r="211" spans="1:72" x14ac:dyDescent="0.15">
      <c r="A211" t="s">
        <v>72</v>
      </c>
      <c r="B211" t="s">
        <v>4184</v>
      </c>
      <c r="C211" t="s">
        <v>74</v>
      </c>
      <c r="D211" t="s">
        <v>74</v>
      </c>
      <c r="E211" t="s">
        <v>74</v>
      </c>
      <c r="F211" t="s">
        <v>4185</v>
      </c>
      <c r="G211" t="s">
        <v>74</v>
      </c>
      <c r="H211" t="s">
        <v>74</v>
      </c>
      <c r="I211" t="s">
        <v>4186</v>
      </c>
      <c r="J211" t="s">
        <v>721</v>
      </c>
      <c r="K211" t="s">
        <v>74</v>
      </c>
      <c r="L211" t="s">
        <v>74</v>
      </c>
      <c r="M211" t="s">
        <v>78</v>
      </c>
      <c r="N211" t="s">
        <v>79</v>
      </c>
      <c r="O211" t="s">
        <v>74</v>
      </c>
      <c r="P211" t="s">
        <v>74</v>
      </c>
      <c r="Q211" t="s">
        <v>74</v>
      </c>
      <c r="R211" t="s">
        <v>74</v>
      </c>
      <c r="S211" t="s">
        <v>74</v>
      </c>
      <c r="T211" t="s">
        <v>74</v>
      </c>
      <c r="U211" t="s">
        <v>4187</v>
      </c>
      <c r="V211" t="s">
        <v>4188</v>
      </c>
      <c r="W211" t="s">
        <v>4189</v>
      </c>
      <c r="X211" t="s">
        <v>4190</v>
      </c>
      <c r="Y211" t="s">
        <v>4191</v>
      </c>
      <c r="Z211" t="s">
        <v>4192</v>
      </c>
      <c r="AA211" t="s">
        <v>4193</v>
      </c>
      <c r="AB211" t="s">
        <v>4194</v>
      </c>
      <c r="AC211" t="s">
        <v>4195</v>
      </c>
      <c r="AD211" t="s">
        <v>4196</v>
      </c>
      <c r="AE211" t="s">
        <v>4197</v>
      </c>
      <c r="AF211" t="s">
        <v>74</v>
      </c>
      <c r="AG211">
        <v>18</v>
      </c>
      <c r="AH211">
        <v>14</v>
      </c>
      <c r="AI211">
        <v>16</v>
      </c>
      <c r="AJ211">
        <v>0</v>
      </c>
      <c r="AK211">
        <v>8</v>
      </c>
      <c r="AL211" t="s">
        <v>226</v>
      </c>
      <c r="AM211" t="s">
        <v>227</v>
      </c>
      <c r="AN211" t="s">
        <v>228</v>
      </c>
      <c r="AO211" t="s">
        <v>731</v>
      </c>
      <c r="AP211" t="s">
        <v>732</v>
      </c>
      <c r="AQ211" t="s">
        <v>74</v>
      </c>
      <c r="AR211" t="s">
        <v>733</v>
      </c>
      <c r="AS211" t="s">
        <v>734</v>
      </c>
      <c r="AT211" t="s">
        <v>4178</v>
      </c>
      <c r="AU211">
        <v>2009</v>
      </c>
      <c r="AV211">
        <v>36</v>
      </c>
      <c r="AW211" t="s">
        <v>74</v>
      </c>
      <c r="AX211" t="s">
        <v>74</v>
      </c>
      <c r="AY211" t="s">
        <v>74</v>
      </c>
      <c r="AZ211" t="s">
        <v>74</v>
      </c>
      <c r="BA211" t="s">
        <v>74</v>
      </c>
      <c r="BB211" t="s">
        <v>74</v>
      </c>
      <c r="BC211" t="s">
        <v>74</v>
      </c>
      <c r="BD211" t="s">
        <v>4198</v>
      </c>
      <c r="BE211" t="s">
        <v>4199</v>
      </c>
      <c r="BF211" t="str">
        <f>HYPERLINK("http://dx.doi.org/10.1029/2009GL040697","http://dx.doi.org/10.1029/2009GL040697")</f>
        <v>http://dx.doi.org/10.1029/2009GL040697</v>
      </c>
      <c r="BG211" t="s">
        <v>74</v>
      </c>
      <c r="BH211" t="s">
        <v>74</v>
      </c>
      <c r="BI211">
        <v>5</v>
      </c>
      <c r="BJ211" t="s">
        <v>464</v>
      </c>
      <c r="BK211" t="s">
        <v>98</v>
      </c>
      <c r="BL211" t="s">
        <v>465</v>
      </c>
      <c r="BM211" t="s">
        <v>4181</v>
      </c>
      <c r="BN211" t="s">
        <v>74</v>
      </c>
      <c r="BO211" t="s">
        <v>263</v>
      </c>
      <c r="BP211" t="s">
        <v>74</v>
      </c>
      <c r="BQ211" t="s">
        <v>74</v>
      </c>
      <c r="BR211" t="s">
        <v>101</v>
      </c>
      <c r="BS211" t="s">
        <v>4200</v>
      </c>
      <c r="BT211" t="str">
        <f>HYPERLINK("https%3A%2F%2Fwww.webofscience.com%2Fwos%2Fwoscc%2Ffull-record%2FWOS:000271579600008","View Full Record in Web of Science")</f>
        <v>View Full Record in Web of Science</v>
      </c>
    </row>
    <row r="212" spans="1:72" x14ac:dyDescent="0.15">
      <c r="A212" t="s">
        <v>72</v>
      </c>
      <c r="B212" t="s">
        <v>4201</v>
      </c>
      <c r="C212" t="s">
        <v>74</v>
      </c>
      <c r="D212" t="s">
        <v>74</v>
      </c>
      <c r="E212" t="s">
        <v>74</v>
      </c>
      <c r="F212" t="s">
        <v>4202</v>
      </c>
      <c r="G212" t="s">
        <v>74</v>
      </c>
      <c r="H212" t="s">
        <v>74</v>
      </c>
      <c r="I212" t="s">
        <v>4203</v>
      </c>
      <c r="J212" t="s">
        <v>721</v>
      </c>
      <c r="K212" t="s">
        <v>74</v>
      </c>
      <c r="L212" t="s">
        <v>74</v>
      </c>
      <c r="M212" t="s">
        <v>78</v>
      </c>
      <c r="N212" t="s">
        <v>79</v>
      </c>
      <c r="O212" t="s">
        <v>74</v>
      </c>
      <c r="P212" t="s">
        <v>74</v>
      </c>
      <c r="Q212" t="s">
        <v>74</v>
      </c>
      <c r="R212" t="s">
        <v>74</v>
      </c>
      <c r="S212" t="s">
        <v>74</v>
      </c>
      <c r="T212" t="s">
        <v>74</v>
      </c>
      <c r="U212" t="s">
        <v>4204</v>
      </c>
      <c r="V212" t="s">
        <v>4205</v>
      </c>
      <c r="W212" t="s">
        <v>4206</v>
      </c>
      <c r="X212" t="s">
        <v>4207</v>
      </c>
      <c r="Y212" t="s">
        <v>4208</v>
      </c>
      <c r="Z212" t="s">
        <v>4209</v>
      </c>
      <c r="AA212" t="s">
        <v>74</v>
      </c>
      <c r="AB212" t="s">
        <v>4210</v>
      </c>
      <c r="AC212" t="s">
        <v>4211</v>
      </c>
      <c r="AD212" t="s">
        <v>4212</v>
      </c>
      <c r="AE212" t="s">
        <v>4213</v>
      </c>
      <c r="AF212" t="s">
        <v>74</v>
      </c>
      <c r="AG212">
        <v>40</v>
      </c>
      <c r="AH212">
        <v>28</v>
      </c>
      <c r="AI212">
        <v>31</v>
      </c>
      <c r="AJ212">
        <v>2</v>
      </c>
      <c r="AK212">
        <v>26</v>
      </c>
      <c r="AL212" t="s">
        <v>226</v>
      </c>
      <c r="AM212" t="s">
        <v>227</v>
      </c>
      <c r="AN212" t="s">
        <v>228</v>
      </c>
      <c r="AO212" t="s">
        <v>731</v>
      </c>
      <c r="AP212" t="s">
        <v>732</v>
      </c>
      <c r="AQ212" t="s">
        <v>74</v>
      </c>
      <c r="AR212" t="s">
        <v>733</v>
      </c>
      <c r="AS212" t="s">
        <v>734</v>
      </c>
      <c r="AT212" t="s">
        <v>4214</v>
      </c>
      <c r="AU212">
        <v>2009</v>
      </c>
      <c r="AV212">
        <v>36</v>
      </c>
      <c r="AW212" t="s">
        <v>74</v>
      </c>
      <c r="AX212" t="s">
        <v>74</v>
      </c>
      <c r="AY212" t="s">
        <v>74</v>
      </c>
      <c r="AZ212" t="s">
        <v>74</v>
      </c>
      <c r="BA212" t="s">
        <v>74</v>
      </c>
      <c r="BB212" t="s">
        <v>74</v>
      </c>
      <c r="BC212" t="s">
        <v>74</v>
      </c>
      <c r="BD212" t="s">
        <v>4215</v>
      </c>
      <c r="BE212" t="s">
        <v>4216</v>
      </c>
      <c r="BF212" t="str">
        <f>HYPERLINK("http://dx.doi.org/10.1029/2009GL040634","http://dx.doi.org/10.1029/2009GL040634")</f>
        <v>http://dx.doi.org/10.1029/2009GL040634</v>
      </c>
      <c r="BG212" t="s">
        <v>74</v>
      </c>
      <c r="BH212" t="s">
        <v>74</v>
      </c>
      <c r="BI212">
        <v>5</v>
      </c>
      <c r="BJ212" t="s">
        <v>464</v>
      </c>
      <c r="BK212" t="s">
        <v>98</v>
      </c>
      <c r="BL212" t="s">
        <v>465</v>
      </c>
      <c r="BM212" t="s">
        <v>4217</v>
      </c>
      <c r="BN212" t="s">
        <v>74</v>
      </c>
      <c r="BO212" t="s">
        <v>74</v>
      </c>
      <c r="BP212" t="s">
        <v>74</v>
      </c>
      <c r="BQ212" t="s">
        <v>74</v>
      </c>
      <c r="BR212" t="s">
        <v>101</v>
      </c>
      <c r="BS212" t="s">
        <v>4218</v>
      </c>
      <c r="BT212" t="str">
        <f>HYPERLINK("https%3A%2F%2Fwww.webofscience.com%2Fwos%2Fwoscc%2Ffull-record%2FWOS:000271579500008","View Full Record in Web of Science")</f>
        <v>View Full Record in Web of Science</v>
      </c>
    </row>
    <row r="213" spans="1:72" x14ac:dyDescent="0.15">
      <c r="A213" t="s">
        <v>72</v>
      </c>
      <c r="B213" t="s">
        <v>4219</v>
      </c>
      <c r="C213" t="s">
        <v>74</v>
      </c>
      <c r="D213" t="s">
        <v>74</v>
      </c>
      <c r="E213" t="s">
        <v>74</v>
      </c>
      <c r="F213" t="s">
        <v>4220</v>
      </c>
      <c r="G213" t="s">
        <v>74</v>
      </c>
      <c r="H213" t="s">
        <v>74</v>
      </c>
      <c r="I213" t="s">
        <v>4221</v>
      </c>
      <c r="J213" t="s">
        <v>395</v>
      </c>
      <c r="K213" t="s">
        <v>74</v>
      </c>
      <c r="L213" t="s">
        <v>74</v>
      </c>
      <c r="M213" t="s">
        <v>78</v>
      </c>
      <c r="N213" t="s">
        <v>79</v>
      </c>
      <c r="O213" t="s">
        <v>74</v>
      </c>
      <c r="P213" t="s">
        <v>74</v>
      </c>
      <c r="Q213" t="s">
        <v>74</v>
      </c>
      <c r="R213" t="s">
        <v>74</v>
      </c>
      <c r="S213" t="s">
        <v>74</v>
      </c>
      <c r="T213" t="s">
        <v>74</v>
      </c>
      <c r="U213" t="s">
        <v>4222</v>
      </c>
      <c r="V213" t="s">
        <v>4223</v>
      </c>
      <c r="W213" t="s">
        <v>4224</v>
      </c>
      <c r="X213" t="s">
        <v>4225</v>
      </c>
      <c r="Y213" t="s">
        <v>4226</v>
      </c>
      <c r="Z213" t="s">
        <v>4227</v>
      </c>
      <c r="AA213" t="s">
        <v>4228</v>
      </c>
      <c r="AB213" t="s">
        <v>74</v>
      </c>
      <c r="AC213" t="s">
        <v>74</v>
      </c>
      <c r="AD213" t="s">
        <v>74</v>
      </c>
      <c r="AE213" t="s">
        <v>74</v>
      </c>
      <c r="AF213" t="s">
        <v>74</v>
      </c>
      <c r="AG213">
        <v>38</v>
      </c>
      <c r="AH213">
        <v>3</v>
      </c>
      <c r="AI213">
        <v>6</v>
      </c>
      <c r="AJ213">
        <v>0</v>
      </c>
      <c r="AK213">
        <v>4</v>
      </c>
      <c r="AL213" t="s">
        <v>226</v>
      </c>
      <c r="AM213" t="s">
        <v>227</v>
      </c>
      <c r="AN213" t="s">
        <v>228</v>
      </c>
      <c r="AO213" t="s">
        <v>407</v>
      </c>
      <c r="AP213" t="s">
        <v>408</v>
      </c>
      <c r="AQ213" t="s">
        <v>74</v>
      </c>
      <c r="AR213" t="s">
        <v>409</v>
      </c>
      <c r="AS213" t="s">
        <v>410</v>
      </c>
      <c r="AT213" t="s">
        <v>4214</v>
      </c>
      <c r="AU213">
        <v>2009</v>
      </c>
      <c r="AV213">
        <v>114</v>
      </c>
      <c r="AW213" t="s">
        <v>74</v>
      </c>
      <c r="AX213" t="s">
        <v>74</v>
      </c>
      <c r="AY213" t="s">
        <v>74</v>
      </c>
      <c r="AZ213" t="s">
        <v>74</v>
      </c>
      <c r="BA213" t="s">
        <v>74</v>
      </c>
      <c r="BB213" t="s">
        <v>74</v>
      </c>
      <c r="BC213" t="s">
        <v>74</v>
      </c>
      <c r="BD213" t="s">
        <v>4229</v>
      </c>
      <c r="BE213" t="s">
        <v>4230</v>
      </c>
      <c r="BF213" t="str">
        <f>HYPERLINK("http://dx.doi.org/10.1029/2009JD011807","http://dx.doi.org/10.1029/2009JD011807")</f>
        <v>http://dx.doi.org/10.1029/2009JD011807</v>
      </c>
      <c r="BG213" t="s">
        <v>74</v>
      </c>
      <c r="BH213" t="s">
        <v>74</v>
      </c>
      <c r="BI213">
        <v>12</v>
      </c>
      <c r="BJ213" t="s">
        <v>413</v>
      </c>
      <c r="BK213" t="s">
        <v>98</v>
      </c>
      <c r="BL213" t="s">
        <v>413</v>
      </c>
      <c r="BM213" t="s">
        <v>4231</v>
      </c>
      <c r="BN213" t="s">
        <v>74</v>
      </c>
      <c r="BO213" t="s">
        <v>491</v>
      </c>
      <c r="BP213" t="s">
        <v>74</v>
      </c>
      <c r="BQ213" t="s">
        <v>74</v>
      </c>
      <c r="BR213" t="s">
        <v>101</v>
      </c>
      <c r="BS213" t="s">
        <v>4232</v>
      </c>
      <c r="BT213" t="str">
        <f>HYPERLINK("https%3A%2F%2Fwww.webofscience.com%2Fwos%2Fwoscc%2Ffull-record%2FWOS:000271580400002","View Full Record in Web of Science")</f>
        <v>View Full Record in Web of Science</v>
      </c>
    </row>
    <row r="214" spans="1:72" x14ac:dyDescent="0.15">
      <c r="A214" t="s">
        <v>72</v>
      </c>
      <c r="B214" t="s">
        <v>4233</v>
      </c>
      <c r="C214" t="s">
        <v>74</v>
      </c>
      <c r="D214" t="s">
        <v>74</v>
      </c>
      <c r="E214" t="s">
        <v>74</v>
      </c>
      <c r="F214" t="s">
        <v>4234</v>
      </c>
      <c r="G214" t="s">
        <v>74</v>
      </c>
      <c r="H214" t="s">
        <v>74</v>
      </c>
      <c r="I214" t="s">
        <v>4235</v>
      </c>
      <c r="J214" t="s">
        <v>4236</v>
      </c>
      <c r="K214" t="s">
        <v>74</v>
      </c>
      <c r="L214" t="s">
        <v>74</v>
      </c>
      <c r="M214" t="s">
        <v>78</v>
      </c>
      <c r="N214" t="s">
        <v>79</v>
      </c>
      <c r="O214" t="s">
        <v>74</v>
      </c>
      <c r="P214" t="s">
        <v>74</v>
      </c>
      <c r="Q214" t="s">
        <v>74</v>
      </c>
      <c r="R214" t="s">
        <v>74</v>
      </c>
      <c r="S214" t="s">
        <v>74</v>
      </c>
      <c r="T214" t="s">
        <v>74</v>
      </c>
      <c r="U214" t="s">
        <v>4237</v>
      </c>
      <c r="V214" t="s">
        <v>4238</v>
      </c>
      <c r="W214" t="s">
        <v>4239</v>
      </c>
      <c r="X214" t="s">
        <v>4240</v>
      </c>
      <c r="Y214" t="s">
        <v>4241</v>
      </c>
      <c r="Z214" t="s">
        <v>4242</v>
      </c>
      <c r="AA214" t="s">
        <v>4243</v>
      </c>
      <c r="AB214" t="s">
        <v>4244</v>
      </c>
      <c r="AC214" t="s">
        <v>4245</v>
      </c>
      <c r="AD214" t="s">
        <v>4246</v>
      </c>
      <c r="AE214" t="s">
        <v>4247</v>
      </c>
      <c r="AF214" t="s">
        <v>74</v>
      </c>
      <c r="AG214">
        <v>26</v>
      </c>
      <c r="AH214">
        <v>299</v>
      </c>
      <c r="AI214">
        <v>341</v>
      </c>
      <c r="AJ214">
        <v>5</v>
      </c>
      <c r="AK214">
        <v>127</v>
      </c>
      <c r="AL214" t="s">
        <v>4248</v>
      </c>
      <c r="AM214" t="s">
        <v>227</v>
      </c>
      <c r="AN214" t="s">
        <v>4249</v>
      </c>
      <c r="AO214" t="s">
        <v>4250</v>
      </c>
      <c r="AP214" t="s">
        <v>74</v>
      </c>
      <c r="AQ214" t="s">
        <v>74</v>
      </c>
      <c r="AR214" t="s">
        <v>4236</v>
      </c>
      <c r="AS214" t="s">
        <v>4251</v>
      </c>
      <c r="AT214" t="s">
        <v>4214</v>
      </c>
      <c r="AU214">
        <v>2009</v>
      </c>
      <c r="AV214">
        <v>326</v>
      </c>
      <c r="AW214">
        <v>5954</v>
      </c>
      <c r="AX214" t="s">
        <v>74</v>
      </c>
      <c r="AY214" t="s">
        <v>74</v>
      </c>
      <c r="AZ214" t="s">
        <v>74</v>
      </c>
      <c r="BA214" t="s">
        <v>74</v>
      </c>
      <c r="BB214">
        <v>858</v>
      </c>
      <c r="BC214">
        <v>861</v>
      </c>
      <c r="BD214" t="s">
        <v>74</v>
      </c>
      <c r="BE214" t="s">
        <v>4252</v>
      </c>
      <c r="BF214" t="str">
        <f>HYPERLINK("http://dx.doi.org/10.1126/science.1179287","http://dx.doi.org/10.1126/science.1179287")</f>
        <v>http://dx.doi.org/10.1126/science.1179287</v>
      </c>
      <c r="BG214" t="s">
        <v>74</v>
      </c>
      <c r="BH214" t="s">
        <v>74</v>
      </c>
      <c r="BI214">
        <v>4</v>
      </c>
      <c r="BJ214" t="s">
        <v>388</v>
      </c>
      <c r="BK214" t="s">
        <v>98</v>
      </c>
      <c r="BL214" t="s">
        <v>389</v>
      </c>
      <c r="BM214" t="s">
        <v>4253</v>
      </c>
      <c r="BN214">
        <v>19892985</v>
      </c>
      <c r="BO214" t="s">
        <v>74</v>
      </c>
      <c r="BP214" t="s">
        <v>74</v>
      </c>
      <c r="BQ214" t="s">
        <v>74</v>
      </c>
      <c r="BR214" t="s">
        <v>101</v>
      </c>
      <c r="BS214" t="s">
        <v>4254</v>
      </c>
      <c r="BT214" t="str">
        <f>HYPERLINK("https%3A%2F%2Fwww.webofscience.com%2Fwos%2Fwoscc%2Ffull-record%2FWOS:000271468000045","View Full Record in Web of Science")</f>
        <v>View Full Record in Web of Science</v>
      </c>
    </row>
    <row r="215" spans="1:72" x14ac:dyDescent="0.15">
      <c r="A215" t="s">
        <v>72</v>
      </c>
      <c r="B215" t="s">
        <v>4255</v>
      </c>
      <c r="C215" t="s">
        <v>74</v>
      </c>
      <c r="D215" t="s">
        <v>74</v>
      </c>
      <c r="E215" t="s">
        <v>74</v>
      </c>
      <c r="F215" t="s">
        <v>4256</v>
      </c>
      <c r="G215" t="s">
        <v>74</v>
      </c>
      <c r="H215" t="s">
        <v>74</v>
      </c>
      <c r="I215" t="s">
        <v>4257</v>
      </c>
      <c r="J215" t="s">
        <v>1993</v>
      </c>
      <c r="K215" t="s">
        <v>74</v>
      </c>
      <c r="L215" t="s">
        <v>74</v>
      </c>
      <c r="M215" t="s">
        <v>78</v>
      </c>
      <c r="N215" t="s">
        <v>79</v>
      </c>
      <c r="O215" t="s">
        <v>74</v>
      </c>
      <c r="P215" t="s">
        <v>74</v>
      </c>
      <c r="Q215" t="s">
        <v>74</v>
      </c>
      <c r="R215" t="s">
        <v>74</v>
      </c>
      <c r="S215" t="s">
        <v>74</v>
      </c>
      <c r="T215" t="s">
        <v>4258</v>
      </c>
      <c r="U215" t="s">
        <v>4259</v>
      </c>
      <c r="V215" t="s">
        <v>4260</v>
      </c>
      <c r="W215" t="s">
        <v>4261</v>
      </c>
      <c r="X215" t="s">
        <v>2689</v>
      </c>
      <c r="Y215" t="s">
        <v>4262</v>
      </c>
      <c r="Z215" t="s">
        <v>168</v>
      </c>
      <c r="AA215" t="s">
        <v>74</v>
      </c>
      <c r="AB215" t="s">
        <v>74</v>
      </c>
      <c r="AC215" t="s">
        <v>169</v>
      </c>
      <c r="AD215" t="s">
        <v>170</v>
      </c>
      <c r="AE215" t="s">
        <v>4263</v>
      </c>
      <c r="AF215" t="s">
        <v>74</v>
      </c>
      <c r="AG215">
        <v>27</v>
      </c>
      <c r="AH215">
        <v>27</v>
      </c>
      <c r="AI215">
        <v>29</v>
      </c>
      <c r="AJ215">
        <v>0</v>
      </c>
      <c r="AK215">
        <v>9</v>
      </c>
      <c r="AL215" t="s">
        <v>683</v>
      </c>
      <c r="AM215" t="s">
        <v>684</v>
      </c>
      <c r="AN215" t="s">
        <v>1826</v>
      </c>
      <c r="AO215" t="s">
        <v>2005</v>
      </c>
      <c r="AP215" t="s">
        <v>2006</v>
      </c>
      <c r="AQ215" t="s">
        <v>74</v>
      </c>
      <c r="AR215" t="s">
        <v>2007</v>
      </c>
      <c r="AS215" t="s">
        <v>2008</v>
      </c>
      <c r="AT215" t="s">
        <v>4264</v>
      </c>
      <c r="AU215">
        <v>2009</v>
      </c>
      <c r="AV215">
        <v>45</v>
      </c>
      <c r="AW215">
        <v>5</v>
      </c>
      <c r="AX215" t="s">
        <v>74</v>
      </c>
      <c r="AY215" t="s">
        <v>74</v>
      </c>
      <c r="AZ215" t="s">
        <v>74</v>
      </c>
      <c r="BA215" t="s">
        <v>74</v>
      </c>
      <c r="BB215">
        <v>391</v>
      </c>
      <c r="BC215">
        <v>396</v>
      </c>
      <c r="BD215" t="s">
        <v>74</v>
      </c>
      <c r="BE215" t="s">
        <v>4265</v>
      </c>
      <c r="BF215" t="str">
        <f>HYPERLINK("http://dx.doi.org/10.1016/j.enzmictec.2009.07.002","http://dx.doi.org/10.1016/j.enzmictec.2009.07.002")</f>
        <v>http://dx.doi.org/10.1016/j.enzmictec.2009.07.002</v>
      </c>
      <c r="BG215" t="s">
        <v>74</v>
      </c>
      <c r="BH215" t="s">
        <v>74</v>
      </c>
      <c r="BI215">
        <v>6</v>
      </c>
      <c r="BJ215" t="s">
        <v>2011</v>
      </c>
      <c r="BK215" t="s">
        <v>98</v>
      </c>
      <c r="BL215" t="s">
        <v>2011</v>
      </c>
      <c r="BM215" t="s">
        <v>4266</v>
      </c>
      <c r="BN215" t="s">
        <v>74</v>
      </c>
      <c r="BO215" t="s">
        <v>74</v>
      </c>
      <c r="BP215" t="s">
        <v>74</v>
      </c>
      <c r="BQ215" t="s">
        <v>74</v>
      </c>
      <c r="BR215" t="s">
        <v>101</v>
      </c>
      <c r="BS215" t="s">
        <v>4267</v>
      </c>
      <c r="BT215" t="str">
        <f>HYPERLINK("https%3A%2F%2Fwww.webofscience.com%2Fwos%2Fwoscc%2Ffull-record%2FWOS:000270493200009","View Full Record in Web of Science")</f>
        <v>View Full Record in Web of Science</v>
      </c>
    </row>
    <row r="216" spans="1:72" x14ac:dyDescent="0.15">
      <c r="A216" t="s">
        <v>72</v>
      </c>
      <c r="B216" t="s">
        <v>4268</v>
      </c>
      <c r="C216" t="s">
        <v>74</v>
      </c>
      <c r="D216" t="s">
        <v>74</v>
      </c>
      <c r="E216" t="s">
        <v>74</v>
      </c>
      <c r="F216" t="s">
        <v>4269</v>
      </c>
      <c r="G216" t="s">
        <v>74</v>
      </c>
      <c r="H216" t="s">
        <v>74</v>
      </c>
      <c r="I216" t="s">
        <v>4270</v>
      </c>
      <c r="J216" t="s">
        <v>721</v>
      </c>
      <c r="K216" t="s">
        <v>74</v>
      </c>
      <c r="L216" t="s">
        <v>74</v>
      </c>
      <c r="M216" t="s">
        <v>78</v>
      </c>
      <c r="N216" t="s">
        <v>79</v>
      </c>
      <c r="O216" t="s">
        <v>74</v>
      </c>
      <c r="P216" t="s">
        <v>74</v>
      </c>
      <c r="Q216" t="s">
        <v>74</v>
      </c>
      <c r="R216" t="s">
        <v>74</v>
      </c>
      <c r="S216" t="s">
        <v>74</v>
      </c>
      <c r="T216" t="s">
        <v>74</v>
      </c>
      <c r="U216" t="s">
        <v>4271</v>
      </c>
      <c r="V216" t="s">
        <v>4272</v>
      </c>
      <c r="W216" t="s">
        <v>4273</v>
      </c>
      <c r="X216" t="s">
        <v>4274</v>
      </c>
      <c r="Y216" t="s">
        <v>4275</v>
      </c>
      <c r="Z216" t="s">
        <v>4276</v>
      </c>
      <c r="AA216" t="s">
        <v>4277</v>
      </c>
      <c r="AB216" t="s">
        <v>4278</v>
      </c>
      <c r="AC216" t="s">
        <v>4279</v>
      </c>
      <c r="AD216" t="s">
        <v>4280</v>
      </c>
      <c r="AE216" t="s">
        <v>4281</v>
      </c>
      <c r="AF216" t="s">
        <v>74</v>
      </c>
      <c r="AG216">
        <v>25</v>
      </c>
      <c r="AH216">
        <v>39</v>
      </c>
      <c r="AI216">
        <v>39</v>
      </c>
      <c r="AJ216">
        <v>0</v>
      </c>
      <c r="AK216">
        <v>7</v>
      </c>
      <c r="AL216" t="s">
        <v>226</v>
      </c>
      <c r="AM216" t="s">
        <v>227</v>
      </c>
      <c r="AN216" t="s">
        <v>228</v>
      </c>
      <c r="AO216" t="s">
        <v>731</v>
      </c>
      <c r="AP216" t="s">
        <v>732</v>
      </c>
      <c r="AQ216" t="s">
        <v>74</v>
      </c>
      <c r="AR216" t="s">
        <v>733</v>
      </c>
      <c r="AS216" t="s">
        <v>734</v>
      </c>
      <c r="AT216" t="s">
        <v>4264</v>
      </c>
      <c r="AU216">
        <v>2009</v>
      </c>
      <c r="AV216">
        <v>36</v>
      </c>
      <c r="AW216" t="s">
        <v>74</v>
      </c>
      <c r="AX216" t="s">
        <v>74</v>
      </c>
      <c r="AY216" t="s">
        <v>74</v>
      </c>
      <c r="AZ216" t="s">
        <v>74</v>
      </c>
      <c r="BA216" t="s">
        <v>74</v>
      </c>
      <c r="BB216" t="s">
        <v>74</v>
      </c>
      <c r="BC216" t="s">
        <v>74</v>
      </c>
      <c r="BD216" t="s">
        <v>4282</v>
      </c>
      <c r="BE216" t="s">
        <v>4283</v>
      </c>
      <c r="BF216" t="str">
        <f>HYPERLINK("http://dx.doi.org/10.1029/2009GL040621","http://dx.doi.org/10.1029/2009GL040621")</f>
        <v>http://dx.doi.org/10.1029/2009GL040621</v>
      </c>
      <c r="BG216" t="s">
        <v>74</v>
      </c>
      <c r="BH216" t="s">
        <v>74</v>
      </c>
      <c r="BI216">
        <v>4</v>
      </c>
      <c r="BJ216" t="s">
        <v>464</v>
      </c>
      <c r="BK216" t="s">
        <v>98</v>
      </c>
      <c r="BL216" t="s">
        <v>465</v>
      </c>
      <c r="BM216" t="s">
        <v>4284</v>
      </c>
      <c r="BN216" t="s">
        <v>74</v>
      </c>
      <c r="BO216" t="s">
        <v>3849</v>
      </c>
      <c r="BP216" t="s">
        <v>74</v>
      </c>
      <c r="BQ216" t="s">
        <v>74</v>
      </c>
      <c r="BR216" t="s">
        <v>101</v>
      </c>
      <c r="BS216" t="s">
        <v>4285</v>
      </c>
      <c r="BT216" t="str">
        <f>HYPERLINK("https%3A%2F%2Fwww.webofscience.com%2Fwos%2Fwoscc%2Ffull-record%2FWOS:000271579400006","View Full Record in Web of Science")</f>
        <v>View Full Record in Web of Science</v>
      </c>
    </row>
    <row r="217" spans="1:72" x14ac:dyDescent="0.15">
      <c r="A217" t="s">
        <v>72</v>
      </c>
      <c r="B217" t="s">
        <v>4286</v>
      </c>
      <c r="C217" t="s">
        <v>74</v>
      </c>
      <c r="D217" t="s">
        <v>74</v>
      </c>
      <c r="E217" t="s">
        <v>74</v>
      </c>
      <c r="F217" t="s">
        <v>4287</v>
      </c>
      <c r="G217" t="s">
        <v>74</v>
      </c>
      <c r="H217" t="s">
        <v>74</v>
      </c>
      <c r="I217" t="s">
        <v>4288</v>
      </c>
      <c r="J217" t="s">
        <v>4289</v>
      </c>
      <c r="K217" t="s">
        <v>74</v>
      </c>
      <c r="L217" t="s">
        <v>74</v>
      </c>
      <c r="M217" t="s">
        <v>78</v>
      </c>
      <c r="N217" t="s">
        <v>79</v>
      </c>
      <c r="O217" t="s">
        <v>74</v>
      </c>
      <c r="P217" t="s">
        <v>74</v>
      </c>
      <c r="Q217" t="s">
        <v>74</v>
      </c>
      <c r="R217" t="s">
        <v>74</v>
      </c>
      <c r="S217" t="s">
        <v>74</v>
      </c>
      <c r="T217" t="s">
        <v>74</v>
      </c>
      <c r="U217" t="s">
        <v>4290</v>
      </c>
      <c r="V217" t="s">
        <v>4291</v>
      </c>
      <c r="W217" t="s">
        <v>4292</v>
      </c>
      <c r="X217" t="s">
        <v>4293</v>
      </c>
      <c r="Y217" t="s">
        <v>4294</v>
      </c>
      <c r="Z217" t="s">
        <v>4295</v>
      </c>
      <c r="AA217" t="s">
        <v>4296</v>
      </c>
      <c r="AB217" t="s">
        <v>4297</v>
      </c>
      <c r="AC217" t="s">
        <v>4298</v>
      </c>
      <c r="AD217" t="s">
        <v>4299</v>
      </c>
      <c r="AE217" t="s">
        <v>4300</v>
      </c>
      <c r="AF217" t="s">
        <v>74</v>
      </c>
      <c r="AG217">
        <v>81</v>
      </c>
      <c r="AH217">
        <v>42</v>
      </c>
      <c r="AI217">
        <v>45</v>
      </c>
      <c r="AJ217">
        <v>0</v>
      </c>
      <c r="AK217">
        <v>34</v>
      </c>
      <c r="AL217" t="s">
        <v>226</v>
      </c>
      <c r="AM217" t="s">
        <v>227</v>
      </c>
      <c r="AN217" t="s">
        <v>228</v>
      </c>
      <c r="AO217" t="s">
        <v>4301</v>
      </c>
      <c r="AP217" t="s">
        <v>4302</v>
      </c>
      <c r="AQ217" t="s">
        <v>74</v>
      </c>
      <c r="AR217" t="s">
        <v>4303</v>
      </c>
      <c r="AS217" t="s">
        <v>4304</v>
      </c>
      <c r="AT217" t="s">
        <v>4264</v>
      </c>
      <c r="AU217">
        <v>2009</v>
      </c>
      <c r="AV217">
        <v>114</v>
      </c>
      <c r="AW217" t="s">
        <v>74</v>
      </c>
      <c r="AX217" t="s">
        <v>74</v>
      </c>
      <c r="AY217" t="s">
        <v>74</v>
      </c>
      <c r="AZ217" t="s">
        <v>74</v>
      </c>
      <c r="BA217" t="s">
        <v>74</v>
      </c>
      <c r="BB217" t="s">
        <v>74</v>
      </c>
      <c r="BC217" t="s">
        <v>74</v>
      </c>
      <c r="BD217" t="s">
        <v>4305</v>
      </c>
      <c r="BE217" t="s">
        <v>4306</v>
      </c>
      <c r="BF217" t="str">
        <f>HYPERLINK("http://dx.doi.org/10.1029/2008JG000818","http://dx.doi.org/10.1029/2008JG000818")</f>
        <v>http://dx.doi.org/10.1029/2008JG000818</v>
      </c>
      <c r="BG217" t="s">
        <v>74</v>
      </c>
      <c r="BH217" t="s">
        <v>74</v>
      </c>
      <c r="BI217">
        <v>20</v>
      </c>
      <c r="BJ217" t="s">
        <v>4307</v>
      </c>
      <c r="BK217" t="s">
        <v>98</v>
      </c>
      <c r="BL217" t="s">
        <v>4308</v>
      </c>
      <c r="BM217" t="s">
        <v>4309</v>
      </c>
      <c r="BN217" t="s">
        <v>74</v>
      </c>
      <c r="BO217" t="s">
        <v>263</v>
      </c>
      <c r="BP217" t="s">
        <v>74</v>
      </c>
      <c r="BQ217" t="s">
        <v>74</v>
      </c>
      <c r="BR217" t="s">
        <v>101</v>
      </c>
      <c r="BS217" t="s">
        <v>4310</v>
      </c>
      <c r="BT217" t="str">
        <f>HYPERLINK("https%3A%2F%2Fwww.webofscience.com%2Fwos%2Fwoscc%2Ffull-record%2FWOS:000271580900001","View Full Record in Web of Science")</f>
        <v>View Full Record in Web of Science</v>
      </c>
    </row>
    <row r="218" spans="1:72" x14ac:dyDescent="0.15">
      <c r="A218" t="s">
        <v>72</v>
      </c>
      <c r="B218" t="s">
        <v>4311</v>
      </c>
      <c r="C218" t="s">
        <v>74</v>
      </c>
      <c r="D218" t="s">
        <v>74</v>
      </c>
      <c r="E218" t="s">
        <v>74</v>
      </c>
      <c r="F218" t="s">
        <v>4312</v>
      </c>
      <c r="G218" t="s">
        <v>74</v>
      </c>
      <c r="H218" t="s">
        <v>74</v>
      </c>
      <c r="I218" t="s">
        <v>4313</v>
      </c>
      <c r="J218" t="s">
        <v>4314</v>
      </c>
      <c r="K218" t="s">
        <v>74</v>
      </c>
      <c r="L218" t="s">
        <v>74</v>
      </c>
      <c r="M218" t="s">
        <v>78</v>
      </c>
      <c r="N218" t="s">
        <v>79</v>
      </c>
      <c r="O218" t="s">
        <v>74</v>
      </c>
      <c r="P218" t="s">
        <v>74</v>
      </c>
      <c r="Q218" t="s">
        <v>74</v>
      </c>
      <c r="R218" t="s">
        <v>74</v>
      </c>
      <c r="S218" t="s">
        <v>74</v>
      </c>
      <c r="T218" t="s">
        <v>74</v>
      </c>
      <c r="U218" t="s">
        <v>4315</v>
      </c>
      <c r="V218" t="s">
        <v>4316</v>
      </c>
      <c r="W218" t="s">
        <v>4317</v>
      </c>
      <c r="X218" t="s">
        <v>4318</v>
      </c>
      <c r="Y218" t="s">
        <v>4319</v>
      </c>
      <c r="Z218" t="s">
        <v>4320</v>
      </c>
      <c r="AA218" t="s">
        <v>4321</v>
      </c>
      <c r="AB218" t="s">
        <v>4322</v>
      </c>
      <c r="AC218" t="s">
        <v>4323</v>
      </c>
      <c r="AD218" t="s">
        <v>4324</v>
      </c>
      <c r="AE218" t="s">
        <v>4325</v>
      </c>
      <c r="AF218" t="s">
        <v>74</v>
      </c>
      <c r="AG218">
        <v>81</v>
      </c>
      <c r="AH218">
        <v>55</v>
      </c>
      <c r="AI218">
        <v>67</v>
      </c>
      <c r="AJ218">
        <v>1</v>
      </c>
      <c r="AK218">
        <v>47</v>
      </c>
      <c r="AL218" t="s">
        <v>887</v>
      </c>
      <c r="AM218" t="s">
        <v>227</v>
      </c>
      <c r="AN218" t="s">
        <v>888</v>
      </c>
      <c r="AO218" t="s">
        <v>4326</v>
      </c>
      <c r="AP218" t="s">
        <v>74</v>
      </c>
      <c r="AQ218" t="s">
        <v>74</v>
      </c>
      <c r="AR218" t="s">
        <v>4327</v>
      </c>
      <c r="AS218" t="s">
        <v>4328</v>
      </c>
      <c r="AT218" t="s">
        <v>4329</v>
      </c>
      <c r="AU218">
        <v>2009</v>
      </c>
      <c r="AV218">
        <v>131</v>
      </c>
      <c r="AW218">
        <v>43</v>
      </c>
      <c r="AX218" t="s">
        <v>74</v>
      </c>
      <c r="AY218" t="s">
        <v>74</v>
      </c>
      <c r="AZ218" t="s">
        <v>74</v>
      </c>
      <c r="BA218" t="s">
        <v>74</v>
      </c>
      <c r="BB218">
        <v>15745</v>
      </c>
      <c r="BC218">
        <v>15753</v>
      </c>
      <c r="BD218" t="s">
        <v>74</v>
      </c>
      <c r="BE218" t="s">
        <v>4330</v>
      </c>
      <c r="BF218" t="str">
        <f>HYPERLINK("http://dx.doi.org/10.1021/ja904169a","http://dx.doi.org/10.1021/ja904169a")</f>
        <v>http://dx.doi.org/10.1021/ja904169a</v>
      </c>
      <c r="BG218" t="s">
        <v>74</v>
      </c>
      <c r="BH218" t="s">
        <v>74</v>
      </c>
      <c r="BI218">
        <v>9</v>
      </c>
      <c r="BJ218" t="s">
        <v>4331</v>
      </c>
      <c r="BK218" t="s">
        <v>896</v>
      </c>
      <c r="BL218" t="s">
        <v>715</v>
      </c>
      <c r="BM218" t="s">
        <v>4332</v>
      </c>
      <c r="BN218">
        <v>19824639</v>
      </c>
      <c r="BO218" t="s">
        <v>74</v>
      </c>
      <c r="BP218" t="s">
        <v>74</v>
      </c>
      <c r="BQ218" t="s">
        <v>74</v>
      </c>
      <c r="BR218" t="s">
        <v>101</v>
      </c>
      <c r="BS218" t="s">
        <v>4333</v>
      </c>
      <c r="BT218" t="str">
        <f>HYPERLINK("https%3A%2F%2Fwww.webofscience.com%2Fwos%2Fwoscc%2Ffull-record%2FWOS:000271513600045","View Full Record in Web of Science")</f>
        <v>View Full Record in Web of Science</v>
      </c>
    </row>
    <row r="219" spans="1:72" x14ac:dyDescent="0.15">
      <c r="A219" t="s">
        <v>72</v>
      </c>
      <c r="B219" t="s">
        <v>4334</v>
      </c>
      <c r="C219" t="s">
        <v>74</v>
      </c>
      <c r="D219" t="s">
        <v>74</v>
      </c>
      <c r="E219" t="s">
        <v>74</v>
      </c>
      <c r="F219" t="s">
        <v>4335</v>
      </c>
      <c r="G219" t="s">
        <v>74</v>
      </c>
      <c r="H219" t="s">
        <v>74</v>
      </c>
      <c r="I219" t="s">
        <v>4336</v>
      </c>
      <c r="J219" t="s">
        <v>447</v>
      </c>
      <c r="K219" t="s">
        <v>74</v>
      </c>
      <c r="L219" t="s">
        <v>74</v>
      </c>
      <c r="M219" t="s">
        <v>78</v>
      </c>
      <c r="N219" t="s">
        <v>79</v>
      </c>
      <c r="O219" t="s">
        <v>74</v>
      </c>
      <c r="P219" t="s">
        <v>74</v>
      </c>
      <c r="Q219" t="s">
        <v>74</v>
      </c>
      <c r="R219" t="s">
        <v>74</v>
      </c>
      <c r="S219" t="s">
        <v>74</v>
      </c>
      <c r="T219" t="s">
        <v>74</v>
      </c>
      <c r="U219" t="s">
        <v>4337</v>
      </c>
      <c r="V219" t="s">
        <v>4338</v>
      </c>
      <c r="W219" t="s">
        <v>4339</v>
      </c>
      <c r="X219" t="s">
        <v>4340</v>
      </c>
      <c r="Y219" t="s">
        <v>4341</v>
      </c>
      <c r="Z219" t="s">
        <v>4342</v>
      </c>
      <c r="AA219" t="s">
        <v>74</v>
      </c>
      <c r="AB219" t="s">
        <v>4343</v>
      </c>
      <c r="AC219" t="s">
        <v>4344</v>
      </c>
      <c r="AD219" t="s">
        <v>4345</v>
      </c>
      <c r="AE219" t="s">
        <v>4346</v>
      </c>
      <c r="AF219" t="s">
        <v>74</v>
      </c>
      <c r="AG219">
        <v>25</v>
      </c>
      <c r="AH219">
        <v>12</v>
      </c>
      <c r="AI219">
        <v>16</v>
      </c>
      <c r="AJ219">
        <v>0</v>
      </c>
      <c r="AK219">
        <v>17</v>
      </c>
      <c r="AL219" t="s">
        <v>226</v>
      </c>
      <c r="AM219" t="s">
        <v>227</v>
      </c>
      <c r="AN219" t="s">
        <v>228</v>
      </c>
      <c r="AO219" t="s">
        <v>458</v>
      </c>
      <c r="AP219" t="s">
        <v>459</v>
      </c>
      <c r="AQ219" t="s">
        <v>74</v>
      </c>
      <c r="AR219" t="s">
        <v>460</v>
      </c>
      <c r="AS219" t="s">
        <v>461</v>
      </c>
      <c r="AT219" t="s">
        <v>4347</v>
      </c>
      <c r="AU219">
        <v>2009</v>
      </c>
      <c r="AV219">
        <v>114</v>
      </c>
      <c r="AW219" t="s">
        <v>74</v>
      </c>
      <c r="AX219" t="s">
        <v>74</v>
      </c>
      <c r="AY219" t="s">
        <v>74</v>
      </c>
      <c r="AZ219" t="s">
        <v>74</v>
      </c>
      <c r="BA219" t="s">
        <v>74</v>
      </c>
      <c r="BB219" t="s">
        <v>74</v>
      </c>
      <c r="BC219" t="s">
        <v>74</v>
      </c>
      <c r="BD219" t="s">
        <v>4348</v>
      </c>
      <c r="BE219" t="s">
        <v>4349</v>
      </c>
      <c r="BF219" t="str">
        <f>HYPERLINK("http://dx.doi.org/10.1029/2009JF001331","http://dx.doi.org/10.1029/2009JF001331")</f>
        <v>http://dx.doi.org/10.1029/2009JF001331</v>
      </c>
      <c r="BG219" t="s">
        <v>74</v>
      </c>
      <c r="BH219" t="s">
        <v>74</v>
      </c>
      <c r="BI219">
        <v>7</v>
      </c>
      <c r="BJ219" t="s">
        <v>464</v>
      </c>
      <c r="BK219" t="s">
        <v>98</v>
      </c>
      <c r="BL219" t="s">
        <v>465</v>
      </c>
      <c r="BM219" t="s">
        <v>4350</v>
      </c>
      <c r="BN219" t="s">
        <v>74</v>
      </c>
      <c r="BO219" t="s">
        <v>263</v>
      </c>
      <c r="BP219" t="s">
        <v>74</v>
      </c>
      <c r="BQ219" t="s">
        <v>74</v>
      </c>
      <c r="BR219" t="s">
        <v>101</v>
      </c>
      <c r="BS219" t="s">
        <v>4351</v>
      </c>
      <c r="BT219" t="str">
        <f>HYPERLINK("https%3A%2F%2Fwww.webofscience.com%2Fwos%2Fwoscc%2Ffull-record%2FWOS:000271581000004","View Full Record in Web of Science")</f>
        <v>View Full Record in Web of Science</v>
      </c>
    </row>
    <row r="220" spans="1:72" x14ac:dyDescent="0.15">
      <c r="A220" t="s">
        <v>72</v>
      </c>
      <c r="B220" t="s">
        <v>4352</v>
      </c>
      <c r="C220" t="s">
        <v>74</v>
      </c>
      <c r="D220" t="s">
        <v>74</v>
      </c>
      <c r="E220" t="s">
        <v>74</v>
      </c>
      <c r="F220" t="s">
        <v>4353</v>
      </c>
      <c r="G220" t="s">
        <v>74</v>
      </c>
      <c r="H220" t="s">
        <v>74</v>
      </c>
      <c r="I220" t="s">
        <v>4354</v>
      </c>
      <c r="J220" t="s">
        <v>447</v>
      </c>
      <c r="K220" t="s">
        <v>74</v>
      </c>
      <c r="L220" t="s">
        <v>74</v>
      </c>
      <c r="M220" t="s">
        <v>78</v>
      </c>
      <c r="N220" t="s">
        <v>79</v>
      </c>
      <c r="O220" t="s">
        <v>74</v>
      </c>
      <c r="P220" t="s">
        <v>74</v>
      </c>
      <c r="Q220" t="s">
        <v>74</v>
      </c>
      <c r="R220" t="s">
        <v>74</v>
      </c>
      <c r="S220" t="s">
        <v>74</v>
      </c>
      <c r="T220" t="s">
        <v>74</v>
      </c>
      <c r="U220" t="s">
        <v>4355</v>
      </c>
      <c r="V220" t="s">
        <v>4356</v>
      </c>
      <c r="W220" t="s">
        <v>4357</v>
      </c>
      <c r="X220" t="s">
        <v>4358</v>
      </c>
      <c r="Y220" t="s">
        <v>4341</v>
      </c>
      <c r="Z220" t="s">
        <v>4359</v>
      </c>
      <c r="AA220" t="s">
        <v>4360</v>
      </c>
      <c r="AB220" t="s">
        <v>4361</v>
      </c>
      <c r="AC220" t="s">
        <v>4344</v>
      </c>
      <c r="AD220" t="s">
        <v>4345</v>
      </c>
      <c r="AE220" t="s">
        <v>4362</v>
      </c>
      <c r="AF220" t="s">
        <v>74</v>
      </c>
      <c r="AG220">
        <v>37</v>
      </c>
      <c r="AH220">
        <v>24</v>
      </c>
      <c r="AI220">
        <v>29</v>
      </c>
      <c r="AJ220">
        <v>0</v>
      </c>
      <c r="AK220">
        <v>20</v>
      </c>
      <c r="AL220" t="s">
        <v>226</v>
      </c>
      <c r="AM220" t="s">
        <v>227</v>
      </c>
      <c r="AN220" t="s">
        <v>228</v>
      </c>
      <c r="AO220" t="s">
        <v>458</v>
      </c>
      <c r="AP220" t="s">
        <v>459</v>
      </c>
      <c r="AQ220" t="s">
        <v>74</v>
      </c>
      <c r="AR220" t="s">
        <v>460</v>
      </c>
      <c r="AS220" t="s">
        <v>461</v>
      </c>
      <c r="AT220" t="s">
        <v>4347</v>
      </c>
      <c r="AU220">
        <v>2009</v>
      </c>
      <c r="AV220">
        <v>114</v>
      </c>
      <c r="AW220" t="s">
        <v>74</v>
      </c>
      <c r="AX220" t="s">
        <v>74</v>
      </c>
      <c r="AY220" t="s">
        <v>74</v>
      </c>
      <c r="AZ220" t="s">
        <v>74</v>
      </c>
      <c r="BA220" t="s">
        <v>74</v>
      </c>
      <c r="BB220" t="s">
        <v>74</v>
      </c>
      <c r="BC220" t="s">
        <v>74</v>
      </c>
      <c r="BD220" t="s">
        <v>4363</v>
      </c>
      <c r="BE220" t="s">
        <v>4364</v>
      </c>
      <c r="BF220" t="str">
        <f>HYPERLINK("http://dx.doi.org/10.1029/2009JF001309","http://dx.doi.org/10.1029/2009JF001309")</f>
        <v>http://dx.doi.org/10.1029/2009JF001309</v>
      </c>
      <c r="BG220" t="s">
        <v>74</v>
      </c>
      <c r="BH220" t="s">
        <v>74</v>
      </c>
      <c r="BI220">
        <v>15</v>
      </c>
      <c r="BJ220" t="s">
        <v>464</v>
      </c>
      <c r="BK220" t="s">
        <v>98</v>
      </c>
      <c r="BL220" t="s">
        <v>465</v>
      </c>
      <c r="BM220" t="s">
        <v>4350</v>
      </c>
      <c r="BN220" t="s">
        <v>74</v>
      </c>
      <c r="BO220" t="s">
        <v>239</v>
      </c>
      <c r="BP220" t="s">
        <v>74</v>
      </c>
      <c r="BQ220" t="s">
        <v>74</v>
      </c>
      <c r="BR220" t="s">
        <v>101</v>
      </c>
      <c r="BS220" t="s">
        <v>4365</v>
      </c>
      <c r="BT220" t="str">
        <f>HYPERLINK("https%3A%2F%2Fwww.webofscience.com%2Fwos%2Fwoscc%2Ffull-record%2FWOS:000271581000002","View Full Record in Web of Science")</f>
        <v>View Full Record in Web of Science</v>
      </c>
    </row>
    <row r="221" spans="1:72" x14ac:dyDescent="0.15">
      <c r="A221" t="s">
        <v>72</v>
      </c>
      <c r="B221" t="s">
        <v>4366</v>
      </c>
      <c r="C221" t="s">
        <v>74</v>
      </c>
      <c r="D221" t="s">
        <v>74</v>
      </c>
      <c r="E221" t="s">
        <v>74</v>
      </c>
      <c r="F221" t="s">
        <v>4367</v>
      </c>
      <c r="G221" t="s">
        <v>74</v>
      </c>
      <c r="H221" t="s">
        <v>74</v>
      </c>
      <c r="I221" t="s">
        <v>4368</v>
      </c>
      <c r="J221" t="s">
        <v>4369</v>
      </c>
      <c r="K221" t="s">
        <v>74</v>
      </c>
      <c r="L221" t="s">
        <v>74</v>
      </c>
      <c r="M221" t="s">
        <v>78</v>
      </c>
      <c r="N221" t="s">
        <v>79</v>
      </c>
      <c r="O221" t="s">
        <v>74</v>
      </c>
      <c r="P221" t="s">
        <v>74</v>
      </c>
      <c r="Q221" t="s">
        <v>74</v>
      </c>
      <c r="R221" t="s">
        <v>74</v>
      </c>
      <c r="S221" t="s">
        <v>74</v>
      </c>
      <c r="T221" t="s">
        <v>4370</v>
      </c>
      <c r="U221" t="s">
        <v>4371</v>
      </c>
      <c r="V221" t="s">
        <v>4372</v>
      </c>
      <c r="W221" t="s">
        <v>4373</v>
      </c>
      <c r="X221" t="s">
        <v>4374</v>
      </c>
      <c r="Y221" t="s">
        <v>4375</v>
      </c>
      <c r="Z221" t="s">
        <v>4376</v>
      </c>
      <c r="AA221" t="s">
        <v>4377</v>
      </c>
      <c r="AB221" t="s">
        <v>4378</v>
      </c>
      <c r="AC221" t="s">
        <v>4379</v>
      </c>
      <c r="AD221" t="s">
        <v>4380</v>
      </c>
      <c r="AE221" t="s">
        <v>4381</v>
      </c>
      <c r="AF221" t="s">
        <v>74</v>
      </c>
      <c r="AG221">
        <v>27</v>
      </c>
      <c r="AH221">
        <v>23</v>
      </c>
      <c r="AI221">
        <v>26</v>
      </c>
      <c r="AJ221">
        <v>2</v>
      </c>
      <c r="AK221">
        <v>28</v>
      </c>
      <c r="AL221" t="s">
        <v>2588</v>
      </c>
      <c r="AM221" t="s">
        <v>2589</v>
      </c>
      <c r="AN221" t="s">
        <v>2590</v>
      </c>
      <c r="AO221" t="s">
        <v>4382</v>
      </c>
      <c r="AP221" t="s">
        <v>4383</v>
      </c>
      <c r="AQ221" t="s">
        <v>74</v>
      </c>
      <c r="AR221" t="s">
        <v>4384</v>
      </c>
      <c r="AS221" t="s">
        <v>4385</v>
      </c>
      <c r="AT221" t="s">
        <v>4386</v>
      </c>
      <c r="AU221">
        <v>2009</v>
      </c>
      <c r="AV221">
        <v>31</v>
      </c>
      <c r="AW221">
        <v>6</v>
      </c>
      <c r="AX221" t="s">
        <v>74</v>
      </c>
      <c r="AY221" t="s">
        <v>74</v>
      </c>
      <c r="AZ221" t="s">
        <v>74</v>
      </c>
      <c r="BA221" t="s">
        <v>74</v>
      </c>
      <c r="BB221">
        <v>1097</v>
      </c>
      <c r="BC221">
        <v>1102</v>
      </c>
      <c r="BD221" t="s">
        <v>74</v>
      </c>
      <c r="BE221" t="s">
        <v>4387</v>
      </c>
      <c r="BF221" t="str">
        <f>HYPERLINK("http://dx.doi.org/10.1007/s11738-009-0271-x","http://dx.doi.org/10.1007/s11738-009-0271-x")</f>
        <v>http://dx.doi.org/10.1007/s11738-009-0271-x</v>
      </c>
      <c r="BG221" t="s">
        <v>74</v>
      </c>
      <c r="BH221" t="s">
        <v>74</v>
      </c>
      <c r="BI221">
        <v>6</v>
      </c>
      <c r="BJ221" t="s">
        <v>1527</v>
      </c>
      <c r="BK221" t="s">
        <v>98</v>
      </c>
      <c r="BL221" t="s">
        <v>1527</v>
      </c>
      <c r="BM221" t="s">
        <v>4388</v>
      </c>
      <c r="BN221" t="s">
        <v>74</v>
      </c>
      <c r="BO221" t="s">
        <v>74</v>
      </c>
      <c r="BP221" t="s">
        <v>74</v>
      </c>
      <c r="BQ221" t="s">
        <v>74</v>
      </c>
      <c r="BR221" t="s">
        <v>101</v>
      </c>
      <c r="BS221" t="s">
        <v>4389</v>
      </c>
      <c r="BT221" t="str">
        <f>HYPERLINK("https%3A%2F%2Fwww.webofscience.com%2Fwos%2Fwoscc%2Ffull-record%2FWOS:000271067900001","View Full Record in Web of Science")</f>
        <v>View Full Record in Web of Science</v>
      </c>
    </row>
    <row r="222" spans="1:72" x14ac:dyDescent="0.15">
      <c r="A222" t="s">
        <v>72</v>
      </c>
      <c r="B222" t="s">
        <v>4390</v>
      </c>
      <c r="C222" t="s">
        <v>74</v>
      </c>
      <c r="D222" t="s">
        <v>74</v>
      </c>
      <c r="E222" t="s">
        <v>74</v>
      </c>
      <c r="F222" t="s">
        <v>4391</v>
      </c>
      <c r="G222" t="s">
        <v>74</v>
      </c>
      <c r="H222" t="s">
        <v>74</v>
      </c>
      <c r="I222" t="s">
        <v>4392</v>
      </c>
      <c r="J222" t="s">
        <v>4393</v>
      </c>
      <c r="K222" t="s">
        <v>74</v>
      </c>
      <c r="L222" t="s">
        <v>74</v>
      </c>
      <c r="M222" t="s">
        <v>78</v>
      </c>
      <c r="N222" t="s">
        <v>297</v>
      </c>
      <c r="O222" t="s">
        <v>74</v>
      </c>
      <c r="P222" t="s">
        <v>74</v>
      </c>
      <c r="Q222" t="s">
        <v>74</v>
      </c>
      <c r="R222" t="s">
        <v>74</v>
      </c>
      <c r="S222" t="s">
        <v>74</v>
      </c>
      <c r="T222" t="s">
        <v>4394</v>
      </c>
      <c r="U222" t="s">
        <v>4395</v>
      </c>
      <c r="V222" t="s">
        <v>4396</v>
      </c>
      <c r="W222" t="s">
        <v>4397</v>
      </c>
      <c r="X222" t="s">
        <v>4398</v>
      </c>
      <c r="Y222" t="s">
        <v>4399</v>
      </c>
      <c r="Z222" t="s">
        <v>4400</v>
      </c>
      <c r="AA222" t="s">
        <v>4401</v>
      </c>
      <c r="AB222" t="s">
        <v>4402</v>
      </c>
      <c r="AC222" t="s">
        <v>4403</v>
      </c>
      <c r="AD222" t="s">
        <v>4404</v>
      </c>
      <c r="AE222" t="s">
        <v>4405</v>
      </c>
      <c r="AF222" t="s">
        <v>74</v>
      </c>
      <c r="AG222">
        <v>300</v>
      </c>
      <c r="AH222">
        <v>259</v>
      </c>
      <c r="AI222">
        <v>283</v>
      </c>
      <c r="AJ222">
        <v>2</v>
      </c>
      <c r="AK222">
        <v>190</v>
      </c>
      <c r="AL222" t="s">
        <v>4406</v>
      </c>
      <c r="AM222" t="s">
        <v>4407</v>
      </c>
      <c r="AN222" t="s">
        <v>4408</v>
      </c>
      <c r="AO222" t="s">
        <v>4409</v>
      </c>
      <c r="AP222" t="s">
        <v>4410</v>
      </c>
      <c r="AQ222" t="s">
        <v>74</v>
      </c>
      <c r="AR222" t="s">
        <v>4411</v>
      </c>
      <c r="AS222" t="s">
        <v>4412</v>
      </c>
      <c r="AT222" t="s">
        <v>4386</v>
      </c>
      <c r="AU222">
        <v>2009</v>
      </c>
      <c r="AV222">
        <v>174</v>
      </c>
      <c r="AW222">
        <v>5</v>
      </c>
      <c r="AX222" t="s">
        <v>74</v>
      </c>
      <c r="AY222" t="s">
        <v>74</v>
      </c>
      <c r="AZ222" t="s">
        <v>74</v>
      </c>
      <c r="BA222" t="s">
        <v>74</v>
      </c>
      <c r="BB222">
        <v>595</v>
      </c>
      <c r="BC222">
        <v>612</v>
      </c>
      <c r="BD222" t="s">
        <v>74</v>
      </c>
      <c r="BE222" t="s">
        <v>4413</v>
      </c>
      <c r="BF222" t="str">
        <f>HYPERLINK("http://dx.doi.org/10.1086/605982","http://dx.doi.org/10.1086/605982")</f>
        <v>http://dx.doi.org/10.1086/605982</v>
      </c>
      <c r="BG222" t="s">
        <v>74</v>
      </c>
      <c r="BH222" t="s">
        <v>74</v>
      </c>
      <c r="BI222">
        <v>18</v>
      </c>
      <c r="BJ222" t="s">
        <v>4414</v>
      </c>
      <c r="BK222" t="s">
        <v>98</v>
      </c>
      <c r="BL222" t="s">
        <v>4415</v>
      </c>
      <c r="BM222" t="s">
        <v>4416</v>
      </c>
      <c r="BN222">
        <v>19788354</v>
      </c>
      <c r="BO222" t="s">
        <v>1119</v>
      </c>
      <c r="BP222" t="s">
        <v>74</v>
      </c>
      <c r="BQ222" t="s">
        <v>74</v>
      </c>
      <c r="BR222" t="s">
        <v>101</v>
      </c>
      <c r="BS222" t="s">
        <v>4417</v>
      </c>
      <c r="BT222" t="str">
        <f>HYPERLINK("https%3A%2F%2Fwww.webofscience.com%2Fwos%2Fwoscc%2Ffull-record%2FWOS:000271021900003","View Full Record in Web of Science")</f>
        <v>View Full Record in Web of Science</v>
      </c>
    </row>
    <row r="223" spans="1:72" x14ac:dyDescent="0.15">
      <c r="A223" t="s">
        <v>72</v>
      </c>
      <c r="B223" t="s">
        <v>4418</v>
      </c>
      <c r="C223" t="s">
        <v>74</v>
      </c>
      <c r="D223" t="s">
        <v>74</v>
      </c>
      <c r="E223" t="s">
        <v>74</v>
      </c>
      <c r="F223" t="s">
        <v>4419</v>
      </c>
      <c r="G223" t="s">
        <v>74</v>
      </c>
      <c r="H223" t="s">
        <v>74</v>
      </c>
      <c r="I223" t="s">
        <v>4420</v>
      </c>
      <c r="J223" t="s">
        <v>4421</v>
      </c>
      <c r="K223" t="s">
        <v>74</v>
      </c>
      <c r="L223" t="s">
        <v>74</v>
      </c>
      <c r="M223" t="s">
        <v>78</v>
      </c>
      <c r="N223" t="s">
        <v>79</v>
      </c>
      <c r="O223" t="s">
        <v>74</v>
      </c>
      <c r="P223" t="s">
        <v>74</v>
      </c>
      <c r="Q223" t="s">
        <v>74</v>
      </c>
      <c r="R223" t="s">
        <v>74</v>
      </c>
      <c r="S223" t="s">
        <v>74</v>
      </c>
      <c r="T223" t="s">
        <v>4422</v>
      </c>
      <c r="U223" t="s">
        <v>4423</v>
      </c>
      <c r="V223" t="s">
        <v>4424</v>
      </c>
      <c r="W223" t="s">
        <v>4425</v>
      </c>
      <c r="X223" t="s">
        <v>4426</v>
      </c>
      <c r="Y223" t="s">
        <v>4427</v>
      </c>
      <c r="Z223" t="s">
        <v>4428</v>
      </c>
      <c r="AA223" t="s">
        <v>4429</v>
      </c>
      <c r="AB223" t="s">
        <v>4430</v>
      </c>
      <c r="AC223" t="s">
        <v>74</v>
      </c>
      <c r="AD223" t="s">
        <v>74</v>
      </c>
      <c r="AE223" t="s">
        <v>74</v>
      </c>
      <c r="AF223" t="s">
        <v>74</v>
      </c>
      <c r="AG223">
        <v>15</v>
      </c>
      <c r="AH223">
        <v>20</v>
      </c>
      <c r="AI223">
        <v>23</v>
      </c>
      <c r="AJ223">
        <v>0</v>
      </c>
      <c r="AK223">
        <v>4</v>
      </c>
      <c r="AL223" t="s">
        <v>1850</v>
      </c>
      <c r="AM223" t="s">
        <v>1851</v>
      </c>
      <c r="AN223" t="s">
        <v>1852</v>
      </c>
      <c r="AO223" t="s">
        <v>4431</v>
      </c>
      <c r="AP223" t="s">
        <v>74</v>
      </c>
      <c r="AQ223" t="s">
        <v>74</v>
      </c>
      <c r="AR223" t="s">
        <v>4432</v>
      </c>
      <c r="AS223" t="s">
        <v>4433</v>
      </c>
      <c r="AT223" t="s">
        <v>4386</v>
      </c>
      <c r="AU223">
        <v>2009</v>
      </c>
      <c r="AV223">
        <v>96</v>
      </c>
      <c r="AW223">
        <v>4</v>
      </c>
      <c r="AX223" t="s">
        <v>74</v>
      </c>
      <c r="AY223" t="s">
        <v>74</v>
      </c>
      <c r="AZ223" t="s">
        <v>74</v>
      </c>
      <c r="BA223" t="s">
        <v>74</v>
      </c>
      <c r="BB223">
        <v>627</v>
      </c>
      <c r="BC223">
        <v>634</v>
      </c>
      <c r="BD223" t="s">
        <v>74</v>
      </c>
      <c r="BE223" t="s">
        <v>4434</v>
      </c>
      <c r="BF223" t="str">
        <f>HYPERLINK("http://dx.doi.org/10.1007/s10482-009-9377-9","http://dx.doi.org/10.1007/s10482-009-9377-9")</f>
        <v>http://dx.doi.org/10.1007/s10482-009-9377-9</v>
      </c>
      <c r="BG223" t="s">
        <v>74</v>
      </c>
      <c r="BH223" t="s">
        <v>74</v>
      </c>
      <c r="BI223">
        <v>8</v>
      </c>
      <c r="BJ223" t="s">
        <v>1958</v>
      </c>
      <c r="BK223" t="s">
        <v>98</v>
      </c>
      <c r="BL223" t="s">
        <v>1958</v>
      </c>
      <c r="BM223" t="s">
        <v>4435</v>
      </c>
      <c r="BN223">
        <v>19760124</v>
      </c>
      <c r="BO223" t="s">
        <v>74</v>
      </c>
      <c r="BP223" t="s">
        <v>74</v>
      </c>
      <c r="BQ223" t="s">
        <v>74</v>
      </c>
      <c r="BR223" t="s">
        <v>101</v>
      </c>
      <c r="BS223" t="s">
        <v>4436</v>
      </c>
      <c r="BT223" t="str">
        <f>HYPERLINK("https%3A%2F%2Fwww.webofscience.com%2Fwos%2Fwoscc%2Ffull-record%2FWOS:000270979400023","View Full Record in Web of Science")</f>
        <v>View Full Record in Web of Science</v>
      </c>
    </row>
    <row r="224" spans="1:72" x14ac:dyDescent="0.15">
      <c r="A224" t="s">
        <v>72</v>
      </c>
      <c r="B224" t="s">
        <v>4437</v>
      </c>
      <c r="C224" t="s">
        <v>74</v>
      </c>
      <c r="D224" t="s">
        <v>74</v>
      </c>
      <c r="E224" t="s">
        <v>74</v>
      </c>
      <c r="F224" t="s">
        <v>4438</v>
      </c>
      <c r="G224" t="s">
        <v>74</v>
      </c>
      <c r="H224" t="s">
        <v>74</v>
      </c>
      <c r="I224" t="s">
        <v>4439</v>
      </c>
      <c r="J224" t="s">
        <v>4440</v>
      </c>
      <c r="K224" t="s">
        <v>74</v>
      </c>
      <c r="L224" t="s">
        <v>74</v>
      </c>
      <c r="M224" t="s">
        <v>78</v>
      </c>
      <c r="N224" t="s">
        <v>79</v>
      </c>
      <c r="O224" t="s">
        <v>74</v>
      </c>
      <c r="P224" t="s">
        <v>74</v>
      </c>
      <c r="Q224" t="s">
        <v>74</v>
      </c>
      <c r="R224" t="s">
        <v>74</v>
      </c>
      <c r="S224" t="s">
        <v>74</v>
      </c>
      <c r="T224" t="s">
        <v>74</v>
      </c>
      <c r="U224" t="s">
        <v>4441</v>
      </c>
      <c r="V224" t="s">
        <v>4442</v>
      </c>
      <c r="W224" t="s">
        <v>4443</v>
      </c>
      <c r="X224" t="s">
        <v>4444</v>
      </c>
      <c r="Y224" t="s">
        <v>4445</v>
      </c>
      <c r="Z224" t="s">
        <v>4446</v>
      </c>
      <c r="AA224" t="s">
        <v>74</v>
      </c>
      <c r="AB224" t="s">
        <v>74</v>
      </c>
      <c r="AC224" t="s">
        <v>2907</v>
      </c>
      <c r="AD224" t="s">
        <v>2908</v>
      </c>
      <c r="AE224" t="s">
        <v>4447</v>
      </c>
      <c r="AF224" t="s">
        <v>74</v>
      </c>
      <c r="AG224">
        <v>16</v>
      </c>
      <c r="AH224">
        <v>11</v>
      </c>
      <c r="AI224">
        <v>12</v>
      </c>
      <c r="AJ224">
        <v>0</v>
      </c>
      <c r="AK224">
        <v>21</v>
      </c>
      <c r="AL224" t="s">
        <v>4448</v>
      </c>
      <c r="AM224" t="s">
        <v>4449</v>
      </c>
      <c r="AN224" t="s">
        <v>4450</v>
      </c>
      <c r="AO224" t="s">
        <v>4451</v>
      </c>
      <c r="AP224" t="s">
        <v>4452</v>
      </c>
      <c r="AQ224" t="s">
        <v>74</v>
      </c>
      <c r="AR224" t="s">
        <v>4453</v>
      </c>
      <c r="AS224" t="s">
        <v>4454</v>
      </c>
      <c r="AT224" t="s">
        <v>4386</v>
      </c>
      <c r="AU224">
        <v>2009</v>
      </c>
      <c r="AV224">
        <v>36</v>
      </c>
      <c r="AW224">
        <v>1</v>
      </c>
      <c r="AX224" t="s">
        <v>74</v>
      </c>
      <c r="AY224" t="s">
        <v>74</v>
      </c>
      <c r="AZ224" t="s">
        <v>74</v>
      </c>
      <c r="BA224" t="s">
        <v>74</v>
      </c>
      <c r="BB224">
        <v>1</v>
      </c>
      <c r="BC224">
        <v>8</v>
      </c>
      <c r="BD224" t="s">
        <v>74</v>
      </c>
      <c r="BE224" t="s">
        <v>4455</v>
      </c>
      <c r="BF224" t="str">
        <f>HYPERLINK("http://dx.doi.org/10.1007/s00723-009-0003-9","http://dx.doi.org/10.1007/s00723-009-0003-9")</f>
        <v>http://dx.doi.org/10.1007/s00723-009-0003-9</v>
      </c>
      <c r="BG224" t="s">
        <v>74</v>
      </c>
      <c r="BH224" t="s">
        <v>74</v>
      </c>
      <c r="BI224">
        <v>8</v>
      </c>
      <c r="BJ224" t="s">
        <v>4456</v>
      </c>
      <c r="BK224" t="s">
        <v>98</v>
      </c>
      <c r="BL224" t="s">
        <v>4457</v>
      </c>
      <c r="BM224" t="s">
        <v>4458</v>
      </c>
      <c r="BN224" t="s">
        <v>74</v>
      </c>
      <c r="BO224" t="s">
        <v>74</v>
      </c>
      <c r="BP224" t="s">
        <v>74</v>
      </c>
      <c r="BQ224" t="s">
        <v>74</v>
      </c>
      <c r="BR224" t="s">
        <v>101</v>
      </c>
      <c r="BS224" t="s">
        <v>4459</v>
      </c>
      <c r="BT224" t="str">
        <f>HYPERLINK("https%3A%2F%2Fwww.webofscience.com%2Fwos%2Fwoscc%2Ffull-record%2FWOS:000271068300001","View Full Record in Web of Science")</f>
        <v>View Full Record in Web of Science</v>
      </c>
    </row>
    <row r="225" spans="1:72" x14ac:dyDescent="0.15">
      <c r="A225" t="s">
        <v>72</v>
      </c>
      <c r="B225" t="s">
        <v>4460</v>
      </c>
      <c r="C225" t="s">
        <v>74</v>
      </c>
      <c r="D225" t="s">
        <v>74</v>
      </c>
      <c r="E225" t="s">
        <v>74</v>
      </c>
      <c r="F225" t="s">
        <v>4461</v>
      </c>
      <c r="G225" t="s">
        <v>74</v>
      </c>
      <c r="H225" t="s">
        <v>74</v>
      </c>
      <c r="I225" t="s">
        <v>4462</v>
      </c>
      <c r="J225" t="s">
        <v>4463</v>
      </c>
      <c r="K225" t="s">
        <v>74</v>
      </c>
      <c r="L225" t="s">
        <v>74</v>
      </c>
      <c r="M225" t="s">
        <v>78</v>
      </c>
      <c r="N225" t="s">
        <v>79</v>
      </c>
      <c r="O225" t="s">
        <v>74</v>
      </c>
      <c r="P225" t="s">
        <v>74</v>
      </c>
      <c r="Q225" t="s">
        <v>74</v>
      </c>
      <c r="R225" t="s">
        <v>74</v>
      </c>
      <c r="S225" t="s">
        <v>74</v>
      </c>
      <c r="T225" t="s">
        <v>4464</v>
      </c>
      <c r="U225" t="s">
        <v>4465</v>
      </c>
      <c r="V225" t="s">
        <v>4466</v>
      </c>
      <c r="W225" t="s">
        <v>4467</v>
      </c>
      <c r="X225" t="s">
        <v>4468</v>
      </c>
      <c r="Y225" t="s">
        <v>4469</v>
      </c>
      <c r="Z225" t="s">
        <v>4470</v>
      </c>
      <c r="AA225" t="s">
        <v>4471</v>
      </c>
      <c r="AB225" t="s">
        <v>4472</v>
      </c>
      <c r="AC225" t="s">
        <v>74</v>
      </c>
      <c r="AD225" t="s">
        <v>74</v>
      </c>
      <c r="AE225" t="s">
        <v>74</v>
      </c>
      <c r="AF225" t="s">
        <v>74</v>
      </c>
      <c r="AG225">
        <v>47</v>
      </c>
      <c r="AH225">
        <v>37</v>
      </c>
      <c r="AI225">
        <v>43</v>
      </c>
      <c r="AJ225">
        <v>1</v>
      </c>
      <c r="AK225">
        <v>35</v>
      </c>
      <c r="AL225" t="s">
        <v>1850</v>
      </c>
      <c r="AM225" t="s">
        <v>684</v>
      </c>
      <c r="AN225" t="s">
        <v>3108</v>
      </c>
      <c r="AO225" t="s">
        <v>4473</v>
      </c>
      <c r="AP225" t="s">
        <v>4474</v>
      </c>
      <c r="AQ225" t="s">
        <v>74</v>
      </c>
      <c r="AR225" t="s">
        <v>4475</v>
      </c>
      <c r="AS225" t="s">
        <v>4476</v>
      </c>
      <c r="AT225" t="s">
        <v>4386</v>
      </c>
      <c r="AU225">
        <v>2009</v>
      </c>
      <c r="AV225">
        <v>191</v>
      </c>
      <c r="AW225">
        <v>11</v>
      </c>
      <c r="AX225" t="s">
        <v>74</v>
      </c>
      <c r="AY225" t="s">
        <v>74</v>
      </c>
      <c r="AZ225" t="s">
        <v>74</v>
      </c>
      <c r="BA225" t="s">
        <v>74</v>
      </c>
      <c r="BB225">
        <v>825</v>
      </c>
      <c r="BC225">
        <v>835</v>
      </c>
      <c r="BD225" t="s">
        <v>74</v>
      </c>
      <c r="BE225" t="s">
        <v>4477</v>
      </c>
      <c r="BF225" t="str">
        <f>HYPERLINK("http://dx.doi.org/10.1007/s00203-009-0509-4","http://dx.doi.org/10.1007/s00203-009-0509-4")</f>
        <v>http://dx.doi.org/10.1007/s00203-009-0509-4</v>
      </c>
      <c r="BG225" t="s">
        <v>74</v>
      </c>
      <c r="BH225" t="s">
        <v>74</v>
      </c>
      <c r="BI225">
        <v>11</v>
      </c>
      <c r="BJ225" t="s">
        <v>1958</v>
      </c>
      <c r="BK225" t="s">
        <v>98</v>
      </c>
      <c r="BL225" t="s">
        <v>1958</v>
      </c>
      <c r="BM225" t="s">
        <v>4478</v>
      </c>
      <c r="BN225">
        <v>19771412</v>
      </c>
      <c r="BO225" t="s">
        <v>74</v>
      </c>
      <c r="BP225" t="s">
        <v>74</v>
      </c>
      <c r="BQ225" t="s">
        <v>74</v>
      </c>
      <c r="BR225" t="s">
        <v>101</v>
      </c>
      <c r="BS225" t="s">
        <v>4479</v>
      </c>
      <c r="BT225" t="str">
        <f>HYPERLINK("https%3A%2F%2Fwww.webofscience.com%2Fwos%2Fwoscc%2Ffull-record%2FWOS:000270868300004","View Full Record in Web of Science")</f>
        <v>View Full Record in Web of Science</v>
      </c>
    </row>
    <row r="226" spans="1:72" x14ac:dyDescent="0.15">
      <c r="A226" t="s">
        <v>72</v>
      </c>
      <c r="B226" t="s">
        <v>4480</v>
      </c>
      <c r="C226" t="s">
        <v>74</v>
      </c>
      <c r="D226" t="s">
        <v>74</v>
      </c>
      <c r="E226" t="s">
        <v>74</v>
      </c>
      <c r="F226" t="s">
        <v>4481</v>
      </c>
      <c r="G226" t="s">
        <v>74</v>
      </c>
      <c r="H226" t="s">
        <v>74</v>
      </c>
      <c r="I226" t="s">
        <v>4482</v>
      </c>
      <c r="J226" t="s">
        <v>4483</v>
      </c>
      <c r="K226" t="s">
        <v>74</v>
      </c>
      <c r="L226" t="s">
        <v>74</v>
      </c>
      <c r="M226" t="s">
        <v>78</v>
      </c>
      <c r="N226" t="s">
        <v>79</v>
      </c>
      <c r="O226" t="s">
        <v>74</v>
      </c>
      <c r="P226" t="s">
        <v>74</v>
      </c>
      <c r="Q226" t="s">
        <v>74</v>
      </c>
      <c r="R226" t="s">
        <v>74</v>
      </c>
      <c r="S226" t="s">
        <v>74</v>
      </c>
      <c r="T226" t="s">
        <v>74</v>
      </c>
      <c r="U226" t="s">
        <v>4484</v>
      </c>
      <c r="V226" t="s">
        <v>4485</v>
      </c>
      <c r="W226" t="s">
        <v>4486</v>
      </c>
      <c r="X226" t="s">
        <v>4487</v>
      </c>
      <c r="Y226" t="s">
        <v>4488</v>
      </c>
      <c r="Z226" t="s">
        <v>4489</v>
      </c>
      <c r="AA226" t="s">
        <v>74</v>
      </c>
      <c r="AB226" t="s">
        <v>74</v>
      </c>
      <c r="AC226" t="s">
        <v>4490</v>
      </c>
      <c r="AD226" t="s">
        <v>4491</v>
      </c>
      <c r="AE226" t="s">
        <v>4492</v>
      </c>
      <c r="AF226" t="s">
        <v>74</v>
      </c>
      <c r="AG226">
        <v>70</v>
      </c>
      <c r="AH226">
        <v>57</v>
      </c>
      <c r="AI226">
        <v>74</v>
      </c>
      <c r="AJ226">
        <v>6</v>
      </c>
      <c r="AK226">
        <v>69</v>
      </c>
      <c r="AL226" t="s">
        <v>2614</v>
      </c>
      <c r="AM226" t="s">
        <v>2615</v>
      </c>
      <c r="AN226" t="s">
        <v>2910</v>
      </c>
      <c r="AO226" t="s">
        <v>4493</v>
      </c>
      <c r="AP226" t="s">
        <v>4494</v>
      </c>
      <c r="AQ226" t="s">
        <v>74</v>
      </c>
      <c r="AR226" t="s">
        <v>4495</v>
      </c>
      <c r="AS226" t="s">
        <v>4496</v>
      </c>
      <c r="AT226" t="s">
        <v>4386</v>
      </c>
      <c r="AU226">
        <v>2009</v>
      </c>
      <c r="AV226">
        <v>41</v>
      </c>
      <c r="AW226">
        <v>4</v>
      </c>
      <c r="AX226" t="s">
        <v>74</v>
      </c>
      <c r="AY226" t="s">
        <v>74</v>
      </c>
      <c r="AZ226" t="s">
        <v>74</v>
      </c>
      <c r="BA226" t="s">
        <v>74</v>
      </c>
      <c r="BB226">
        <v>407</v>
      </c>
      <c r="BC226">
        <v>417</v>
      </c>
      <c r="BD226" t="s">
        <v>74</v>
      </c>
      <c r="BE226" t="s">
        <v>4497</v>
      </c>
      <c r="BF226" t="str">
        <f>HYPERLINK("http://dx.doi.org/10.1657/1938-4246-41.4.407","http://dx.doi.org/10.1657/1938-4246-41.4.407")</f>
        <v>http://dx.doi.org/10.1657/1938-4246-41.4.407</v>
      </c>
      <c r="BG226" t="s">
        <v>74</v>
      </c>
      <c r="BH226" t="s">
        <v>74</v>
      </c>
      <c r="BI226">
        <v>11</v>
      </c>
      <c r="BJ226" t="s">
        <v>4498</v>
      </c>
      <c r="BK226" t="s">
        <v>98</v>
      </c>
      <c r="BL226" t="s">
        <v>4499</v>
      </c>
      <c r="BM226" t="s">
        <v>4500</v>
      </c>
      <c r="BN226" t="s">
        <v>74</v>
      </c>
      <c r="BO226" t="s">
        <v>627</v>
      </c>
      <c r="BP226" t="s">
        <v>74</v>
      </c>
      <c r="BQ226" t="s">
        <v>74</v>
      </c>
      <c r="BR226" t="s">
        <v>101</v>
      </c>
      <c r="BS226" t="s">
        <v>4501</v>
      </c>
      <c r="BT226" t="str">
        <f>HYPERLINK("https%3A%2F%2Fwww.webofscience.com%2Fwos%2Fwoscc%2Ffull-record%2FWOS:000272503400001","View Full Record in Web of Science")</f>
        <v>View Full Record in Web of Science</v>
      </c>
    </row>
    <row r="227" spans="1:72" x14ac:dyDescent="0.15">
      <c r="A227" t="s">
        <v>72</v>
      </c>
      <c r="B227" t="s">
        <v>4502</v>
      </c>
      <c r="C227" t="s">
        <v>74</v>
      </c>
      <c r="D227" t="s">
        <v>74</v>
      </c>
      <c r="E227" t="s">
        <v>74</v>
      </c>
      <c r="F227" t="s">
        <v>4503</v>
      </c>
      <c r="G227" t="s">
        <v>74</v>
      </c>
      <c r="H227" t="s">
        <v>74</v>
      </c>
      <c r="I227" t="s">
        <v>4504</v>
      </c>
      <c r="J227" t="s">
        <v>4483</v>
      </c>
      <c r="K227" t="s">
        <v>74</v>
      </c>
      <c r="L227" t="s">
        <v>74</v>
      </c>
      <c r="M227" t="s">
        <v>78</v>
      </c>
      <c r="N227" t="s">
        <v>79</v>
      </c>
      <c r="O227" t="s">
        <v>74</v>
      </c>
      <c r="P227" t="s">
        <v>74</v>
      </c>
      <c r="Q227" t="s">
        <v>74</v>
      </c>
      <c r="R227" t="s">
        <v>74</v>
      </c>
      <c r="S227" t="s">
        <v>74</v>
      </c>
      <c r="T227" t="s">
        <v>74</v>
      </c>
      <c r="U227" t="s">
        <v>4505</v>
      </c>
      <c r="V227" t="s">
        <v>4506</v>
      </c>
      <c r="W227" t="s">
        <v>4507</v>
      </c>
      <c r="X227" t="s">
        <v>4508</v>
      </c>
      <c r="Y227" t="s">
        <v>4509</v>
      </c>
      <c r="Z227" t="s">
        <v>4510</v>
      </c>
      <c r="AA227" t="s">
        <v>74</v>
      </c>
      <c r="AB227" t="s">
        <v>74</v>
      </c>
      <c r="AC227" t="s">
        <v>4511</v>
      </c>
      <c r="AD227" t="s">
        <v>4512</v>
      </c>
      <c r="AE227" t="s">
        <v>4513</v>
      </c>
      <c r="AF227" t="s">
        <v>74</v>
      </c>
      <c r="AG227">
        <v>27</v>
      </c>
      <c r="AH227">
        <v>7</v>
      </c>
      <c r="AI227">
        <v>13</v>
      </c>
      <c r="AJ227">
        <v>1</v>
      </c>
      <c r="AK227">
        <v>21</v>
      </c>
      <c r="AL227" t="s">
        <v>4514</v>
      </c>
      <c r="AM227" t="s">
        <v>4515</v>
      </c>
      <c r="AN227" t="s">
        <v>4516</v>
      </c>
      <c r="AO227" t="s">
        <v>4493</v>
      </c>
      <c r="AP227" t="s">
        <v>4494</v>
      </c>
      <c r="AQ227" t="s">
        <v>74</v>
      </c>
      <c r="AR227" t="s">
        <v>4495</v>
      </c>
      <c r="AS227" t="s">
        <v>4496</v>
      </c>
      <c r="AT227" t="s">
        <v>4386</v>
      </c>
      <c r="AU227">
        <v>2009</v>
      </c>
      <c r="AV227">
        <v>41</v>
      </c>
      <c r="AW227">
        <v>4</v>
      </c>
      <c r="AX227" t="s">
        <v>74</v>
      </c>
      <c r="AY227" t="s">
        <v>74</v>
      </c>
      <c r="AZ227" t="s">
        <v>74</v>
      </c>
      <c r="BA227" t="s">
        <v>74</v>
      </c>
      <c r="BB227">
        <v>418</v>
      </c>
      <c r="BC227">
        <v>425</v>
      </c>
      <c r="BD227" t="s">
        <v>74</v>
      </c>
      <c r="BE227" t="s">
        <v>4517</v>
      </c>
      <c r="BF227" t="str">
        <f>HYPERLINK("http://dx.doi.org/10.1657/1938-4246-41.4.418","http://dx.doi.org/10.1657/1938-4246-41.4.418")</f>
        <v>http://dx.doi.org/10.1657/1938-4246-41.4.418</v>
      </c>
      <c r="BG227" t="s">
        <v>74</v>
      </c>
      <c r="BH227" t="s">
        <v>74</v>
      </c>
      <c r="BI227">
        <v>8</v>
      </c>
      <c r="BJ227" t="s">
        <v>4498</v>
      </c>
      <c r="BK227" t="s">
        <v>98</v>
      </c>
      <c r="BL227" t="s">
        <v>4499</v>
      </c>
      <c r="BM227" t="s">
        <v>4500</v>
      </c>
      <c r="BN227" t="s">
        <v>74</v>
      </c>
      <c r="BO227" t="s">
        <v>1119</v>
      </c>
      <c r="BP227" t="s">
        <v>74</v>
      </c>
      <c r="BQ227" t="s">
        <v>74</v>
      </c>
      <c r="BR227" t="s">
        <v>101</v>
      </c>
      <c r="BS227" t="s">
        <v>4518</v>
      </c>
      <c r="BT227" t="str">
        <f>HYPERLINK("https%3A%2F%2Fwww.webofscience.com%2Fwos%2Fwoscc%2Ffull-record%2FWOS:000272503400002","View Full Record in Web of Science")</f>
        <v>View Full Record in Web of Science</v>
      </c>
    </row>
    <row r="228" spans="1:72" x14ac:dyDescent="0.15">
      <c r="A228" t="s">
        <v>72</v>
      </c>
      <c r="B228" t="s">
        <v>4519</v>
      </c>
      <c r="C228" t="s">
        <v>74</v>
      </c>
      <c r="D228" t="s">
        <v>74</v>
      </c>
      <c r="E228" t="s">
        <v>74</v>
      </c>
      <c r="F228" t="s">
        <v>4520</v>
      </c>
      <c r="G228" t="s">
        <v>74</v>
      </c>
      <c r="H228" t="s">
        <v>74</v>
      </c>
      <c r="I228" t="s">
        <v>4521</v>
      </c>
      <c r="J228" t="s">
        <v>4483</v>
      </c>
      <c r="K228" t="s">
        <v>74</v>
      </c>
      <c r="L228" t="s">
        <v>74</v>
      </c>
      <c r="M228" t="s">
        <v>78</v>
      </c>
      <c r="N228" t="s">
        <v>79</v>
      </c>
      <c r="O228" t="s">
        <v>74</v>
      </c>
      <c r="P228" t="s">
        <v>74</v>
      </c>
      <c r="Q228" t="s">
        <v>74</v>
      </c>
      <c r="R228" t="s">
        <v>74</v>
      </c>
      <c r="S228" t="s">
        <v>74</v>
      </c>
      <c r="T228" t="s">
        <v>74</v>
      </c>
      <c r="U228" t="s">
        <v>4522</v>
      </c>
      <c r="V228" t="s">
        <v>4523</v>
      </c>
      <c r="W228" t="s">
        <v>4524</v>
      </c>
      <c r="X228" t="s">
        <v>4525</v>
      </c>
      <c r="Y228" t="s">
        <v>4526</v>
      </c>
      <c r="Z228" t="s">
        <v>4527</v>
      </c>
      <c r="AA228" t="s">
        <v>4528</v>
      </c>
      <c r="AB228" t="s">
        <v>4529</v>
      </c>
      <c r="AC228" t="s">
        <v>4530</v>
      </c>
      <c r="AD228" t="s">
        <v>4531</v>
      </c>
      <c r="AE228" t="s">
        <v>4532</v>
      </c>
      <c r="AF228" t="s">
        <v>74</v>
      </c>
      <c r="AG228">
        <v>40</v>
      </c>
      <c r="AH228">
        <v>9</v>
      </c>
      <c r="AI228">
        <v>11</v>
      </c>
      <c r="AJ228">
        <v>0</v>
      </c>
      <c r="AK228">
        <v>28</v>
      </c>
      <c r="AL228" t="s">
        <v>4514</v>
      </c>
      <c r="AM228" t="s">
        <v>4515</v>
      </c>
      <c r="AN228" t="s">
        <v>4516</v>
      </c>
      <c r="AO228" t="s">
        <v>4493</v>
      </c>
      <c r="AP228" t="s">
        <v>74</v>
      </c>
      <c r="AQ228" t="s">
        <v>74</v>
      </c>
      <c r="AR228" t="s">
        <v>4495</v>
      </c>
      <c r="AS228" t="s">
        <v>4496</v>
      </c>
      <c r="AT228" t="s">
        <v>4386</v>
      </c>
      <c r="AU228">
        <v>2009</v>
      </c>
      <c r="AV228">
        <v>41</v>
      </c>
      <c r="AW228">
        <v>4</v>
      </c>
      <c r="AX228" t="s">
        <v>74</v>
      </c>
      <c r="AY228" t="s">
        <v>74</v>
      </c>
      <c r="AZ228" t="s">
        <v>74</v>
      </c>
      <c r="BA228" t="s">
        <v>74</v>
      </c>
      <c r="BB228">
        <v>426</v>
      </c>
      <c r="BC228">
        <v>433</v>
      </c>
      <c r="BD228" t="s">
        <v>74</v>
      </c>
      <c r="BE228" t="s">
        <v>4533</v>
      </c>
      <c r="BF228" t="str">
        <f>HYPERLINK("http://dx.doi.org/10.1657/1938-4246-41.4.426","http://dx.doi.org/10.1657/1938-4246-41.4.426")</f>
        <v>http://dx.doi.org/10.1657/1938-4246-41.4.426</v>
      </c>
      <c r="BG228" t="s">
        <v>74</v>
      </c>
      <c r="BH228" t="s">
        <v>74</v>
      </c>
      <c r="BI228">
        <v>8</v>
      </c>
      <c r="BJ228" t="s">
        <v>4498</v>
      </c>
      <c r="BK228" t="s">
        <v>98</v>
      </c>
      <c r="BL228" t="s">
        <v>4499</v>
      </c>
      <c r="BM228" t="s">
        <v>4500</v>
      </c>
      <c r="BN228" t="s">
        <v>74</v>
      </c>
      <c r="BO228" t="s">
        <v>74</v>
      </c>
      <c r="BP228" t="s">
        <v>74</v>
      </c>
      <c r="BQ228" t="s">
        <v>74</v>
      </c>
      <c r="BR228" t="s">
        <v>101</v>
      </c>
      <c r="BS228" t="s">
        <v>4534</v>
      </c>
      <c r="BT228" t="str">
        <f>HYPERLINK("https%3A%2F%2Fwww.webofscience.com%2Fwos%2Fwoscc%2Ffull-record%2FWOS:000272503400003","View Full Record in Web of Science")</f>
        <v>View Full Record in Web of Science</v>
      </c>
    </row>
    <row r="229" spans="1:72" x14ac:dyDescent="0.15">
      <c r="A229" t="s">
        <v>72</v>
      </c>
      <c r="B229" t="s">
        <v>4535</v>
      </c>
      <c r="C229" t="s">
        <v>74</v>
      </c>
      <c r="D229" t="s">
        <v>74</v>
      </c>
      <c r="E229" t="s">
        <v>74</v>
      </c>
      <c r="F229" t="s">
        <v>4536</v>
      </c>
      <c r="G229" t="s">
        <v>74</v>
      </c>
      <c r="H229" t="s">
        <v>74</v>
      </c>
      <c r="I229" t="s">
        <v>4537</v>
      </c>
      <c r="J229" t="s">
        <v>4483</v>
      </c>
      <c r="K229" t="s">
        <v>74</v>
      </c>
      <c r="L229" t="s">
        <v>74</v>
      </c>
      <c r="M229" t="s">
        <v>78</v>
      </c>
      <c r="N229" t="s">
        <v>79</v>
      </c>
      <c r="O229" t="s">
        <v>74</v>
      </c>
      <c r="P229" t="s">
        <v>74</v>
      </c>
      <c r="Q229" t="s">
        <v>74</v>
      </c>
      <c r="R229" t="s">
        <v>74</v>
      </c>
      <c r="S229" t="s">
        <v>74</v>
      </c>
      <c r="T229" t="s">
        <v>74</v>
      </c>
      <c r="U229" t="s">
        <v>4538</v>
      </c>
      <c r="V229" t="s">
        <v>4539</v>
      </c>
      <c r="W229" t="s">
        <v>4540</v>
      </c>
      <c r="X229" t="s">
        <v>4541</v>
      </c>
      <c r="Y229" t="s">
        <v>4542</v>
      </c>
      <c r="Z229" t="s">
        <v>4543</v>
      </c>
      <c r="AA229" t="s">
        <v>4544</v>
      </c>
      <c r="AB229" t="s">
        <v>4545</v>
      </c>
      <c r="AC229" t="s">
        <v>4546</v>
      </c>
      <c r="AD229" t="s">
        <v>4547</v>
      </c>
      <c r="AE229" t="s">
        <v>4548</v>
      </c>
      <c r="AF229" t="s">
        <v>74</v>
      </c>
      <c r="AG229">
        <v>42</v>
      </c>
      <c r="AH229">
        <v>10</v>
      </c>
      <c r="AI229">
        <v>11</v>
      </c>
      <c r="AJ229">
        <v>2</v>
      </c>
      <c r="AK229">
        <v>29</v>
      </c>
      <c r="AL229" t="s">
        <v>4514</v>
      </c>
      <c r="AM229" t="s">
        <v>4515</v>
      </c>
      <c r="AN229" t="s">
        <v>4516</v>
      </c>
      <c r="AO229" t="s">
        <v>4493</v>
      </c>
      <c r="AP229" t="s">
        <v>4494</v>
      </c>
      <c r="AQ229" t="s">
        <v>74</v>
      </c>
      <c r="AR229" t="s">
        <v>4495</v>
      </c>
      <c r="AS229" t="s">
        <v>4496</v>
      </c>
      <c r="AT229" t="s">
        <v>4386</v>
      </c>
      <c r="AU229">
        <v>2009</v>
      </c>
      <c r="AV229">
        <v>41</v>
      </c>
      <c r="AW229">
        <v>4</v>
      </c>
      <c r="AX229" t="s">
        <v>74</v>
      </c>
      <c r="AY229" t="s">
        <v>74</v>
      </c>
      <c r="AZ229" t="s">
        <v>74</v>
      </c>
      <c r="BA229" t="s">
        <v>74</v>
      </c>
      <c r="BB229">
        <v>434</v>
      </c>
      <c r="BC229">
        <v>441</v>
      </c>
      <c r="BD229" t="s">
        <v>74</v>
      </c>
      <c r="BE229" t="s">
        <v>4549</v>
      </c>
      <c r="BF229" t="str">
        <f>HYPERLINK("http://dx.doi.org/10.1657/1938-4246-41.4.434","http://dx.doi.org/10.1657/1938-4246-41.4.434")</f>
        <v>http://dx.doi.org/10.1657/1938-4246-41.4.434</v>
      </c>
      <c r="BG229" t="s">
        <v>74</v>
      </c>
      <c r="BH229" t="s">
        <v>74</v>
      </c>
      <c r="BI229">
        <v>8</v>
      </c>
      <c r="BJ229" t="s">
        <v>4498</v>
      </c>
      <c r="BK229" t="s">
        <v>98</v>
      </c>
      <c r="BL229" t="s">
        <v>4499</v>
      </c>
      <c r="BM229" t="s">
        <v>4500</v>
      </c>
      <c r="BN229" t="s">
        <v>74</v>
      </c>
      <c r="BO229" t="s">
        <v>4550</v>
      </c>
      <c r="BP229" t="s">
        <v>74</v>
      </c>
      <c r="BQ229" t="s">
        <v>74</v>
      </c>
      <c r="BR229" t="s">
        <v>101</v>
      </c>
      <c r="BS229" t="s">
        <v>4551</v>
      </c>
      <c r="BT229" t="str">
        <f>HYPERLINK("https%3A%2F%2Fwww.webofscience.com%2Fwos%2Fwoscc%2Ffull-record%2FWOS:000272503400004","View Full Record in Web of Science")</f>
        <v>View Full Record in Web of Science</v>
      </c>
    </row>
    <row r="230" spans="1:72" x14ac:dyDescent="0.15">
      <c r="A230" t="s">
        <v>72</v>
      </c>
      <c r="B230" t="s">
        <v>4552</v>
      </c>
      <c r="C230" t="s">
        <v>74</v>
      </c>
      <c r="D230" t="s">
        <v>74</v>
      </c>
      <c r="E230" t="s">
        <v>74</v>
      </c>
      <c r="F230" t="s">
        <v>4553</v>
      </c>
      <c r="G230" t="s">
        <v>74</v>
      </c>
      <c r="H230" t="s">
        <v>74</v>
      </c>
      <c r="I230" t="s">
        <v>4554</v>
      </c>
      <c r="J230" t="s">
        <v>4483</v>
      </c>
      <c r="K230" t="s">
        <v>74</v>
      </c>
      <c r="L230" t="s">
        <v>74</v>
      </c>
      <c r="M230" t="s">
        <v>78</v>
      </c>
      <c r="N230" t="s">
        <v>79</v>
      </c>
      <c r="O230" t="s">
        <v>74</v>
      </c>
      <c r="P230" t="s">
        <v>74</v>
      </c>
      <c r="Q230" t="s">
        <v>74</v>
      </c>
      <c r="R230" t="s">
        <v>74</v>
      </c>
      <c r="S230" t="s">
        <v>74</v>
      </c>
      <c r="T230" t="s">
        <v>74</v>
      </c>
      <c r="U230" t="s">
        <v>4555</v>
      </c>
      <c r="V230" t="s">
        <v>4556</v>
      </c>
      <c r="W230" t="s">
        <v>4557</v>
      </c>
      <c r="X230" t="s">
        <v>4558</v>
      </c>
      <c r="Y230" t="s">
        <v>4559</v>
      </c>
      <c r="Z230" t="s">
        <v>4560</v>
      </c>
      <c r="AA230" t="s">
        <v>4561</v>
      </c>
      <c r="AB230" t="s">
        <v>4562</v>
      </c>
      <c r="AC230" t="s">
        <v>4563</v>
      </c>
      <c r="AD230" t="s">
        <v>4564</v>
      </c>
      <c r="AE230" t="s">
        <v>4565</v>
      </c>
      <c r="AF230" t="s">
        <v>74</v>
      </c>
      <c r="AG230">
        <v>76</v>
      </c>
      <c r="AH230">
        <v>8</v>
      </c>
      <c r="AI230">
        <v>11</v>
      </c>
      <c r="AJ230">
        <v>0</v>
      </c>
      <c r="AK230">
        <v>15</v>
      </c>
      <c r="AL230" t="s">
        <v>4514</v>
      </c>
      <c r="AM230" t="s">
        <v>4515</v>
      </c>
      <c r="AN230" t="s">
        <v>4516</v>
      </c>
      <c r="AO230" t="s">
        <v>4493</v>
      </c>
      <c r="AP230" t="s">
        <v>4494</v>
      </c>
      <c r="AQ230" t="s">
        <v>74</v>
      </c>
      <c r="AR230" t="s">
        <v>4495</v>
      </c>
      <c r="AS230" t="s">
        <v>4496</v>
      </c>
      <c r="AT230" t="s">
        <v>4386</v>
      </c>
      <c r="AU230">
        <v>2009</v>
      </c>
      <c r="AV230">
        <v>41</v>
      </c>
      <c r="AW230">
        <v>4</v>
      </c>
      <c r="AX230" t="s">
        <v>74</v>
      </c>
      <c r="AY230" t="s">
        <v>74</v>
      </c>
      <c r="AZ230" t="s">
        <v>74</v>
      </c>
      <c r="BA230" t="s">
        <v>74</v>
      </c>
      <c r="BB230">
        <v>442</v>
      </c>
      <c r="BC230">
        <v>454</v>
      </c>
      <c r="BD230" t="s">
        <v>74</v>
      </c>
      <c r="BE230" t="s">
        <v>4566</v>
      </c>
      <c r="BF230" t="str">
        <f>HYPERLINK("http://dx.doi.org/10.1657/1938-4246-41.4.442","http://dx.doi.org/10.1657/1938-4246-41.4.442")</f>
        <v>http://dx.doi.org/10.1657/1938-4246-41.4.442</v>
      </c>
      <c r="BG230" t="s">
        <v>74</v>
      </c>
      <c r="BH230" t="s">
        <v>74</v>
      </c>
      <c r="BI230">
        <v>13</v>
      </c>
      <c r="BJ230" t="s">
        <v>4498</v>
      </c>
      <c r="BK230" t="s">
        <v>4567</v>
      </c>
      <c r="BL230" t="s">
        <v>4499</v>
      </c>
      <c r="BM230" t="s">
        <v>4500</v>
      </c>
      <c r="BN230" t="s">
        <v>74</v>
      </c>
      <c r="BO230" t="s">
        <v>627</v>
      </c>
      <c r="BP230" t="s">
        <v>74</v>
      </c>
      <c r="BQ230" t="s">
        <v>74</v>
      </c>
      <c r="BR230" t="s">
        <v>101</v>
      </c>
      <c r="BS230" t="s">
        <v>4568</v>
      </c>
      <c r="BT230" t="str">
        <f>HYPERLINK("https%3A%2F%2Fwww.webofscience.com%2Fwos%2Fwoscc%2Ffull-record%2FWOS:000272503400005","View Full Record in Web of Science")</f>
        <v>View Full Record in Web of Science</v>
      </c>
    </row>
    <row r="231" spans="1:72" x14ac:dyDescent="0.15">
      <c r="A231" t="s">
        <v>72</v>
      </c>
      <c r="B231" t="s">
        <v>4569</v>
      </c>
      <c r="C231" t="s">
        <v>74</v>
      </c>
      <c r="D231" t="s">
        <v>74</v>
      </c>
      <c r="E231" t="s">
        <v>74</v>
      </c>
      <c r="F231" t="s">
        <v>4570</v>
      </c>
      <c r="G231" t="s">
        <v>74</v>
      </c>
      <c r="H231" t="s">
        <v>74</v>
      </c>
      <c r="I231" t="s">
        <v>4571</v>
      </c>
      <c r="J231" t="s">
        <v>4483</v>
      </c>
      <c r="K231" t="s">
        <v>74</v>
      </c>
      <c r="L231" t="s">
        <v>74</v>
      </c>
      <c r="M231" t="s">
        <v>78</v>
      </c>
      <c r="N231" t="s">
        <v>79</v>
      </c>
      <c r="O231" t="s">
        <v>74</v>
      </c>
      <c r="P231" t="s">
        <v>74</v>
      </c>
      <c r="Q231" t="s">
        <v>74</v>
      </c>
      <c r="R231" t="s">
        <v>74</v>
      </c>
      <c r="S231" t="s">
        <v>74</v>
      </c>
      <c r="T231" t="s">
        <v>74</v>
      </c>
      <c r="U231" t="s">
        <v>4572</v>
      </c>
      <c r="V231" t="s">
        <v>4573</v>
      </c>
      <c r="W231" t="s">
        <v>4574</v>
      </c>
      <c r="X231" t="s">
        <v>4575</v>
      </c>
      <c r="Y231" t="s">
        <v>4576</v>
      </c>
      <c r="Z231" t="s">
        <v>4577</v>
      </c>
      <c r="AA231" t="s">
        <v>74</v>
      </c>
      <c r="AB231" t="s">
        <v>4578</v>
      </c>
      <c r="AC231" t="s">
        <v>4579</v>
      </c>
      <c r="AD231" t="s">
        <v>4579</v>
      </c>
      <c r="AE231" t="s">
        <v>4580</v>
      </c>
      <c r="AF231" t="s">
        <v>74</v>
      </c>
      <c r="AG231">
        <v>30</v>
      </c>
      <c r="AH231">
        <v>61</v>
      </c>
      <c r="AI231">
        <v>65</v>
      </c>
      <c r="AJ231">
        <v>0</v>
      </c>
      <c r="AK231">
        <v>12</v>
      </c>
      <c r="AL231" t="s">
        <v>2614</v>
      </c>
      <c r="AM231" t="s">
        <v>2615</v>
      </c>
      <c r="AN231" t="s">
        <v>2910</v>
      </c>
      <c r="AO231" t="s">
        <v>4493</v>
      </c>
      <c r="AP231" t="s">
        <v>4494</v>
      </c>
      <c r="AQ231" t="s">
        <v>74</v>
      </c>
      <c r="AR231" t="s">
        <v>4495</v>
      </c>
      <c r="AS231" t="s">
        <v>4496</v>
      </c>
      <c r="AT231" t="s">
        <v>4386</v>
      </c>
      <c r="AU231">
        <v>2009</v>
      </c>
      <c r="AV231">
        <v>41</v>
      </c>
      <c r="AW231">
        <v>4</v>
      </c>
      <c r="AX231" t="s">
        <v>74</v>
      </c>
      <c r="AY231" t="s">
        <v>74</v>
      </c>
      <c r="AZ231" t="s">
        <v>74</v>
      </c>
      <c r="BA231" t="s">
        <v>74</v>
      </c>
      <c r="BB231">
        <v>455</v>
      </c>
      <c r="BC231">
        <v>459</v>
      </c>
      <c r="BD231" t="s">
        <v>74</v>
      </c>
      <c r="BE231" t="s">
        <v>4581</v>
      </c>
      <c r="BF231" t="str">
        <f>HYPERLINK("http://dx.doi.org/10.1657/1938-4246-41.4.455","http://dx.doi.org/10.1657/1938-4246-41.4.455")</f>
        <v>http://dx.doi.org/10.1657/1938-4246-41.4.455</v>
      </c>
      <c r="BG231" t="s">
        <v>74</v>
      </c>
      <c r="BH231" t="s">
        <v>74</v>
      </c>
      <c r="BI231">
        <v>5</v>
      </c>
      <c r="BJ231" t="s">
        <v>4498</v>
      </c>
      <c r="BK231" t="s">
        <v>98</v>
      </c>
      <c r="BL231" t="s">
        <v>4499</v>
      </c>
      <c r="BM231" t="s">
        <v>4500</v>
      </c>
      <c r="BN231" t="s">
        <v>74</v>
      </c>
      <c r="BO231" t="s">
        <v>1119</v>
      </c>
      <c r="BP231" t="s">
        <v>74</v>
      </c>
      <c r="BQ231" t="s">
        <v>74</v>
      </c>
      <c r="BR231" t="s">
        <v>101</v>
      </c>
      <c r="BS231" t="s">
        <v>4582</v>
      </c>
      <c r="BT231" t="str">
        <f>HYPERLINK("https%3A%2F%2Fwww.webofscience.com%2Fwos%2Fwoscc%2Ffull-record%2FWOS:000272503400006","View Full Record in Web of Science")</f>
        <v>View Full Record in Web of Science</v>
      </c>
    </row>
    <row r="232" spans="1:72" x14ac:dyDescent="0.15">
      <c r="A232" t="s">
        <v>72</v>
      </c>
      <c r="B232" t="s">
        <v>4583</v>
      </c>
      <c r="C232" t="s">
        <v>74</v>
      </c>
      <c r="D232" t="s">
        <v>74</v>
      </c>
      <c r="E232" t="s">
        <v>74</v>
      </c>
      <c r="F232" t="s">
        <v>4584</v>
      </c>
      <c r="G232" t="s">
        <v>74</v>
      </c>
      <c r="H232" t="s">
        <v>74</v>
      </c>
      <c r="I232" t="s">
        <v>4585</v>
      </c>
      <c r="J232" t="s">
        <v>4483</v>
      </c>
      <c r="K232" t="s">
        <v>74</v>
      </c>
      <c r="L232" t="s">
        <v>74</v>
      </c>
      <c r="M232" t="s">
        <v>78</v>
      </c>
      <c r="N232" t="s">
        <v>79</v>
      </c>
      <c r="O232" t="s">
        <v>74</v>
      </c>
      <c r="P232" t="s">
        <v>74</v>
      </c>
      <c r="Q232" t="s">
        <v>74</v>
      </c>
      <c r="R232" t="s">
        <v>74</v>
      </c>
      <c r="S232" t="s">
        <v>74</v>
      </c>
      <c r="T232" t="s">
        <v>74</v>
      </c>
      <c r="U232" t="s">
        <v>4586</v>
      </c>
      <c r="V232" t="s">
        <v>4587</v>
      </c>
      <c r="W232" t="s">
        <v>4588</v>
      </c>
      <c r="X232" t="s">
        <v>4589</v>
      </c>
      <c r="Y232" t="s">
        <v>4590</v>
      </c>
      <c r="Z232" t="s">
        <v>4591</v>
      </c>
      <c r="AA232" t="s">
        <v>4592</v>
      </c>
      <c r="AB232" t="s">
        <v>4593</v>
      </c>
      <c r="AC232" t="s">
        <v>4594</v>
      </c>
      <c r="AD232" t="s">
        <v>4595</v>
      </c>
      <c r="AE232" t="s">
        <v>4596</v>
      </c>
      <c r="AF232" t="s">
        <v>74</v>
      </c>
      <c r="AG232">
        <v>52</v>
      </c>
      <c r="AH232">
        <v>26</v>
      </c>
      <c r="AI232">
        <v>28</v>
      </c>
      <c r="AJ232">
        <v>0</v>
      </c>
      <c r="AK232">
        <v>8</v>
      </c>
      <c r="AL232" t="s">
        <v>2614</v>
      </c>
      <c r="AM232" t="s">
        <v>2615</v>
      </c>
      <c r="AN232" t="s">
        <v>2910</v>
      </c>
      <c r="AO232" t="s">
        <v>4493</v>
      </c>
      <c r="AP232" t="s">
        <v>4494</v>
      </c>
      <c r="AQ232" t="s">
        <v>74</v>
      </c>
      <c r="AR232" t="s">
        <v>4495</v>
      </c>
      <c r="AS232" t="s">
        <v>4496</v>
      </c>
      <c r="AT232" t="s">
        <v>4386</v>
      </c>
      <c r="AU232">
        <v>2009</v>
      </c>
      <c r="AV232">
        <v>41</v>
      </c>
      <c r="AW232">
        <v>4</v>
      </c>
      <c r="AX232" t="s">
        <v>74</v>
      </c>
      <c r="AY232" t="s">
        <v>74</v>
      </c>
      <c r="AZ232" t="s">
        <v>74</v>
      </c>
      <c r="BA232" t="s">
        <v>74</v>
      </c>
      <c r="BB232">
        <v>460</v>
      </c>
      <c r="BC232">
        <v>468</v>
      </c>
      <c r="BD232" t="s">
        <v>74</v>
      </c>
      <c r="BE232" t="s">
        <v>4597</v>
      </c>
      <c r="BF232" t="str">
        <f>HYPERLINK("http://dx.doi.org/10.1657/1938-4246-41.4.460","http://dx.doi.org/10.1657/1938-4246-41.4.460")</f>
        <v>http://dx.doi.org/10.1657/1938-4246-41.4.460</v>
      </c>
      <c r="BG232" t="s">
        <v>74</v>
      </c>
      <c r="BH232" t="s">
        <v>74</v>
      </c>
      <c r="BI232">
        <v>9</v>
      </c>
      <c r="BJ232" t="s">
        <v>4498</v>
      </c>
      <c r="BK232" t="s">
        <v>98</v>
      </c>
      <c r="BL232" t="s">
        <v>4499</v>
      </c>
      <c r="BM232" t="s">
        <v>4500</v>
      </c>
      <c r="BN232" t="s">
        <v>74</v>
      </c>
      <c r="BO232" t="s">
        <v>4550</v>
      </c>
      <c r="BP232" t="s">
        <v>74</v>
      </c>
      <c r="BQ232" t="s">
        <v>74</v>
      </c>
      <c r="BR232" t="s">
        <v>101</v>
      </c>
      <c r="BS232" t="s">
        <v>4598</v>
      </c>
      <c r="BT232" t="str">
        <f>HYPERLINK("https%3A%2F%2Fwww.webofscience.com%2Fwos%2Fwoscc%2Ffull-record%2FWOS:000272503400007","View Full Record in Web of Science")</f>
        <v>View Full Record in Web of Science</v>
      </c>
    </row>
    <row r="233" spans="1:72" x14ac:dyDescent="0.15">
      <c r="A233" t="s">
        <v>72</v>
      </c>
      <c r="B233" t="s">
        <v>4599</v>
      </c>
      <c r="C233" t="s">
        <v>74</v>
      </c>
      <c r="D233" t="s">
        <v>74</v>
      </c>
      <c r="E233" t="s">
        <v>74</v>
      </c>
      <c r="F233" t="s">
        <v>4600</v>
      </c>
      <c r="G233" t="s">
        <v>74</v>
      </c>
      <c r="H233" t="s">
        <v>74</v>
      </c>
      <c r="I233" t="s">
        <v>4601</v>
      </c>
      <c r="J233" t="s">
        <v>4483</v>
      </c>
      <c r="K233" t="s">
        <v>74</v>
      </c>
      <c r="L233" t="s">
        <v>74</v>
      </c>
      <c r="M233" t="s">
        <v>78</v>
      </c>
      <c r="N233" t="s">
        <v>79</v>
      </c>
      <c r="O233" t="s">
        <v>74</v>
      </c>
      <c r="P233" t="s">
        <v>74</v>
      </c>
      <c r="Q233" t="s">
        <v>74</v>
      </c>
      <c r="R233" t="s">
        <v>74</v>
      </c>
      <c r="S233" t="s">
        <v>74</v>
      </c>
      <c r="T233" t="s">
        <v>74</v>
      </c>
      <c r="U233" t="s">
        <v>4602</v>
      </c>
      <c r="V233" t="s">
        <v>4603</v>
      </c>
      <c r="W233" t="s">
        <v>4604</v>
      </c>
      <c r="X233" t="s">
        <v>4605</v>
      </c>
      <c r="Y233" t="s">
        <v>4606</v>
      </c>
      <c r="Z233" t="s">
        <v>4607</v>
      </c>
      <c r="AA233" t="s">
        <v>4608</v>
      </c>
      <c r="AB233" t="s">
        <v>4609</v>
      </c>
      <c r="AC233" t="s">
        <v>4610</v>
      </c>
      <c r="AD233" t="s">
        <v>4611</v>
      </c>
      <c r="AE233" t="s">
        <v>4612</v>
      </c>
      <c r="AF233" t="s">
        <v>74</v>
      </c>
      <c r="AG233">
        <v>73</v>
      </c>
      <c r="AH233">
        <v>23</v>
      </c>
      <c r="AI233">
        <v>26</v>
      </c>
      <c r="AJ233">
        <v>7</v>
      </c>
      <c r="AK233">
        <v>51</v>
      </c>
      <c r="AL233" t="s">
        <v>2614</v>
      </c>
      <c r="AM233" t="s">
        <v>2615</v>
      </c>
      <c r="AN233" t="s">
        <v>2910</v>
      </c>
      <c r="AO233" t="s">
        <v>4493</v>
      </c>
      <c r="AP233" t="s">
        <v>4494</v>
      </c>
      <c r="AQ233" t="s">
        <v>74</v>
      </c>
      <c r="AR233" t="s">
        <v>4495</v>
      </c>
      <c r="AS233" t="s">
        <v>4496</v>
      </c>
      <c r="AT233" t="s">
        <v>4386</v>
      </c>
      <c r="AU233">
        <v>2009</v>
      </c>
      <c r="AV233">
        <v>41</v>
      </c>
      <c r="AW233">
        <v>4</v>
      </c>
      <c r="AX233" t="s">
        <v>74</v>
      </c>
      <c r="AY233" t="s">
        <v>74</v>
      </c>
      <c r="AZ233" t="s">
        <v>74</v>
      </c>
      <c r="BA233" t="s">
        <v>74</v>
      </c>
      <c r="BB233">
        <v>469</v>
      </c>
      <c r="BC233">
        <v>477</v>
      </c>
      <c r="BD233" t="s">
        <v>74</v>
      </c>
      <c r="BE233" t="s">
        <v>4613</v>
      </c>
      <c r="BF233" t="str">
        <f>HYPERLINK("http://dx.doi.org/10.1657/1938-4246-41.4.999","http://dx.doi.org/10.1657/1938-4246-41.4.999")</f>
        <v>http://dx.doi.org/10.1657/1938-4246-41.4.999</v>
      </c>
      <c r="BG233" t="s">
        <v>74</v>
      </c>
      <c r="BH233" t="s">
        <v>74</v>
      </c>
      <c r="BI233">
        <v>9</v>
      </c>
      <c r="BJ233" t="s">
        <v>4498</v>
      </c>
      <c r="BK233" t="s">
        <v>98</v>
      </c>
      <c r="BL233" t="s">
        <v>4499</v>
      </c>
      <c r="BM233" t="s">
        <v>4500</v>
      </c>
      <c r="BN233" t="s">
        <v>74</v>
      </c>
      <c r="BO233" t="s">
        <v>627</v>
      </c>
      <c r="BP233" t="s">
        <v>74</v>
      </c>
      <c r="BQ233" t="s">
        <v>74</v>
      </c>
      <c r="BR233" t="s">
        <v>101</v>
      </c>
      <c r="BS233" t="s">
        <v>4614</v>
      </c>
      <c r="BT233" t="str">
        <f>HYPERLINK("https%3A%2F%2Fwww.webofscience.com%2Fwos%2Fwoscc%2Ffull-record%2FWOS:000272503400008","View Full Record in Web of Science")</f>
        <v>View Full Record in Web of Science</v>
      </c>
    </row>
    <row r="234" spans="1:72" x14ac:dyDescent="0.15">
      <c r="A234" t="s">
        <v>72</v>
      </c>
      <c r="B234" t="s">
        <v>4615</v>
      </c>
      <c r="C234" t="s">
        <v>74</v>
      </c>
      <c r="D234" t="s">
        <v>74</v>
      </c>
      <c r="E234" t="s">
        <v>74</v>
      </c>
      <c r="F234" t="s">
        <v>4616</v>
      </c>
      <c r="G234" t="s">
        <v>74</v>
      </c>
      <c r="H234" t="s">
        <v>74</v>
      </c>
      <c r="I234" t="s">
        <v>4617</v>
      </c>
      <c r="J234" t="s">
        <v>4483</v>
      </c>
      <c r="K234" t="s">
        <v>74</v>
      </c>
      <c r="L234" t="s">
        <v>74</v>
      </c>
      <c r="M234" t="s">
        <v>78</v>
      </c>
      <c r="N234" t="s">
        <v>79</v>
      </c>
      <c r="O234" t="s">
        <v>74</v>
      </c>
      <c r="P234" t="s">
        <v>74</v>
      </c>
      <c r="Q234" t="s">
        <v>74</v>
      </c>
      <c r="R234" t="s">
        <v>74</v>
      </c>
      <c r="S234" t="s">
        <v>74</v>
      </c>
      <c r="T234" t="s">
        <v>74</v>
      </c>
      <c r="U234" t="s">
        <v>4618</v>
      </c>
      <c r="V234" t="s">
        <v>4619</v>
      </c>
      <c r="W234" t="s">
        <v>4620</v>
      </c>
      <c r="X234" t="s">
        <v>4621</v>
      </c>
      <c r="Y234" t="s">
        <v>4622</v>
      </c>
      <c r="Z234" t="s">
        <v>4623</v>
      </c>
      <c r="AA234" t="s">
        <v>74</v>
      </c>
      <c r="AB234" t="s">
        <v>74</v>
      </c>
      <c r="AC234" t="s">
        <v>74</v>
      </c>
      <c r="AD234" t="s">
        <v>74</v>
      </c>
      <c r="AE234" t="s">
        <v>74</v>
      </c>
      <c r="AF234" t="s">
        <v>74</v>
      </c>
      <c r="AG234">
        <v>62</v>
      </c>
      <c r="AH234">
        <v>30</v>
      </c>
      <c r="AI234">
        <v>37</v>
      </c>
      <c r="AJ234">
        <v>0</v>
      </c>
      <c r="AK234">
        <v>42</v>
      </c>
      <c r="AL234" t="s">
        <v>2614</v>
      </c>
      <c r="AM234" t="s">
        <v>2615</v>
      </c>
      <c r="AN234" t="s">
        <v>2910</v>
      </c>
      <c r="AO234" t="s">
        <v>4493</v>
      </c>
      <c r="AP234" t="s">
        <v>4494</v>
      </c>
      <c r="AQ234" t="s">
        <v>74</v>
      </c>
      <c r="AR234" t="s">
        <v>4495</v>
      </c>
      <c r="AS234" t="s">
        <v>4496</v>
      </c>
      <c r="AT234" t="s">
        <v>4386</v>
      </c>
      <c r="AU234">
        <v>2009</v>
      </c>
      <c r="AV234">
        <v>41</v>
      </c>
      <c r="AW234">
        <v>4</v>
      </c>
      <c r="AX234" t="s">
        <v>74</v>
      </c>
      <c r="AY234" t="s">
        <v>74</v>
      </c>
      <c r="AZ234" t="s">
        <v>74</v>
      </c>
      <c r="BA234" t="s">
        <v>74</v>
      </c>
      <c r="BB234">
        <v>478</v>
      </c>
      <c r="BC234">
        <v>485</v>
      </c>
      <c r="BD234" t="s">
        <v>74</v>
      </c>
      <c r="BE234" t="s">
        <v>4624</v>
      </c>
      <c r="BF234" t="str">
        <f>HYPERLINK("http://dx.doi.org/10.1657/1938-4246-41.4.478","http://dx.doi.org/10.1657/1938-4246-41.4.478")</f>
        <v>http://dx.doi.org/10.1657/1938-4246-41.4.478</v>
      </c>
      <c r="BG234" t="s">
        <v>74</v>
      </c>
      <c r="BH234" t="s">
        <v>74</v>
      </c>
      <c r="BI234">
        <v>8</v>
      </c>
      <c r="BJ234" t="s">
        <v>4498</v>
      </c>
      <c r="BK234" t="s">
        <v>98</v>
      </c>
      <c r="BL234" t="s">
        <v>4499</v>
      </c>
      <c r="BM234" t="s">
        <v>4500</v>
      </c>
      <c r="BN234" t="s">
        <v>74</v>
      </c>
      <c r="BO234" t="s">
        <v>4550</v>
      </c>
      <c r="BP234" t="s">
        <v>74</v>
      </c>
      <c r="BQ234" t="s">
        <v>74</v>
      </c>
      <c r="BR234" t="s">
        <v>101</v>
      </c>
      <c r="BS234" t="s">
        <v>4625</v>
      </c>
      <c r="BT234" t="str">
        <f>HYPERLINK("https%3A%2F%2Fwww.webofscience.com%2Fwos%2Fwoscc%2Ffull-record%2FWOS:000272503400009","View Full Record in Web of Science")</f>
        <v>View Full Record in Web of Science</v>
      </c>
    </row>
    <row r="235" spans="1:72" x14ac:dyDescent="0.15">
      <c r="A235" t="s">
        <v>72</v>
      </c>
      <c r="B235" t="s">
        <v>4626</v>
      </c>
      <c r="C235" t="s">
        <v>74</v>
      </c>
      <c r="D235" t="s">
        <v>74</v>
      </c>
      <c r="E235" t="s">
        <v>74</v>
      </c>
      <c r="F235" t="s">
        <v>4627</v>
      </c>
      <c r="G235" t="s">
        <v>74</v>
      </c>
      <c r="H235" t="s">
        <v>74</v>
      </c>
      <c r="I235" t="s">
        <v>4628</v>
      </c>
      <c r="J235" t="s">
        <v>4483</v>
      </c>
      <c r="K235" t="s">
        <v>74</v>
      </c>
      <c r="L235" t="s">
        <v>74</v>
      </c>
      <c r="M235" t="s">
        <v>78</v>
      </c>
      <c r="N235" t="s">
        <v>79</v>
      </c>
      <c r="O235" t="s">
        <v>74</v>
      </c>
      <c r="P235" t="s">
        <v>74</v>
      </c>
      <c r="Q235" t="s">
        <v>74</v>
      </c>
      <c r="R235" t="s">
        <v>74</v>
      </c>
      <c r="S235" t="s">
        <v>74</v>
      </c>
      <c r="T235" t="s">
        <v>74</v>
      </c>
      <c r="U235" t="s">
        <v>4629</v>
      </c>
      <c r="V235" t="s">
        <v>4630</v>
      </c>
      <c r="W235" t="s">
        <v>4631</v>
      </c>
      <c r="X235" t="s">
        <v>4632</v>
      </c>
      <c r="Y235" t="s">
        <v>4633</v>
      </c>
      <c r="Z235" t="s">
        <v>4634</v>
      </c>
      <c r="AA235" t="s">
        <v>74</v>
      </c>
      <c r="AB235" t="s">
        <v>74</v>
      </c>
      <c r="AC235" t="s">
        <v>4635</v>
      </c>
      <c r="AD235" t="s">
        <v>4636</v>
      </c>
      <c r="AE235" t="s">
        <v>4637</v>
      </c>
      <c r="AF235" t="s">
        <v>74</v>
      </c>
      <c r="AG235">
        <v>60</v>
      </c>
      <c r="AH235">
        <v>14</v>
      </c>
      <c r="AI235">
        <v>15</v>
      </c>
      <c r="AJ235">
        <v>0</v>
      </c>
      <c r="AK235">
        <v>13</v>
      </c>
      <c r="AL235" t="s">
        <v>2614</v>
      </c>
      <c r="AM235" t="s">
        <v>2615</v>
      </c>
      <c r="AN235" t="s">
        <v>2910</v>
      </c>
      <c r="AO235" t="s">
        <v>4493</v>
      </c>
      <c r="AP235" t="s">
        <v>4494</v>
      </c>
      <c r="AQ235" t="s">
        <v>74</v>
      </c>
      <c r="AR235" t="s">
        <v>4495</v>
      </c>
      <c r="AS235" t="s">
        <v>4496</v>
      </c>
      <c r="AT235" t="s">
        <v>4386</v>
      </c>
      <c r="AU235">
        <v>2009</v>
      </c>
      <c r="AV235">
        <v>41</v>
      </c>
      <c r="AW235">
        <v>4</v>
      </c>
      <c r="AX235" t="s">
        <v>74</v>
      </c>
      <c r="AY235" t="s">
        <v>74</v>
      </c>
      <c r="AZ235" t="s">
        <v>74</v>
      </c>
      <c r="BA235" t="s">
        <v>74</v>
      </c>
      <c r="BB235">
        <v>486</v>
      </c>
      <c r="BC235">
        <v>496</v>
      </c>
      <c r="BD235" t="s">
        <v>74</v>
      </c>
      <c r="BE235" t="s">
        <v>4638</v>
      </c>
      <c r="BF235" t="str">
        <f>HYPERLINK("http://dx.doi.org/10.1657/1938-4246-41.4.486","http://dx.doi.org/10.1657/1938-4246-41.4.486")</f>
        <v>http://dx.doi.org/10.1657/1938-4246-41.4.486</v>
      </c>
      <c r="BG235" t="s">
        <v>74</v>
      </c>
      <c r="BH235" t="s">
        <v>74</v>
      </c>
      <c r="BI235">
        <v>11</v>
      </c>
      <c r="BJ235" t="s">
        <v>4498</v>
      </c>
      <c r="BK235" t="s">
        <v>98</v>
      </c>
      <c r="BL235" t="s">
        <v>4499</v>
      </c>
      <c r="BM235" t="s">
        <v>4500</v>
      </c>
      <c r="BN235" t="s">
        <v>74</v>
      </c>
      <c r="BO235" t="s">
        <v>4550</v>
      </c>
      <c r="BP235" t="s">
        <v>74</v>
      </c>
      <c r="BQ235" t="s">
        <v>74</v>
      </c>
      <c r="BR235" t="s">
        <v>101</v>
      </c>
      <c r="BS235" t="s">
        <v>4639</v>
      </c>
      <c r="BT235" t="str">
        <f>HYPERLINK("https%3A%2F%2Fwww.webofscience.com%2Fwos%2Fwoscc%2Ffull-record%2FWOS:000272503400010","View Full Record in Web of Science")</f>
        <v>View Full Record in Web of Science</v>
      </c>
    </row>
    <row r="236" spans="1:72" x14ac:dyDescent="0.15">
      <c r="A236" t="s">
        <v>72</v>
      </c>
      <c r="B236" t="s">
        <v>4640</v>
      </c>
      <c r="C236" t="s">
        <v>74</v>
      </c>
      <c r="D236" t="s">
        <v>74</v>
      </c>
      <c r="E236" t="s">
        <v>74</v>
      </c>
      <c r="F236" t="s">
        <v>4641</v>
      </c>
      <c r="G236" t="s">
        <v>74</v>
      </c>
      <c r="H236" t="s">
        <v>74</v>
      </c>
      <c r="I236" t="s">
        <v>4642</v>
      </c>
      <c r="J236" t="s">
        <v>4483</v>
      </c>
      <c r="K236" t="s">
        <v>74</v>
      </c>
      <c r="L236" t="s">
        <v>74</v>
      </c>
      <c r="M236" t="s">
        <v>78</v>
      </c>
      <c r="N236" t="s">
        <v>79</v>
      </c>
      <c r="O236" t="s">
        <v>74</v>
      </c>
      <c r="P236" t="s">
        <v>74</v>
      </c>
      <c r="Q236" t="s">
        <v>74</v>
      </c>
      <c r="R236" t="s">
        <v>74</v>
      </c>
      <c r="S236" t="s">
        <v>74</v>
      </c>
      <c r="T236" t="s">
        <v>74</v>
      </c>
      <c r="U236" t="s">
        <v>4643</v>
      </c>
      <c r="V236" t="s">
        <v>4644</v>
      </c>
      <c r="W236" t="s">
        <v>4645</v>
      </c>
      <c r="X236" t="s">
        <v>4646</v>
      </c>
      <c r="Y236" t="s">
        <v>4633</v>
      </c>
      <c r="Z236" t="s">
        <v>4647</v>
      </c>
      <c r="AA236" t="s">
        <v>74</v>
      </c>
      <c r="AB236" t="s">
        <v>4648</v>
      </c>
      <c r="AC236" t="s">
        <v>4649</v>
      </c>
      <c r="AD236" t="s">
        <v>4650</v>
      </c>
      <c r="AE236" t="s">
        <v>4651</v>
      </c>
      <c r="AF236" t="s">
        <v>74</v>
      </c>
      <c r="AG236">
        <v>67</v>
      </c>
      <c r="AH236">
        <v>51</v>
      </c>
      <c r="AI236">
        <v>63</v>
      </c>
      <c r="AJ236">
        <v>1</v>
      </c>
      <c r="AK236">
        <v>43</v>
      </c>
      <c r="AL236" t="s">
        <v>4514</v>
      </c>
      <c r="AM236" t="s">
        <v>4515</v>
      </c>
      <c r="AN236" t="s">
        <v>4516</v>
      </c>
      <c r="AO236" t="s">
        <v>4493</v>
      </c>
      <c r="AP236" t="s">
        <v>4494</v>
      </c>
      <c r="AQ236" t="s">
        <v>74</v>
      </c>
      <c r="AR236" t="s">
        <v>4495</v>
      </c>
      <c r="AS236" t="s">
        <v>4496</v>
      </c>
      <c r="AT236" t="s">
        <v>4386</v>
      </c>
      <c r="AU236">
        <v>2009</v>
      </c>
      <c r="AV236">
        <v>41</v>
      </c>
      <c r="AW236">
        <v>4</v>
      </c>
      <c r="AX236" t="s">
        <v>74</v>
      </c>
      <c r="AY236" t="s">
        <v>74</v>
      </c>
      <c r="AZ236" t="s">
        <v>74</v>
      </c>
      <c r="BA236" t="s">
        <v>74</v>
      </c>
      <c r="BB236">
        <v>497</v>
      </c>
      <c r="BC236">
        <v>505</v>
      </c>
      <c r="BD236" t="s">
        <v>74</v>
      </c>
      <c r="BE236" t="s">
        <v>4652</v>
      </c>
      <c r="BF236" t="str">
        <f>HYPERLINK("http://dx.doi.org/10.1657/1938-4246-41.4.497","http://dx.doi.org/10.1657/1938-4246-41.4.497")</f>
        <v>http://dx.doi.org/10.1657/1938-4246-41.4.497</v>
      </c>
      <c r="BG236" t="s">
        <v>74</v>
      </c>
      <c r="BH236" t="s">
        <v>74</v>
      </c>
      <c r="BI236">
        <v>9</v>
      </c>
      <c r="BJ236" t="s">
        <v>4498</v>
      </c>
      <c r="BK236" t="s">
        <v>98</v>
      </c>
      <c r="BL236" t="s">
        <v>4499</v>
      </c>
      <c r="BM236" t="s">
        <v>4500</v>
      </c>
      <c r="BN236" t="s">
        <v>74</v>
      </c>
      <c r="BO236" t="s">
        <v>4550</v>
      </c>
      <c r="BP236" t="s">
        <v>74</v>
      </c>
      <c r="BQ236" t="s">
        <v>74</v>
      </c>
      <c r="BR236" t="s">
        <v>101</v>
      </c>
      <c r="BS236" t="s">
        <v>4653</v>
      </c>
      <c r="BT236" t="str">
        <f>HYPERLINK("https%3A%2F%2Fwww.webofscience.com%2Fwos%2Fwoscc%2Ffull-record%2FWOS:000272503400011","View Full Record in Web of Science")</f>
        <v>View Full Record in Web of Science</v>
      </c>
    </row>
    <row r="237" spans="1:72" x14ac:dyDescent="0.15">
      <c r="A237" t="s">
        <v>72</v>
      </c>
      <c r="B237" t="s">
        <v>4654</v>
      </c>
      <c r="C237" t="s">
        <v>74</v>
      </c>
      <c r="D237" t="s">
        <v>74</v>
      </c>
      <c r="E237" t="s">
        <v>74</v>
      </c>
      <c r="F237" t="s">
        <v>4655</v>
      </c>
      <c r="G237" t="s">
        <v>74</v>
      </c>
      <c r="H237" t="s">
        <v>74</v>
      </c>
      <c r="I237" t="s">
        <v>4656</v>
      </c>
      <c r="J237" t="s">
        <v>4483</v>
      </c>
      <c r="K237" t="s">
        <v>74</v>
      </c>
      <c r="L237" t="s">
        <v>74</v>
      </c>
      <c r="M237" t="s">
        <v>78</v>
      </c>
      <c r="N237" t="s">
        <v>79</v>
      </c>
      <c r="O237" t="s">
        <v>74</v>
      </c>
      <c r="P237" t="s">
        <v>74</v>
      </c>
      <c r="Q237" t="s">
        <v>74</v>
      </c>
      <c r="R237" t="s">
        <v>74</v>
      </c>
      <c r="S237" t="s">
        <v>74</v>
      </c>
      <c r="T237" t="s">
        <v>74</v>
      </c>
      <c r="U237" t="s">
        <v>4657</v>
      </c>
      <c r="V237" t="s">
        <v>4658</v>
      </c>
      <c r="W237" t="s">
        <v>4659</v>
      </c>
      <c r="X237" t="s">
        <v>4660</v>
      </c>
      <c r="Y237" t="s">
        <v>4661</v>
      </c>
      <c r="Z237" t="s">
        <v>4662</v>
      </c>
      <c r="AA237" t="s">
        <v>4663</v>
      </c>
      <c r="AB237" t="s">
        <v>4664</v>
      </c>
      <c r="AC237" t="s">
        <v>4665</v>
      </c>
      <c r="AD237" t="s">
        <v>4666</v>
      </c>
      <c r="AE237" t="s">
        <v>4667</v>
      </c>
      <c r="AF237" t="s">
        <v>74</v>
      </c>
      <c r="AG237">
        <v>54</v>
      </c>
      <c r="AH237">
        <v>59</v>
      </c>
      <c r="AI237">
        <v>67</v>
      </c>
      <c r="AJ237">
        <v>2</v>
      </c>
      <c r="AK237">
        <v>41</v>
      </c>
      <c r="AL237" t="s">
        <v>2614</v>
      </c>
      <c r="AM237" t="s">
        <v>2615</v>
      </c>
      <c r="AN237" t="s">
        <v>2910</v>
      </c>
      <c r="AO237" t="s">
        <v>4493</v>
      </c>
      <c r="AP237" t="s">
        <v>4494</v>
      </c>
      <c r="AQ237" t="s">
        <v>74</v>
      </c>
      <c r="AR237" t="s">
        <v>4495</v>
      </c>
      <c r="AS237" t="s">
        <v>4496</v>
      </c>
      <c r="AT237" t="s">
        <v>4386</v>
      </c>
      <c r="AU237">
        <v>2009</v>
      </c>
      <c r="AV237">
        <v>41</v>
      </c>
      <c r="AW237">
        <v>4</v>
      </c>
      <c r="AX237" t="s">
        <v>74</v>
      </c>
      <c r="AY237" t="s">
        <v>74</v>
      </c>
      <c r="AZ237" t="s">
        <v>74</v>
      </c>
      <c r="BA237" t="s">
        <v>74</v>
      </c>
      <c r="BB237">
        <v>506</v>
      </c>
      <c r="BC237">
        <v>514</v>
      </c>
      <c r="BD237" t="s">
        <v>74</v>
      </c>
      <c r="BE237" t="s">
        <v>4668</v>
      </c>
      <c r="BF237" t="str">
        <f>HYPERLINK("http://dx.doi.org/10.1657/1938-4246-41.4.506","http://dx.doi.org/10.1657/1938-4246-41.4.506")</f>
        <v>http://dx.doi.org/10.1657/1938-4246-41.4.506</v>
      </c>
      <c r="BG237" t="s">
        <v>74</v>
      </c>
      <c r="BH237" t="s">
        <v>74</v>
      </c>
      <c r="BI237">
        <v>9</v>
      </c>
      <c r="BJ237" t="s">
        <v>4498</v>
      </c>
      <c r="BK237" t="s">
        <v>98</v>
      </c>
      <c r="BL237" t="s">
        <v>4499</v>
      </c>
      <c r="BM237" t="s">
        <v>4500</v>
      </c>
      <c r="BN237" t="s">
        <v>74</v>
      </c>
      <c r="BO237" t="s">
        <v>627</v>
      </c>
      <c r="BP237" t="s">
        <v>74</v>
      </c>
      <c r="BQ237" t="s">
        <v>74</v>
      </c>
      <c r="BR237" t="s">
        <v>101</v>
      </c>
      <c r="BS237" t="s">
        <v>4669</v>
      </c>
      <c r="BT237" t="str">
        <f>HYPERLINK("https%3A%2F%2Fwww.webofscience.com%2Fwos%2Fwoscc%2Ffull-record%2FWOS:000272503400012","View Full Record in Web of Science")</f>
        <v>View Full Record in Web of Science</v>
      </c>
    </row>
    <row r="238" spans="1:72" x14ac:dyDescent="0.15">
      <c r="A238" t="s">
        <v>72</v>
      </c>
      <c r="B238" t="s">
        <v>4670</v>
      </c>
      <c r="C238" t="s">
        <v>74</v>
      </c>
      <c r="D238" t="s">
        <v>74</v>
      </c>
      <c r="E238" t="s">
        <v>74</v>
      </c>
      <c r="F238" t="s">
        <v>4671</v>
      </c>
      <c r="G238" t="s">
        <v>74</v>
      </c>
      <c r="H238" t="s">
        <v>74</v>
      </c>
      <c r="I238" t="s">
        <v>4672</v>
      </c>
      <c r="J238" t="s">
        <v>4483</v>
      </c>
      <c r="K238" t="s">
        <v>74</v>
      </c>
      <c r="L238" t="s">
        <v>74</v>
      </c>
      <c r="M238" t="s">
        <v>78</v>
      </c>
      <c r="N238" t="s">
        <v>79</v>
      </c>
      <c r="O238" t="s">
        <v>74</v>
      </c>
      <c r="P238" t="s">
        <v>74</v>
      </c>
      <c r="Q238" t="s">
        <v>74</v>
      </c>
      <c r="R238" t="s">
        <v>74</v>
      </c>
      <c r="S238" t="s">
        <v>74</v>
      </c>
      <c r="T238" t="s">
        <v>74</v>
      </c>
      <c r="U238" t="s">
        <v>4673</v>
      </c>
      <c r="V238" t="s">
        <v>4674</v>
      </c>
      <c r="W238" t="s">
        <v>4675</v>
      </c>
      <c r="X238" t="s">
        <v>4676</v>
      </c>
      <c r="Y238" t="s">
        <v>4677</v>
      </c>
      <c r="Z238" t="s">
        <v>4678</v>
      </c>
      <c r="AA238" t="s">
        <v>74</v>
      </c>
      <c r="AB238" t="s">
        <v>74</v>
      </c>
      <c r="AC238" t="s">
        <v>4679</v>
      </c>
      <c r="AD238" t="s">
        <v>4680</v>
      </c>
      <c r="AE238" t="s">
        <v>4681</v>
      </c>
      <c r="AF238" t="s">
        <v>74</v>
      </c>
      <c r="AG238">
        <v>47</v>
      </c>
      <c r="AH238">
        <v>29</v>
      </c>
      <c r="AI238">
        <v>34</v>
      </c>
      <c r="AJ238">
        <v>2</v>
      </c>
      <c r="AK238">
        <v>24</v>
      </c>
      <c r="AL238" t="s">
        <v>2614</v>
      </c>
      <c r="AM238" t="s">
        <v>2615</v>
      </c>
      <c r="AN238" t="s">
        <v>2910</v>
      </c>
      <c r="AO238" t="s">
        <v>4493</v>
      </c>
      <c r="AP238" t="s">
        <v>4494</v>
      </c>
      <c r="AQ238" t="s">
        <v>74</v>
      </c>
      <c r="AR238" t="s">
        <v>4495</v>
      </c>
      <c r="AS238" t="s">
        <v>4496</v>
      </c>
      <c r="AT238" t="s">
        <v>4386</v>
      </c>
      <c r="AU238">
        <v>2009</v>
      </c>
      <c r="AV238">
        <v>41</v>
      </c>
      <c r="AW238">
        <v>4</v>
      </c>
      <c r="AX238" t="s">
        <v>74</v>
      </c>
      <c r="AY238" t="s">
        <v>74</v>
      </c>
      <c r="AZ238" t="s">
        <v>74</v>
      </c>
      <c r="BA238" t="s">
        <v>74</v>
      </c>
      <c r="BB238">
        <v>515</v>
      </c>
      <c r="BC238">
        <v>521</v>
      </c>
      <c r="BD238" t="s">
        <v>74</v>
      </c>
      <c r="BE238" t="s">
        <v>4682</v>
      </c>
      <c r="BF238" t="str">
        <f>HYPERLINK("http://dx.doi.org/10.1657/1938-4246-41.4.515","http://dx.doi.org/10.1657/1938-4246-41.4.515")</f>
        <v>http://dx.doi.org/10.1657/1938-4246-41.4.515</v>
      </c>
      <c r="BG238" t="s">
        <v>74</v>
      </c>
      <c r="BH238" t="s">
        <v>74</v>
      </c>
      <c r="BI238">
        <v>7</v>
      </c>
      <c r="BJ238" t="s">
        <v>4498</v>
      </c>
      <c r="BK238" t="s">
        <v>98</v>
      </c>
      <c r="BL238" t="s">
        <v>4499</v>
      </c>
      <c r="BM238" t="s">
        <v>4500</v>
      </c>
      <c r="BN238" t="s">
        <v>74</v>
      </c>
      <c r="BO238" t="s">
        <v>74</v>
      </c>
      <c r="BP238" t="s">
        <v>74</v>
      </c>
      <c r="BQ238" t="s">
        <v>74</v>
      </c>
      <c r="BR238" t="s">
        <v>101</v>
      </c>
      <c r="BS238" t="s">
        <v>4683</v>
      </c>
      <c r="BT238" t="str">
        <f>HYPERLINK("https%3A%2F%2Fwww.webofscience.com%2Fwos%2Fwoscc%2Ffull-record%2FWOS:000272503400013","View Full Record in Web of Science")</f>
        <v>View Full Record in Web of Science</v>
      </c>
    </row>
    <row r="239" spans="1:72" x14ac:dyDescent="0.15">
      <c r="A239" t="s">
        <v>72</v>
      </c>
      <c r="B239" t="s">
        <v>4684</v>
      </c>
      <c r="C239" t="s">
        <v>74</v>
      </c>
      <c r="D239" t="s">
        <v>74</v>
      </c>
      <c r="E239" t="s">
        <v>74</v>
      </c>
      <c r="F239" t="s">
        <v>4685</v>
      </c>
      <c r="G239" t="s">
        <v>74</v>
      </c>
      <c r="H239" t="s">
        <v>74</v>
      </c>
      <c r="I239" t="s">
        <v>4686</v>
      </c>
      <c r="J239" t="s">
        <v>4687</v>
      </c>
      <c r="K239" t="s">
        <v>74</v>
      </c>
      <c r="L239" t="s">
        <v>74</v>
      </c>
      <c r="M239" t="s">
        <v>78</v>
      </c>
      <c r="N239" t="s">
        <v>79</v>
      </c>
      <c r="O239" t="s">
        <v>74</v>
      </c>
      <c r="P239" t="s">
        <v>74</v>
      </c>
      <c r="Q239" t="s">
        <v>74</v>
      </c>
      <c r="R239" t="s">
        <v>74</v>
      </c>
      <c r="S239" t="s">
        <v>74</v>
      </c>
      <c r="T239" t="s">
        <v>4688</v>
      </c>
      <c r="U239" t="s">
        <v>4689</v>
      </c>
      <c r="V239" t="s">
        <v>4690</v>
      </c>
      <c r="W239" t="s">
        <v>4691</v>
      </c>
      <c r="X239" t="s">
        <v>4692</v>
      </c>
      <c r="Y239" t="s">
        <v>4693</v>
      </c>
      <c r="Z239" t="s">
        <v>4694</v>
      </c>
      <c r="AA239" t="s">
        <v>74</v>
      </c>
      <c r="AB239" t="s">
        <v>74</v>
      </c>
      <c r="AC239" t="s">
        <v>4695</v>
      </c>
      <c r="AD239" t="s">
        <v>4696</v>
      </c>
      <c r="AE239" t="s">
        <v>4697</v>
      </c>
      <c r="AF239" t="s">
        <v>74</v>
      </c>
      <c r="AG239">
        <v>23</v>
      </c>
      <c r="AH239">
        <v>14</v>
      </c>
      <c r="AI239">
        <v>16</v>
      </c>
      <c r="AJ239">
        <v>0</v>
      </c>
      <c r="AK239">
        <v>17</v>
      </c>
      <c r="AL239" t="s">
        <v>1894</v>
      </c>
      <c r="AM239" t="s">
        <v>1895</v>
      </c>
      <c r="AN239" t="s">
        <v>1896</v>
      </c>
      <c r="AO239" t="s">
        <v>4698</v>
      </c>
      <c r="AP239" t="s">
        <v>74</v>
      </c>
      <c r="AQ239" t="s">
        <v>74</v>
      </c>
      <c r="AR239" t="s">
        <v>4699</v>
      </c>
      <c r="AS239" t="s">
        <v>4700</v>
      </c>
      <c r="AT239" t="s">
        <v>4386</v>
      </c>
      <c r="AU239">
        <v>2009</v>
      </c>
      <c r="AV239">
        <v>43</v>
      </c>
      <c r="AW239">
        <v>34</v>
      </c>
      <c r="AX239" t="s">
        <v>74</v>
      </c>
      <c r="AY239" t="s">
        <v>74</v>
      </c>
      <c r="AZ239" t="s">
        <v>74</v>
      </c>
      <c r="BA239" t="s">
        <v>74</v>
      </c>
      <c r="BB239">
        <v>5575</v>
      </c>
      <c r="BC239">
        <v>5578</v>
      </c>
      <c r="BD239" t="s">
        <v>74</v>
      </c>
      <c r="BE239" t="s">
        <v>4701</v>
      </c>
      <c r="BF239" t="str">
        <f>HYPERLINK("http://dx.doi.org/10.1016/j.atmosenv.2009.07.030","http://dx.doi.org/10.1016/j.atmosenv.2009.07.030")</f>
        <v>http://dx.doi.org/10.1016/j.atmosenv.2009.07.030</v>
      </c>
      <c r="BG239" t="s">
        <v>74</v>
      </c>
      <c r="BH239" t="s">
        <v>74</v>
      </c>
      <c r="BI239">
        <v>4</v>
      </c>
      <c r="BJ239" t="s">
        <v>4702</v>
      </c>
      <c r="BK239" t="s">
        <v>98</v>
      </c>
      <c r="BL239" t="s">
        <v>4703</v>
      </c>
      <c r="BM239" t="s">
        <v>4704</v>
      </c>
      <c r="BN239" t="s">
        <v>74</v>
      </c>
      <c r="BO239" t="s">
        <v>74</v>
      </c>
      <c r="BP239" t="s">
        <v>74</v>
      </c>
      <c r="BQ239" t="s">
        <v>74</v>
      </c>
      <c r="BR239" t="s">
        <v>101</v>
      </c>
      <c r="BS239" t="s">
        <v>4705</v>
      </c>
      <c r="BT239" t="str">
        <f>HYPERLINK("https%3A%2F%2Fwww.webofscience.com%2Fwos%2Fwoscc%2Ffull-record%2FWOS:000271439400016","View Full Record in Web of Science")</f>
        <v>View Full Record in Web of Science</v>
      </c>
    </row>
    <row r="240" spans="1:72" x14ac:dyDescent="0.15">
      <c r="A240" t="s">
        <v>72</v>
      </c>
      <c r="B240" t="s">
        <v>4706</v>
      </c>
      <c r="C240" t="s">
        <v>74</v>
      </c>
      <c r="D240" t="s">
        <v>74</v>
      </c>
      <c r="E240" t="s">
        <v>74</v>
      </c>
      <c r="F240" t="s">
        <v>4707</v>
      </c>
      <c r="G240" t="s">
        <v>74</v>
      </c>
      <c r="H240" t="s">
        <v>74</v>
      </c>
      <c r="I240" t="s">
        <v>4708</v>
      </c>
      <c r="J240" t="s">
        <v>4709</v>
      </c>
      <c r="K240" t="s">
        <v>74</v>
      </c>
      <c r="L240" t="s">
        <v>74</v>
      </c>
      <c r="M240" t="s">
        <v>78</v>
      </c>
      <c r="N240" t="s">
        <v>79</v>
      </c>
      <c r="O240" t="s">
        <v>74</v>
      </c>
      <c r="P240" t="s">
        <v>74</v>
      </c>
      <c r="Q240" t="s">
        <v>74</v>
      </c>
      <c r="R240" t="s">
        <v>74</v>
      </c>
      <c r="S240" t="s">
        <v>74</v>
      </c>
      <c r="T240" t="s">
        <v>4710</v>
      </c>
      <c r="U240" t="s">
        <v>4711</v>
      </c>
      <c r="V240" t="s">
        <v>4712</v>
      </c>
      <c r="W240" t="s">
        <v>4713</v>
      </c>
      <c r="X240" t="s">
        <v>725</v>
      </c>
      <c r="Y240" t="s">
        <v>4714</v>
      </c>
      <c r="Z240" t="s">
        <v>4715</v>
      </c>
      <c r="AA240" t="s">
        <v>4716</v>
      </c>
      <c r="AB240" t="s">
        <v>4717</v>
      </c>
      <c r="AC240" t="s">
        <v>4718</v>
      </c>
      <c r="AD240" t="s">
        <v>730</v>
      </c>
      <c r="AE240" t="s">
        <v>74</v>
      </c>
      <c r="AF240" t="s">
        <v>74</v>
      </c>
      <c r="AG240">
        <v>68</v>
      </c>
      <c r="AH240">
        <v>54</v>
      </c>
      <c r="AI240">
        <v>66</v>
      </c>
      <c r="AJ240">
        <v>0</v>
      </c>
      <c r="AK240">
        <v>26</v>
      </c>
      <c r="AL240" t="s">
        <v>1850</v>
      </c>
      <c r="AM240" t="s">
        <v>1851</v>
      </c>
      <c r="AN240" t="s">
        <v>1852</v>
      </c>
      <c r="AO240" t="s">
        <v>4719</v>
      </c>
      <c r="AP240" t="s">
        <v>4720</v>
      </c>
      <c r="AQ240" t="s">
        <v>74</v>
      </c>
      <c r="AR240" t="s">
        <v>4721</v>
      </c>
      <c r="AS240" t="s">
        <v>4722</v>
      </c>
      <c r="AT240" t="s">
        <v>4386</v>
      </c>
      <c r="AU240">
        <v>2009</v>
      </c>
      <c r="AV240">
        <v>14</v>
      </c>
      <c r="AW240">
        <v>6</v>
      </c>
      <c r="AX240" t="s">
        <v>74</v>
      </c>
      <c r="AY240" t="s">
        <v>74</v>
      </c>
      <c r="AZ240" t="s">
        <v>74</v>
      </c>
      <c r="BA240" t="s">
        <v>74</v>
      </c>
      <c r="BB240">
        <v>649</v>
      </c>
      <c r="BC240">
        <v>660</v>
      </c>
      <c r="BD240" t="s">
        <v>74</v>
      </c>
      <c r="BE240" t="s">
        <v>4723</v>
      </c>
      <c r="BF240" t="str">
        <f>HYPERLINK("http://dx.doi.org/10.1007/s12192-009-0117-x","http://dx.doi.org/10.1007/s12192-009-0117-x")</f>
        <v>http://dx.doi.org/10.1007/s12192-009-0117-x</v>
      </c>
      <c r="BG240" t="s">
        <v>74</v>
      </c>
      <c r="BH240" t="s">
        <v>74</v>
      </c>
      <c r="BI240">
        <v>12</v>
      </c>
      <c r="BJ240" t="s">
        <v>4724</v>
      </c>
      <c r="BK240" t="s">
        <v>98</v>
      </c>
      <c r="BL240" t="s">
        <v>4724</v>
      </c>
      <c r="BM240" t="s">
        <v>4725</v>
      </c>
      <c r="BN240">
        <v>19404777</v>
      </c>
      <c r="BO240" t="s">
        <v>3064</v>
      </c>
      <c r="BP240" t="s">
        <v>74</v>
      </c>
      <c r="BQ240" t="s">
        <v>74</v>
      </c>
      <c r="BR240" t="s">
        <v>101</v>
      </c>
      <c r="BS240" t="s">
        <v>4726</v>
      </c>
      <c r="BT240" t="str">
        <f>HYPERLINK("https%3A%2F%2Fwww.webofscience.com%2Fwos%2Fwoscc%2Ffull-record%2FWOS:000271527800010","View Full Record in Web of Science")</f>
        <v>View Full Record in Web of Science</v>
      </c>
    </row>
    <row r="241" spans="1:72" x14ac:dyDescent="0.15">
      <c r="A241" t="s">
        <v>72</v>
      </c>
      <c r="B241" t="s">
        <v>4727</v>
      </c>
      <c r="C241" t="s">
        <v>74</v>
      </c>
      <c r="D241" t="s">
        <v>74</v>
      </c>
      <c r="E241" t="s">
        <v>74</v>
      </c>
      <c r="F241" t="s">
        <v>4728</v>
      </c>
      <c r="G241" t="s">
        <v>74</v>
      </c>
      <c r="H241" t="s">
        <v>74</v>
      </c>
      <c r="I241" t="s">
        <v>4729</v>
      </c>
      <c r="J241" t="s">
        <v>1753</v>
      </c>
      <c r="K241" t="s">
        <v>74</v>
      </c>
      <c r="L241" t="s">
        <v>74</v>
      </c>
      <c r="M241" t="s">
        <v>1754</v>
      </c>
      <c r="N241" t="s">
        <v>79</v>
      </c>
      <c r="O241" t="s">
        <v>74</v>
      </c>
      <c r="P241" t="s">
        <v>74</v>
      </c>
      <c r="Q241" t="s">
        <v>74</v>
      </c>
      <c r="R241" t="s">
        <v>74</v>
      </c>
      <c r="S241" t="s">
        <v>74</v>
      </c>
      <c r="T241" t="s">
        <v>4730</v>
      </c>
      <c r="U241" t="s">
        <v>4731</v>
      </c>
      <c r="V241" t="s">
        <v>4732</v>
      </c>
      <c r="W241" t="s">
        <v>4733</v>
      </c>
      <c r="X241" t="s">
        <v>4734</v>
      </c>
      <c r="Y241" t="s">
        <v>4735</v>
      </c>
      <c r="Z241" t="s">
        <v>4736</v>
      </c>
      <c r="AA241" t="s">
        <v>4737</v>
      </c>
      <c r="AB241" t="s">
        <v>74</v>
      </c>
      <c r="AC241" t="s">
        <v>74</v>
      </c>
      <c r="AD241" t="s">
        <v>74</v>
      </c>
      <c r="AE241" t="s">
        <v>74</v>
      </c>
      <c r="AF241" t="s">
        <v>74</v>
      </c>
      <c r="AG241">
        <v>29</v>
      </c>
      <c r="AH241">
        <v>2</v>
      </c>
      <c r="AI241">
        <v>3</v>
      </c>
      <c r="AJ241">
        <v>0</v>
      </c>
      <c r="AK241">
        <v>10</v>
      </c>
      <c r="AL241" t="s">
        <v>1764</v>
      </c>
      <c r="AM241" t="s">
        <v>1765</v>
      </c>
      <c r="AN241" t="s">
        <v>1766</v>
      </c>
      <c r="AO241" t="s">
        <v>1767</v>
      </c>
      <c r="AP241" t="s">
        <v>74</v>
      </c>
      <c r="AQ241" t="s">
        <v>74</v>
      </c>
      <c r="AR241" t="s">
        <v>1768</v>
      </c>
      <c r="AS241" t="s">
        <v>1769</v>
      </c>
      <c r="AT241" t="s">
        <v>4386</v>
      </c>
      <c r="AU241">
        <v>2009</v>
      </c>
      <c r="AV241">
        <v>52</v>
      </c>
      <c r="AW241">
        <v>11</v>
      </c>
      <c r="AX241" t="s">
        <v>74</v>
      </c>
      <c r="AY241" t="s">
        <v>74</v>
      </c>
      <c r="AZ241" t="s">
        <v>74</v>
      </c>
      <c r="BA241" t="s">
        <v>74</v>
      </c>
      <c r="BB241">
        <v>2689</v>
      </c>
      <c r="BC241">
        <v>2697</v>
      </c>
      <c r="BD241" t="s">
        <v>74</v>
      </c>
      <c r="BE241" t="s">
        <v>4738</v>
      </c>
      <c r="BF241" t="str">
        <f>HYPERLINK("http://dx.doi.org/10.3969/j.issn.0001-5733.2009.11.002","http://dx.doi.org/10.3969/j.issn.0001-5733.2009.11.002")</f>
        <v>http://dx.doi.org/10.3969/j.issn.0001-5733.2009.11.002</v>
      </c>
      <c r="BG241" t="s">
        <v>74</v>
      </c>
      <c r="BH241" t="s">
        <v>74</v>
      </c>
      <c r="BI241">
        <v>9</v>
      </c>
      <c r="BJ241" t="s">
        <v>261</v>
      </c>
      <c r="BK241" t="s">
        <v>98</v>
      </c>
      <c r="BL241" t="s">
        <v>261</v>
      </c>
      <c r="BM241" t="s">
        <v>4739</v>
      </c>
      <c r="BN241" t="s">
        <v>74</v>
      </c>
      <c r="BO241" t="s">
        <v>74</v>
      </c>
      <c r="BP241" t="s">
        <v>74</v>
      </c>
      <c r="BQ241" t="s">
        <v>74</v>
      </c>
      <c r="BR241" t="s">
        <v>101</v>
      </c>
      <c r="BS241" t="s">
        <v>4740</v>
      </c>
      <c r="BT241" t="str">
        <f>HYPERLINK("https%3A%2F%2Fwww.webofscience.com%2Fwos%2Fwoscc%2Ffull-record%2FWOS:000272324900002","View Full Record in Web of Science")</f>
        <v>View Full Record in Web of Science</v>
      </c>
    </row>
    <row r="242" spans="1:72" x14ac:dyDescent="0.15">
      <c r="A242" t="s">
        <v>72</v>
      </c>
      <c r="B242" t="s">
        <v>4741</v>
      </c>
      <c r="C242" t="s">
        <v>74</v>
      </c>
      <c r="D242" t="s">
        <v>74</v>
      </c>
      <c r="E242" t="s">
        <v>74</v>
      </c>
      <c r="F242" t="s">
        <v>4742</v>
      </c>
      <c r="G242" t="s">
        <v>74</v>
      </c>
      <c r="H242" t="s">
        <v>74</v>
      </c>
      <c r="I242" t="s">
        <v>4743</v>
      </c>
      <c r="J242" t="s">
        <v>4744</v>
      </c>
      <c r="K242" t="s">
        <v>74</v>
      </c>
      <c r="L242" t="s">
        <v>74</v>
      </c>
      <c r="M242" t="s">
        <v>78</v>
      </c>
      <c r="N242" t="s">
        <v>79</v>
      </c>
      <c r="O242" t="s">
        <v>74</v>
      </c>
      <c r="P242" t="s">
        <v>74</v>
      </c>
      <c r="Q242" t="s">
        <v>74</v>
      </c>
      <c r="R242" t="s">
        <v>74</v>
      </c>
      <c r="S242" t="s">
        <v>74</v>
      </c>
      <c r="T242" t="s">
        <v>4745</v>
      </c>
      <c r="U242" t="s">
        <v>4746</v>
      </c>
      <c r="V242" t="s">
        <v>4747</v>
      </c>
      <c r="W242" t="s">
        <v>4748</v>
      </c>
      <c r="X242" t="s">
        <v>4749</v>
      </c>
      <c r="Y242" t="s">
        <v>4750</v>
      </c>
      <c r="Z242" t="s">
        <v>4751</v>
      </c>
      <c r="AA242" t="s">
        <v>74</v>
      </c>
      <c r="AB242" t="s">
        <v>4752</v>
      </c>
      <c r="AC242" t="s">
        <v>4753</v>
      </c>
      <c r="AD242" t="s">
        <v>170</v>
      </c>
      <c r="AE242" t="s">
        <v>4754</v>
      </c>
      <c r="AF242" t="s">
        <v>74</v>
      </c>
      <c r="AG242">
        <v>45</v>
      </c>
      <c r="AH242">
        <v>36</v>
      </c>
      <c r="AI242">
        <v>46</v>
      </c>
      <c r="AJ242">
        <v>0</v>
      </c>
      <c r="AK242">
        <v>9</v>
      </c>
      <c r="AL242" t="s">
        <v>683</v>
      </c>
      <c r="AM242" t="s">
        <v>684</v>
      </c>
      <c r="AN242" t="s">
        <v>1826</v>
      </c>
      <c r="AO242" t="s">
        <v>4755</v>
      </c>
      <c r="AP242" t="s">
        <v>4756</v>
      </c>
      <c r="AQ242" t="s">
        <v>74</v>
      </c>
      <c r="AR242" t="s">
        <v>4757</v>
      </c>
      <c r="AS242" t="s">
        <v>4758</v>
      </c>
      <c r="AT242" t="s">
        <v>4386</v>
      </c>
      <c r="AU242">
        <v>2009</v>
      </c>
      <c r="AV242">
        <v>150</v>
      </c>
      <c r="AW242">
        <v>4</v>
      </c>
      <c r="AX242" t="s">
        <v>74</v>
      </c>
      <c r="AY242" t="s">
        <v>74</v>
      </c>
      <c r="AZ242" t="s">
        <v>74</v>
      </c>
      <c r="BA242" t="s">
        <v>74</v>
      </c>
      <c r="BB242">
        <v>528</v>
      </c>
      <c r="BC242">
        <v>536</v>
      </c>
      <c r="BD242" t="s">
        <v>74</v>
      </c>
      <c r="BE242" t="s">
        <v>4759</v>
      </c>
      <c r="BF242" t="str">
        <f>HYPERLINK("http://dx.doi.org/10.1016/j.cbpc.2009.07.008","http://dx.doi.org/10.1016/j.cbpc.2009.07.008")</f>
        <v>http://dx.doi.org/10.1016/j.cbpc.2009.07.008</v>
      </c>
      <c r="BG242" t="s">
        <v>74</v>
      </c>
      <c r="BH242" t="s">
        <v>74</v>
      </c>
      <c r="BI242">
        <v>9</v>
      </c>
      <c r="BJ242" t="s">
        <v>4760</v>
      </c>
      <c r="BK242" t="s">
        <v>98</v>
      </c>
      <c r="BL242" t="s">
        <v>4760</v>
      </c>
      <c r="BM242" t="s">
        <v>4761</v>
      </c>
      <c r="BN242">
        <v>19651242</v>
      </c>
      <c r="BO242" t="s">
        <v>74</v>
      </c>
      <c r="BP242" t="s">
        <v>74</v>
      </c>
      <c r="BQ242" t="s">
        <v>74</v>
      </c>
      <c r="BR242" t="s">
        <v>101</v>
      </c>
      <c r="BS242" t="s">
        <v>4762</v>
      </c>
      <c r="BT242" t="str">
        <f>HYPERLINK("https%3A%2F%2Fwww.webofscience.com%2Fwos%2Fwoscc%2Ffull-record%2FWOS:000270767800015","View Full Record in Web of Science")</f>
        <v>View Full Record in Web of Science</v>
      </c>
    </row>
    <row r="243" spans="1:72" x14ac:dyDescent="0.15">
      <c r="A243" t="s">
        <v>72</v>
      </c>
      <c r="B243" t="s">
        <v>4763</v>
      </c>
      <c r="C243" t="s">
        <v>74</v>
      </c>
      <c r="D243" t="s">
        <v>74</v>
      </c>
      <c r="E243" t="s">
        <v>74</v>
      </c>
      <c r="F243" t="s">
        <v>4764</v>
      </c>
      <c r="G243" t="s">
        <v>74</v>
      </c>
      <c r="H243" t="s">
        <v>74</v>
      </c>
      <c r="I243" t="s">
        <v>4765</v>
      </c>
      <c r="J243" t="s">
        <v>4766</v>
      </c>
      <c r="K243" t="s">
        <v>74</v>
      </c>
      <c r="L243" t="s">
        <v>74</v>
      </c>
      <c r="M243" t="s">
        <v>78</v>
      </c>
      <c r="N243" t="s">
        <v>79</v>
      </c>
      <c r="O243" t="s">
        <v>74</v>
      </c>
      <c r="P243" t="s">
        <v>74</v>
      </c>
      <c r="Q243" t="s">
        <v>74</v>
      </c>
      <c r="R243" t="s">
        <v>74</v>
      </c>
      <c r="S243" t="s">
        <v>74</v>
      </c>
      <c r="T243" t="s">
        <v>4767</v>
      </c>
      <c r="U243" t="s">
        <v>4768</v>
      </c>
      <c r="V243" t="s">
        <v>4769</v>
      </c>
      <c r="W243" t="s">
        <v>4770</v>
      </c>
      <c r="X243" t="s">
        <v>4771</v>
      </c>
      <c r="Y243" t="s">
        <v>4772</v>
      </c>
      <c r="Z243" t="s">
        <v>4773</v>
      </c>
      <c r="AA243" t="s">
        <v>74</v>
      </c>
      <c r="AB243" t="s">
        <v>74</v>
      </c>
      <c r="AC243" t="s">
        <v>74</v>
      </c>
      <c r="AD243" t="s">
        <v>74</v>
      </c>
      <c r="AE243" t="s">
        <v>74</v>
      </c>
      <c r="AF243" t="s">
        <v>74</v>
      </c>
      <c r="AG243">
        <v>66</v>
      </c>
      <c r="AH243">
        <v>16</v>
      </c>
      <c r="AI243">
        <v>22</v>
      </c>
      <c r="AJ243">
        <v>0</v>
      </c>
      <c r="AK243">
        <v>7</v>
      </c>
      <c r="AL243" t="s">
        <v>4774</v>
      </c>
      <c r="AM243" t="s">
        <v>4775</v>
      </c>
      <c r="AN243" t="s">
        <v>4776</v>
      </c>
      <c r="AO243" t="s">
        <v>4777</v>
      </c>
      <c r="AP243" t="s">
        <v>4778</v>
      </c>
      <c r="AQ243" t="s">
        <v>74</v>
      </c>
      <c r="AR243" t="s">
        <v>4779</v>
      </c>
      <c r="AS243" t="s">
        <v>4780</v>
      </c>
      <c r="AT243" t="s">
        <v>4386</v>
      </c>
      <c r="AU243">
        <v>2009</v>
      </c>
      <c r="AV243">
        <v>8</v>
      </c>
      <c r="AW243">
        <v>7</v>
      </c>
      <c r="AX243" t="s">
        <v>74</v>
      </c>
      <c r="AY243" t="s">
        <v>74</v>
      </c>
      <c r="AZ243" t="s">
        <v>74</v>
      </c>
      <c r="BA243" t="s">
        <v>74</v>
      </c>
      <c r="BB243">
        <v>637</v>
      </c>
      <c r="BC243">
        <v>648</v>
      </c>
      <c r="BD243" t="s">
        <v>74</v>
      </c>
      <c r="BE243" t="s">
        <v>4781</v>
      </c>
      <c r="BF243" t="str">
        <f>HYPERLINK("http://dx.doi.org/10.1016/j.crpv.2009.03.005","http://dx.doi.org/10.1016/j.crpv.2009.03.005")</f>
        <v>http://dx.doi.org/10.1016/j.crpv.2009.03.005</v>
      </c>
      <c r="BG243" t="s">
        <v>74</v>
      </c>
      <c r="BH243" t="s">
        <v>74</v>
      </c>
      <c r="BI243">
        <v>12</v>
      </c>
      <c r="BJ243" t="s">
        <v>2746</v>
      </c>
      <c r="BK243" t="s">
        <v>98</v>
      </c>
      <c r="BL243" t="s">
        <v>2746</v>
      </c>
      <c r="BM243" t="s">
        <v>4782</v>
      </c>
      <c r="BN243" t="s">
        <v>74</v>
      </c>
      <c r="BO243" t="s">
        <v>74</v>
      </c>
      <c r="BP243" t="s">
        <v>74</v>
      </c>
      <c r="BQ243" t="s">
        <v>74</v>
      </c>
      <c r="BR243" t="s">
        <v>101</v>
      </c>
      <c r="BS243" t="s">
        <v>4783</v>
      </c>
      <c r="BT243" t="str">
        <f>HYPERLINK("https%3A%2F%2Fwww.webofscience.com%2Fwos%2Fwoscc%2Ffull-record%2FWOS:000273271900005","View Full Record in Web of Science")</f>
        <v>View Full Record in Web of Science</v>
      </c>
    </row>
    <row r="244" spans="1:72" x14ac:dyDescent="0.15">
      <c r="A244" t="s">
        <v>72</v>
      </c>
      <c r="B244" t="s">
        <v>4784</v>
      </c>
      <c r="C244" t="s">
        <v>74</v>
      </c>
      <c r="D244" t="s">
        <v>74</v>
      </c>
      <c r="E244" t="s">
        <v>74</v>
      </c>
      <c r="F244" t="s">
        <v>4785</v>
      </c>
      <c r="G244" t="s">
        <v>74</v>
      </c>
      <c r="H244" t="s">
        <v>74</v>
      </c>
      <c r="I244" t="s">
        <v>4786</v>
      </c>
      <c r="J244" t="s">
        <v>4787</v>
      </c>
      <c r="K244" t="s">
        <v>74</v>
      </c>
      <c r="L244" t="s">
        <v>74</v>
      </c>
      <c r="M244" t="s">
        <v>78</v>
      </c>
      <c r="N244" t="s">
        <v>79</v>
      </c>
      <c r="O244" t="s">
        <v>74</v>
      </c>
      <c r="P244" t="s">
        <v>74</v>
      </c>
      <c r="Q244" t="s">
        <v>74</v>
      </c>
      <c r="R244" t="s">
        <v>74</v>
      </c>
      <c r="S244" t="s">
        <v>74</v>
      </c>
      <c r="T244" t="s">
        <v>4788</v>
      </c>
      <c r="U244" t="s">
        <v>4789</v>
      </c>
      <c r="V244" t="s">
        <v>4790</v>
      </c>
      <c r="W244" t="s">
        <v>4791</v>
      </c>
      <c r="X244" t="s">
        <v>4792</v>
      </c>
      <c r="Y244" t="s">
        <v>4793</v>
      </c>
      <c r="Z244" t="s">
        <v>4794</v>
      </c>
      <c r="AA244" t="s">
        <v>4795</v>
      </c>
      <c r="AB244" t="s">
        <v>4796</v>
      </c>
      <c r="AC244" t="s">
        <v>4797</v>
      </c>
      <c r="AD244" t="s">
        <v>4798</v>
      </c>
      <c r="AE244" t="s">
        <v>4799</v>
      </c>
      <c r="AF244" t="s">
        <v>74</v>
      </c>
      <c r="AG244">
        <v>30</v>
      </c>
      <c r="AH244">
        <v>18</v>
      </c>
      <c r="AI244">
        <v>24</v>
      </c>
      <c r="AJ244">
        <v>2</v>
      </c>
      <c r="AK244">
        <v>15</v>
      </c>
      <c r="AL244" t="s">
        <v>4800</v>
      </c>
      <c r="AM244" t="s">
        <v>4801</v>
      </c>
      <c r="AN244" t="s">
        <v>4802</v>
      </c>
      <c r="AO244" t="s">
        <v>4803</v>
      </c>
      <c r="AP244" t="s">
        <v>4804</v>
      </c>
      <c r="AQ244" t="s">
        <v>74</v>
      </c>
      <c r="AR244" t="s">
        <v>4805</v>
      </c>
      <c r="AS244" t="s">
        <v>4806</v>
      </c>
      <c r="AT244" t="s">
        <v>4386</v>
      </c>
      <c r="AU244">
        <v>2009</v>
      </c>
      <c r="AV244">
        <v>30</v>
      </c>
      <c r="AW244">
        <v>4</v>
      </c>
      <c r="AX244" t="s">
        <v>74</v>
      </c>
      <c r="AY244" t="s">
        <v>74</v>
      </c>
      <c r="AZ244" t="s">
        <v>74</v>
      </c>
      <c r="BA244" t="s">
        <v>74</v>
      </c>
      <c r="BB244">
        <v>295</v>
      </c>
      <c r="BC244">
        <v>310</v>
      </c>
      <c r="BD244" t="s">
        <v>74</v>
      </c>
      <c r="BE244" t="s">
        <v>74</v>
      </c>
      <c r="BF244" t="s">
        <v>74</v>
      </c>
      <c r="BG244" t="s">
        <v>74</v>
      </c>
      <c r="BH244" t="s">
        <v>74</v>
      </c>
      <c r="BI244">
        <v>16</v>
      </c>
      <c r="BJ244" t="s">
        <v>1586</v>
      </c>
      <c r="BK244" t="s">
        <v>98</v>
      </c>
      <c r="BL244" t="s">
        <v>1586</v>
      </c>
      <c r="BM244" t="s">
        <v>4807</v>
      </c>
      <c r="BN244" t="s">
        <v>74</v>
      </c>
      <c r="BO244" t="s">
        <v>74</v>
      </c>
      <c r="BP244" t="s">
        <v>74</v>
      </c>
      <c r="BQ244" t="s">
        <v>74</v>
      </c>
      <c r="BR244" t="s">
        <v>101</v>
      </c>
      <c r="BS244" t="s">
        <v>4808</v>
      </c>
      <c r="BT244" t="str">
        <f>HYPERLINK("https%3A%2F%2Fwww.webofscience.com%2Fwos%2Fwoscc%2Ffull-record%2FWOS:000272740400002","View Full Record in Web of Science")</f>
        <v>View Full Record in Web of Science</v>
      </c>
    </row>
    <row r="245" spans="1:72" x14ac:dyDescent="0.15">
      <c r="A245" t="s">
        <v>72</v>
      </c>
      <c r="B245" t="s">
        <v>4809</v>
      </c>
      <c r="C245" t="s">
        <v>74</v>
      </c>
      <c r="D245" t="s">
        <v>74</v>
      </c>
      <c r="E245" t="s">
        <v>74</v>
      </c>
      <c r="F245" t="s">
        <v>4810</v>
      </c>
      <c r="G245" t="s">
        <v>74</v>
      </c>
      <c r="H245" t="s">
        <v>74</v>
      </c>
      <c r="I245" t="s">
        <v>4811</v>
      </c>
      <c r="J245" t="s">
        <v>4812</v>
      </c>
      <c r="K245" t="s">
        <v>74</v>
      </c>
      <c r="L245" t="s">
        <v>74</v>
      </c>
      <c r="M245" t="s">
        <v>78</v>
      </c>
      <c r="N245" t="s">
        <v>79</v>
      </c>
      <c r="O245" t="s">
        <v>74</v>
      </c>
      <c r="P245" t="s">
        <v>74</v>
      </c>
      <c r="Q245" t="s">
        <v>74</v>
      </c>
      <c r="R245" t="s">
        <v>74</v>
      </c>
      <c r="S245" t="s">
        <v>74</v>
      </c>
      <c r="T245" t="s">
        <v>74</v>
      </c>
      <c r="U245" t="s">
        <v>4813</v>
      </c>
      <c r="V245" t="s">
        <v>4814</v>
      </c>
      <c r="W245" t="s">
        <v>4815</v>
      </c>
      <c r="X245" t="s">
        <v>4816</v>
      </c>
      <c r="Y245" t="s">
        <v>4817</v>
      </c>
      <c r="Z245" t="s">
        <v>4818</v>
      </c>
      <c r="AA245" t="s">
        <v>4819</v>
      </c>
      <c r="AB245" t="s">
        <v>4820</v>
      </c>
      <c r="AC245" t="s">
        <v>4821</v>
      </c>
      <c r="AD245" t="s">
        <v>4822</v>
      </c>
      <c r="AE245" t="s">
        <v>4823</v>
      </c>
      <c r="AF245" t="s">
        <v>74</v>
      </c>
      <c r="AG245">
        <v>35</v>
      </c>
      <c r="AH245">
        <v>79</v>
      </c>
      <c r="AI245">
        <v>85</v>
      </c>
      <c r="AJ245">
        <v>0</v>
      </c>
      <c r="AK245">
        <v>21</v>
      </c>
      <c r="AL245" t="s">
        <v>1850</v>
      </c>
      <c r="AM245" t="s">
        <v>684</v>
      </c>
      <c r="AN245" t="s">
        <v>2272</v>
      </c>
      <c r="AO245" t="s">
        <v>4824</v>
      </c>
      <c r="AP245" t="s">
        <v>4825</v>
      </c>
      <c r="AQ245" t="s">
        <v>74</v>
      </c>
      <c r="AR245" t="s">
        <v>4826</v>
      </c>
      <c r="AS245" t="s">
        <v>4827</v>
      </c>
      <c r="AT245" t="s">
        <v>4386</v>
      </c>
      <c r="AU245">
        <v>2009</v>
      </c>
      <c r="AV245">
        <v>59</v>
      </c>
      <c r="AW245">
        <v>5</v>
      </c>
      <c r="AX245" t="s">
        <v>74</v>
      </c>
      <c r="AY245" t="s">
        <v>74</v>
      </c>
      <c r="AZ245" t="s">
        <v>74</v>
      </c>
      <c r="BA245" t="s">
        <v>74</v>
      </c>
      <c r="BB245">
        <v>514</v>
      </c>
      <c r="BC245">
        <v>519</v>
      </c>
      <c r="BD245" t="s">
        <v>74</v>
      </c>
      <c r="BE245" t="s">
        <v>4828</v>
      </c>
      <c r="BF245" t="str">
        <f>HYPERLINK("http://dx.doi.org/10.1007/s00284-009-9469-9","http://dx.doi.org/10.1007/s00284-009-9469-9")</f>
        <v>http://dx.doi.org/10.1007/s00284-009-9469-9</v>
      </c>
      <c r="BG245" t="s">
        <v>74</v>
      </c>
      <c r="BH245" t="s">
        <v>74</v>
      </c>
      <c r="BI245">
        <v>6</v>
      </c>
      <c r="BJ245" t="s">
        <v>1958</v>
      </c>
      <c r="BK245" t="s">
        <v>98</v>
      </c>
      <c r="BL245" t="s">
        <v>1958</v>
      </c>
      <c r="BM245" t="s">
        <v>4829</v>
      </c>
      <c r="BN245">
        <v>19688380</v>
      </c>
      <c r="BO245" t="s">
        <v>239</v>
      </c>
      <c r="BP245" t="s">
        <v>74</v>
      </c>
      <c r="BQ245" t="s">
        <v>74</v>
      </c>
      <c r="BR245" t="s">
        <v>101</v>
      </c>
      <c r="BS245" t="s">
        <v>4830</v>
      </c>
      <c r="BT245" t="str">
        <f>HYPERLINK("https%3A%2F%2Fwww.webofscience.com%2Fwos%2Fwoscc%2Ffull-record%2FWOS:000270668200005","View Full Record in Web of Science")</f>
        <v>View Full Record in Web of Science</v>
      </c>
    </row>
    <row r="246" spans="1:72" x14ac:dyDescent="0.15">
      <c r="A246" t="s">
        <v>72</v>
      </c>
      <c r="B246" t="s">
        <v>4831</v>
      </c>
      <c r="C246" t="s">
        <v>74</v>
      </c>
      <c r="D246" t="s">
        <v>74</v>
      </c>
      <c r="E246" t="s">
        <v>74</v>
      </c>
      <c r="F246" t="s">
        <v>4832</v>
      </c>
      <c r="G246" t="s">
        <v>74</v>
      </c>
      <c r="H246" t="s">
        <v>74</v>
      </c>
      <c r="I246" t="s">
        <v>4833</v>
      </c>
      <c r="J246" t="s">
        <v>4812</v>
      </c>
      <c r="K246" t="s">
        <v>74</v>
      </c>
      <c r="L246" t="s">
        <v>74</v>
      </c>
      <c r="M246" t="s">
        <v>78</v>
      </c>
      <c r="N246" t="s">
        <v>79</v>
      </c>
      <c r="O246" t="s">
        <v>74</v>
      </c>
      <c r="P246" t="s">
        <v>74</v>
      </c>
      <c r="Q246" t="s">
        <v>74</v>
      </c>
      <c r="R246" t="s">
        <v>74</v>
      </c>
      <c r="S246" t="s">
        <v>74</v>
      </c>
      <c r="T246" t="s">
        <v>74</v>
      </c>
      <c r="U246" t="s">
        <v>4834</v>
      </c>
      <c r="V246" t="s">
        <v>4835</v>
      </c>
      <c r="W246" t="s">
        <v>4836</v>
      </c>
      <c r="X246" t="s">
        <v>4837</v>
      </c>
      <c r="Y246" t="s">
        <v>4838</v>
      </c>
      <c r="Z246" t="s">
        <v>4839</v>
      </c>
      <c r="AA246" t="s">
        <v>4840</v>
      </c>
      <c r="AB246" t="s">
        <v>4841</v>
      </c>
      <c r="AC246" t="s">
        <v>4842</v>
      </c>
      <c r="AD246" t="s">
        <v>4843</v>
      </c>
      <c r="AE246" t="s">
        <v>4844</v>
      </c>
      <c r="AF246" t="s">
        <v>74</v>
      </c>
      <c r="AG246">
        <v>39</v>
      </c>
      <c r="AH246">
        <v>80</v>
      </c>
      <c r="AI246">
        <v>89</v>
      </c>
      <c r="AJ246">
        <v>0</v>
      </c>
      <c r="AK246">
        <v>30</v>
      </c>
      <c r="AL246" t="s">
        <v>1850</v>
      </c>
      <c r="AM246" t="s">
        <v>684</v>
      </c>
      <c r="AN246" t="s">
        <v>2272</v>
      </c>
      <c r="AO246" t="s">
        <v>4824</v>
      </c>
      <c r="AP246" t="s">
        <v>4825</v>
      </c>
      <c r="AQ246" t="s">
        <v>74</v>
      </c>
      <c r="AR246" t="s">
        <v>4826</v>
      </c>
      <c r="AS246" t="s">
        <v>4827</v>
      </c>
      <c r="AT246" t="s">
        <v>4386</v>
      </c>
      <c r="AU246">
        <v>2009</v>
      </c>
      <c r="AV246">
        <v>59</v>
      </c>
      <c r="AW246">
        <v>5</v>
      </c>
      <c r="AX246" t="s">
        <v>74</v>
      </c>
      <c r="AY246" t="s">
        <v>74</v>
      </c>
      <c r="AZ246" t="s">
        <v>74</v>
      </c>
      <c r="BA246" t="s">
        <v>74</v>
      </c>
      <c r="BB246">
        <v>537</v>
      </c>
      <c r="BC246">
        <v>547</v>
      </c>
      <c r="BD246" t="s">
        <v>74</v>
      </c>
      <c r="BE246" t="s">
        <v>4845</v>
      </c>
      <c r="BF246" t="str">
        <f>HYPERLINK("http://dx.doi.org/10.1007/s00284-009-9473-0","http://dx.doi.org/10.1007/s00284-009-9473-0")</f>
        <v>http://dx.doi.org/10.1007/s00284-009-9473-0</v>
      </c>
      <c r="BG246" t="s">
        <v>74</v>
      </c>
      <c r="BH246" t="s">
        <v>74</v>
      </c>
      <c r="BI246">
        <v>11</v>
      </c>
      <c r="BJ246" t="s">
        <v>1958</v>
      </c>
      <c r="BK246" t="s">
        <v>98</v>
      </c>
      <c r="BL246" t="s">
        <v>1958</v>
      </c>
      <c r="BM246" t="s">
        <v>4829</v>
      </c>
      <c r="BN246">
        <v>19680721</v>
      </c>
      <c r="BO246" t="s">
        <v>74</v>
      </c>
      <c r="BP246" t="s">
        <v>74</v>
      </c>
      <c r="BQ246" t="s">
        <v>74</v>
      </c>
      <c r="BR246" t="s">
        <v>101</v>
      </c>
      <c r="BS246" t="s">
        <v>4846</v>
      </c>
      <c r="BT246" t="str">
        <f>HYPERLINK("https%3A%2F%2Fwww.webofscience.com%2Fwos%2Fwoscc%2Ffull-record%2FWOS:000270668200009","View Full Record in Web of Science")</f>
        <v>View Full Record in Web of Science</v>
      </c>
    </row>
    <row r="247" spans="1:72" x14ac:dyDescent="0.15">
      <c r="A247" t="s">
        <v>72</v>
      </c>
      <c r="B247" t="s">
        <v>4847</v>
      </c>
      <c r="C247" t="s">
        <v>74</v>
      </c>
      <c r="D247" t="s">
        <v>74</v>
      </c>
      <c r="E247" t="s">
        <v>74</v>
      </c>
      <c r="F247" t="s">
        <v>4848</v>
      </c>
      <c r="G247" t="s">
        <v>74</v>
      </c>
      <c r="H247" t="s">
        <v>74</v>
      </c>
      <c r="I247" t="s">
        <v>4849</v>
      </c>
      <c r="J247" t="s">
        <v>1881</v>
      </c>
      <c r="K247" t="s">
        <v>74</v>
      </c>
      <c r="L247" t="s">
        <v>74</v>
      </c>
      <c r="M247" t="s">
        <v>78</v>
      </c>
      <c r="N247" t="s">
        <v>79</v>
      </c>
      <c r="O247" t="s">
        <v>74</v>
      </c>
      <c r="P247" t="s">
        <v>74</v>
      </c>
      <c r="Q247" t="s">
        <v>74</v>
      </c>
      <c r="R247" t="s">
        <v>74</v>
      </c>
      <c r="S247" t="s">
        <v>74</v>
      </c>
      <c r="T247" t="s">
        <v>4850</v>
      </c>
      <c r="U247" t="s">
        <v>4851</v>
      </c>
      <c r="V247" t="s">
        <v>4852</v>
      </c>
      <c r="W247" t="s">
        <v>4853</v>
      </c>
      <c r="X247" t="s">
        <v>1390</v>
      </c>
      <c r="Y247" t="s">
        <v>4854</v>
      </c>
      <c r="Z247" t="s">
        <v>4855</v>
      </c>
      <c r="AA247" t="s">
        <v>4856</v>
      </c>
      <c r="AB247" t="s">
        <v>74</v>
      </c>
      <c r="AC247" t="s">
        <v>4857</v>
      </c>
      <c r="AD247" t="s">
        <v>4858</v>
      </c>
      <c r="AE247" t="s">
        <v>4859</v>
      </c>
      <c r="AF247" t="s">
        <v>74</v>
      </c>
      <c r="AG247">
        <v>34</v>
      </c>
      <c r="AH247">
        <v>51</v>
      </c>
      <c r="AI247">
        <v>56</v>
      </c>
      <c r="AJ247">
        <v>1</v>
      </c>
      <c r="AK247">
        <v>15</v>
      </c>
      <c r="AL247" t="s">
        <v>1894</v>
      </c>
      <c r="AM247" t="s">
        <v>1895</v>
      </c>
      <c r="AN247" t="s">
        <v>1896</v>
      </c>
      <c r="AO247" t="s">
        <v>1897</v>
      </c>
      <c r="AP247" t="s">
        <v>1898</v>
      </c>
      <c r="AQ247" t="s">
        <v>74</v>
      </c>
      <c r="AR247" t="s">
        <v>1899</v>
      </c>
      <c r="AS247" t="s">
        <v>1900</v>
      </c>
      <c r="AT247" t="s">
        <v>4386</v>
      </c>
      <c r="AU247">
        <v>2009</v>
      </c>
      <c r="AV247">
        <v>56</v>
      </c>
      <c r="AW247">
        <v>11</v>
      </c>
      <c r="AX247" t="s">
        <v>74</v>
      </c>
      <c r="AY247" t="s">
        <v>74</v>
      </c>
      <c r="AZ247" t="s">
        <v>74</v>
      </c>
      <c r="BA247" t="s">
        <v>74</v>
      </c>
      <c r="BB247">
        <v>1927</v>
      </c>
      <c r="BC247">
        <v>1941</v>
      </c>
      <c r="BD247" t="s">
        <v>74</v>
      </c>
      <c r="BE247" t="s">
        <v>4860</v>
      </c>
      <c r="BF247" t="str">
        <f>HYPERLINK("http://dx.doi.org/10.1016/j.dsr.2009.06.005","http://dx.doi.org/10.1016/j.dsr.2009.06.005")</f>
        <v>http://dx.doi.org/10.1016/j.dsr.2009.06.005</v>
      </c>
      <c r="BG247" t="s">
        <v>74</v>
      </c>
      <c r="BH247" t="s">
        <v>74</v>
      </c>
      <c r="BI247">
        <v>15</v>
      </c>
      <c r="BJ247" t="s">
        <v>806</v>
      </c>
      <c r="BK247" t="s">
        <v>98</v>
      </c>
      <c r="BL247" t="s">
        <v>806</v>
      </c>
      <c r="BM247" t="s">
        <v>4861</v>
      </c>
      <c r="BN247" t="s">
        <v>74</v>
      </c>
      <c r="BO247" t="s">
        <v>74</v>
      </c>
      <c r="BP247" t="s">
        <v>74</v>
      </c>
      <c r="BQ247" t="s">
        <v>74</v>
      </c>
      <c r="BR247" t="s">
        <v>101</v>
      </c>
      <c r="BS247" t="s">
        <v>4862</v>
      </c>
      <c r="BT247" t="str">
        <f>HYPERLINK("https%3A%2F%2Fwww.webofscience.com%2Fwos%2Fwoscc%2Ffull-record%2FWOS:000271683200002","View Full Record in Web of Science")</f>
        <v>View Full Record in Web of Science</v>
      </c>
    </row>
    <row r="248" spans="1:72" x14ac:dyDescent="0.15">
      <c r="A248" t="s">
        <v>72</v>
      </c>
      <c r="B248" t="s">
        <v>4863</v>
      </c>
      <c r="C248" t="s">
        <v>74</v>
      </c>
      <c r="D248" t="s">
        <v>74</v>
      </c>
      <c r="E248" t="s">
        <v>74</v>
      </c>
      <c r="F248" t="s">
        <v>4864</v>
      </c>
      <c r="G248" t="s">
        <v>74</v>
      </c>
      <c r="H248" t="s">
        <v>74</v>
      </c>
      <c r="I248" t="s">
        <v>4865</v>
      </c>
      <c r="J248" t="s">
        <v>1881</v>
      </c>
      <c r="K248" t="s">
        <v>74</v>
      </c>
      <c r="L248" t="s">
        <v>74</v>
      </c>
      <c r="M248" t="s">
        <v>78</v>
      </c>
      <c r="N248" t="s">
        <v>79</v>
      </c>
      <c r="O248" t="s">
        <v>74</v>
      </c>
      <c r="P248" t="s">
        <v>74</v>
      </c>
      <c r="Q248" t="s">
        <v>74</v>
      </c>
      <c r="R248" t="s">
        <v>74</v>
      </c>
      <c r="S248" t="s">
        <v>74</v>
      </c>
      <c r="T248" t="s">
        <v>4866</v>
      </c>
      <c r="U248" t="s">
        <v>4867</v>
      </c>
      <c r="V248" t="s">
        <v>4868</v>
      </c>
      <c r="W248" t="s">
        <v>4869</v>
      </c>
      <c r="X248" t="s">
        <v>4870</v>
      </c>
      <c r="Y248" t="s">
        <v>4871</v>
      </c>
      <c r="Z248" t="s">
        <v>4872</v>
      </c>
      <c r="AA248" t="s">
        <v>74</v>
      </c>
      <c r="AB248" t="s">
        <v>74</v>
      </c>
      <c r="AC248" t="s">
        <v>4873</v>
      </c>
      <c r="AD248" t="s">
        <v>4873</v>
      </c>
      <c r="AE248" t="s">
        <v>4874</v>
      </c>
      <c r="AF248" t="s">
        <v>74</v>
      </c>
      <c r="AG248">
        <v>67</v>
      </c>
      <c r="AH248">
        <v>25</v>
      </c>
      <c r="AI248">
        <v>29</v>
      </c>
      <c r="AJ248">
        <v>0</v>
      </c>
      <c r="AK248">
        <v>11</v>
      </c>
      <c r="AL248" t="s">
        <v>1894</v>
      </c>
      <c r="AM248" t="s">
        <v>1895</v>
      </c>
      <c r="AN248" t="s">
        <v>1896</v>
      </c>
      <c r="AO248" t="s">
        <v>1897</v>
      </c>
      <c r="AP248" t="s">
        <v>1898</v>
      </c>
      <c r="AQ248" t="s">
        <v>74</v>
      </c>
      <c r="AR248" t="s">
        <v>1899</v>
      </c>
      <c r="AS248" t="s">
        <v>1900</v>
      </c>
      <c r="AT248" t="s">
        <v>4386</v>
      </c>
      <c r="AU248">
        <v>2009</v>
      </c>
      <c r="AV248">
        <v>56</v>
      </c>
      <c r="AW248">
        <v>11</v>
      </c>
      <c r="AX248" t="s">
        <v>74</v>
      </c>
      <c r="AY248" t="s">
        <v>74</v>
      </c>
      <c r="AZ248" t="s">
        <v>74</v>
      </c>
      <c r="BA248" t="s">
        <v>74</v>
      </c>
      <c r="BB248">
        <v>1983</v>
      </c>
      <c r="BC248">
        <v>1993</v>
      </c>
      <c r="BD248" t="s">
        <v>74</v>
      </c>
      <c r="BE248" t="s">
        <v>4875</v>
      </c>
      <c r="BF248" t="str">
        <f>HYPERLINK("http://dx.doi.org/10.1016/j.dsr.2009.06.009","http://dx.doi.org/10.1016/j.dsr.2009.06.009")</f>
        <v>http://dx.doi.org/10.1016/j.dsr.2009.06.009</v>
      </c>
      <c r="BG248" t="s">
        <v>74</v>
      </c>
      <c r="BH248" t="s">
        <v>74</v>
      </c>
      <c r="BI248">
        <v>11</v>
      </c>
      <c r="BJ248" t="s">
        <v>806</v>
      </c>
      <c r="BK248" t="s">
        <v>98</v>
      </c>
      <c r="BL248" t="s">
        <v>806</v>
      </c>
      <c r="BM248" t="s">
        <v>4861</v>
      </c>
      <c r="BN248" t="s">
        <v>74</v>
      </c>
      <c r="BO248" t="s">
        <v>74</v>
      </c>
      <c r="BP248" t="s">
        <v>74</v>
      </c>
      <c r="BQ248" t="s">
        <v>74</v>
      </c>
      <c r="BR248" t="s">
        <v>101</v>
      </c>
      <c r="BS248" t="s">
        <v>4876</v>
      </c>
      <c r="BT248" t="str">
        <f>HYPERLINK("https%3A%2F%2Fwww.webofscience.com%2Fwos%2Fwoscc%2Ffull-record%2FWOS:000271683200006","View Full Record in Web of Science")</f>
        <v>View Full Record in Web of Science</v>
      </c>
    </row>
    <row r="249" spans="1:72" x14ac:dyDescent="0.15">
      <c r="A249" t="s">
        <v>72</v>
      </c>
      <c r="B249" t="s">
        <v>4877</v>
      </c>
      <c r="C249" t="s">
        <v>74</v>
      </c>
      <c r="D249" t="s">
        <v>74</v>
      </c>
      <c r="E249" t="s">
        <v>74</v>
      </c>
      <c r="F249" t="s">
        <v>4878</v>
      </c>
      <c r="G249" t="s">
        <v>74</v>
      </c>
      <c r="H249" t="s">
        <v>74</v>
      </c>
      <c r="I249" t="s">
        <v>4879</v>
      </c>
      <c r="J249" t="s">
        <v>1881</v>
      </c>
      <c r="K249" t="s">
        <v>74</v>
      </c>
      <c r="L249" t="s">
        <v>74</v>
      </c>
      <c r="M249" t="s">
        <v>78</v>
      </c>
      <c r="N249" t="s">
        <v>79</v>
      </c>
      <c r="O249" t="s">
        <v>74</v>
      </c>
      <c r="P249" t="s">
        <v>74</v>
      </c>
      <c r="Q249" t="s">
        <v>74</v>
      </c>
      <c r="R249" t="s">
        <v>74</v>
      </c>
      <c r="S249" t="s">
        <v>74</v>
      </c>
      <c r="T249" t="s">
        <v>4880</v>
      </c>
      <c r="U249" t="s">
        <v>4881</v>
      </c>
      <c r="V249" t="s">
        <v>4882</v>
      </c>
      <c r="W249" t="s">
        <v>4883</v>
      </c>
      <c r="X249" t="s">
        <v>4884</v>
      </c>
      <c r="Y249" t="s">
        <v>4885</v>
      </c>
      <c r="Z249" t="s">
        <v>4886</v>
      </c>
      <c r="AA249" t="s">
        <v>4887</v>
      </c>
      <c r="AB249" t="s">
        <v>74</v>
      </c>
      <c r="AC249" t="s">
        <v>4888</v>
      </c>
      <c r="AD249" t="s">
        <v>4889</v>
      </c>
      <c r="AE249" t="s">
        <v>4890</v>
      </c>
      <c r="AF249" t="s">
        <v>74</v>
      </c>
      <c r="AG249">
        <v>79</v>
      </c>
      <c r="AH249">
        <v>77</v>
      </c>
      <c r="AI249">
        <v>97</v>
      </c>
      <c r="AJ249">
        <v>2</v>
      </c>
      <c r="AK249">
        <v>38</v>
      </c>
      <c r="AL249" t="s">
        <v>1894</v>
      </c>
      <c r="AM249" t="s">
        <v>1895</v>
      </c>
      <c r="AN249" t="s">
        <v>1896</v>
      </c>
      <c r="AO249" t="s">
        <v>1897</v>
      </c>
      <c r="AP249" t="s">
        <v>1898</v>
      </c>
      <c r="AQ249" t="s">
        <v>74</v>
      </c>
      <c r="AR249" t="s">
        <v>1899</v>
      </c>
      <c r="AS249" t="s">
        <v>1900</v>
      </c>
      <c r="AT249" t="s">
        <v>4386</v>
      </c>
      <c r="AU249">
        <v>2009</v>
      </c>
      <c r="AV249">
        <v>56</v>
      </c>
      <c r="AW249">
        <v>11</v>
      </c>
      <c r="AX249" t="s">
        <v>74</v>
      </c>
      <c r="AY249" t="s">
        <v>74</v>
      </c>
      <c r="AZ249" t="s">
        <v>74</v>
      </c>
      <c r="BA249" t="s">
        <v>74</v>
      </c>
      <c r="BB249">
        <v>1994</v>
      </c>
      <c r="BC249">
        <v>2012</v>
      </c>
      <c r="BD249" t="s">
        <v>74</v>
      </c>
      <c r="BE249" t="s">
        <v>4891</v>
      </c>
      <c r="BF249" t="str">
        <f>HYPERLINK("http://dx.doi.org/10.1016/j.dsr.2009.07.004","http://dx.doi.org/10.1016/j.dsr.2009.07.004")</f>
        <v>http://dx.doi.org/10.1016/j.dsr.2009.07.004</v>
      </c>
      <c r="BG249" t="s">
        <v>74</v>
      </c>
      <c r="BH249" t="s">
        <v>74</v>
      </c>
      <c r="BI249">
        <v>19</v>
      </c>
      <c r="BJ249" t="s">
        <v>806</v>
      </c>
      <c r="BK249" t="s">
        <v>98</v>
      </c>
      <c r="BL249" t="s">
        <v>806</v>
      </c>
      <c r="BM249" t="s">
        <v>4861</v>
      </c>
      <c r="BN249" t="s">
        <v>74</v>
      </c>
      <c r="BO249" t="s">
        <v>74</v>
      </c>
      <c r="BP249" t="s">
        <v>74</v>
      </c>
      <c r="BQ249" t="s">
        <v>74</v>
      </c>
      <c r="BR249" t="s">
        <v>101</v>
      </c>
      <c r="BS249" t="s">
        <v>4892</v>
      </c>
      <c r="BT249" t="str">
        <f>HYPERLINK("https%3A%2F%2Fwww.webofscience.com%2Fwos%2Fwoscc%2Ffull-record%2FWOS:000271683200007","View Full Record in Web of Science")</f>
        <v>View Full Record in Web of Science</v>
      </c>
    </row>
    <row r="250" spans="1:72" x14ac:dyDescent="0.15">
      <c r="A250" t="s">
        <v>72</v>
      </c>
      <c r="B250" t="s">
        <v>4893</v>
      </c>
      <c r="C250" t="s">
        <v>74</v>
      </c>
      <c r="D250" t="s">
        <v>74</v>
      </c>
      <c r="E250" t="s">
        <v>74</v>
      </c>
      <c r="F250" t="s">
        <v>4894</v>
      </c>
      <c r="G250" t="s">
        <v>74</v>
      </c>
      <c r="H250" t="s">
        <v>74</v>
      </c>
      <c r="I250" t="s">
        <v>4895</v>
      </c>
      <c r="J250" t="s">
        <v>1881</v>
      </c>
      <c r="K250" t="s">
        <v>74</v>
      </c>
      <c r="L250" t="s">
        <v>74</v>
      </c>
      <c r="M250" t="s">
        <v>78</v>
      </c>
      <c r="N250" t="s">
        <v>79</v>
      </c>
      <c r="O250" t="s">
        <v>74</v>
      </c>
      <c r="P250" t="s">
        <v>74</v>
      </c>
      <c r="Q250" t="s">
        <v>74</v>
      </c>
      <c r="R250" t="s">
        <v>74</v>
      </c>
      <c r="S250" t="s">
        <v>74</v>
      </c>
      <c r="T250" t="s">
        <v>4896</v>
      </c>
      <c r="U250" t="s">
        <v>4897</v>
      </c>
      <c r="V250" t="s">
        <v>4898</v>
      </c>
      <c r="W250" t="s">
        <v>4899</v>
      </c>
      <c r="X250" t="s">
        <v>4900</v>
      </c>
      <c r="Y250" t="s">
        <v>4901</v>
      </c>
      <c r="Z250" t="s">
        <v>4902</v>
      </c>
      <c r="AA250" t="s">
        <v>4903</v>
      </c>
      <c r="AB250" t="s">
        <v>4904</v>
      </c>
      <c r="AC250" t="s">
        <v>4905</v>
      </c>
      <c r="AD250" t="s">
        <v>4906</v>
      </c>
      <c r="AE250" t="s">
        <v>4907</v>
      </c>
      <c r="AF250" t="s">
        <v>74</v>
      </c>
      <c r="AG250">
        <v>93</v>
      </c>
      <c r="AH250">
        <v>38</v>
      </c>
      <c r="AI250">
        <v>42</v>
      </c>
      <c r="AJ250">
        <v>0</v>
      </c>
      <c r="AK250">
        <v>24</v>
      </c>
      <c r="AL250" t="s">
        <v>1894</v>
      </c>
      <c r="AM250" t="s">
        <v>1895</v>
      </c>
      <c r="AN250" t="s">
        <v>1896</v>
      </c>
      <c r="AO250" t="s">
        <v>1897</v>
      </c>
      <c r="AP250" t="s">
        <v>1898</v>
      </c>
      <c r="AQ250" t="s">
        <v>74</v>
      </c>
      <c r="AR250" t="s">
        <v>1899</v>
      </c>
      <c r="AS250" t="s">
        <v>1900</v>
      </c>
      <c r="AT250" t="s">
        <v>4386</v>
      </c>
      <c r="AU250">
        <v>2009</v>
      </c>
      <c r="AV250">
        <v>56</v>
      </c>
      <c r="AW250">
        <v>11</v>
      </c>
      <c r="AX250" t="s">
        <v>74</v>
      </c>
      <c r="AY250" t="s">
        <v>74</v>
      </c>
      <c r="AZ250" t="s">
        <v>74</v>
      </c>
      <c r="BA250" t="s">
        <v>74</v>
      </c>
      <c r="BB250">
        <v>2013</v>
      </c>
      <c r="BC250">
        <v>2025</v>
      </c>
      <c r="BD250" t="s">
        <v>74</v>
      </c>
      <c r="BE250" t="s">
        <v>4908</v>
      </c>
      <c r="BF250" t="str">
        <f>HYPERLINK("http://dx.doi.org/10.1016/j.dsr.2009.06.007","http://dx.doi.org/10.1016/j.dsr.2009.06.007")</f>
        <v>http://dx.doi.org/10.1016/j.dsr.2009.06.007</v>
      </c>
      <c r="BG250" t="s">
        <v>74</v>
      </c>
      <c r="BH250" t="s">
        <v>74</v>
      </c>
      <c r="BI250">
        <v>13</v>
      </c>
      <c r="BJ250" t="s">
        <v>806</v>
      </c>
      <c r="BK250" t="s">
        <v>98</v>
      </c>
      <c r="BL250" t="s">
        <v>806</v>
      </c>
      <c r="BM250" t="s">
        <v>4861</v>
      </c>
      <c r="BN250" t="s">
        <v>74</v>
      </c>
      <c r="BO250" t="s">
        <v>74</v>
      </c>
      <c r="BP250" t="s">
        <v>74</v>
      </c>
      <c r="BQ250" t="s">
        <v>74</v>
      </c>
      <c r="BR250" t="s">
        <v>101</v>
      </c>
      <c r="BS250" t="s">
        <v>4909</v>
      </c>
      <c r="BT250" t="str">
        <f>HYPERLINK("https%3A%2F%2Fwww.webofscience.com%2Fwos%2Fwoscc%2Ffull-record%2FWOS:000271683200008","View Full Record in Web of Science")</f>
        <v>View Full Record in Web of Science</v>
      </c>
    </row>
    <row r="251" spans="1:72" x14ac:dyDescent="0.15">
      <c r="A251" t="s">
        <v>72</v>
      </c>
      <c r="B251" t="s">
        <v>4910</v>
      </c>
      <c r="C251" t="s">
        <v>74</v>
      </c>
      <c r="D251" t="s">
        <v>74</v>
      </c>
      <c r="E251" t="s">
        <v>74</v>
      </c>
      <c r="F251" t="s">
        <v>4911</v>
      </c>
      <c r="G251" t="s">
        <v>74</v>
      </c>
      <c r="H251" t="s">
        <v>74</v>
      </c>
      <c r="I251" t="s">
        <v>4912</v>
      </c>
      <c r="J251" t="s">
        <v>4913</v>
      </c>
      <c r="K251" t="s">
        <v>74</v>
      </c>
      <c r="L251" t="s">
        <v>74</v>
      </c>
      <c r="M251" t="s">
        <v>78</v>
      </c>
      <c r="N251" t="s">
        <v>79</v>
      </c>
      <c r="O251" t="s">
        <v>74</v>
      </c>
      <c r="P251" t="s">
        <v>74</v>
      </c>
      <c r="Q251" t="s">
        <v>74</v>
      </c>
      <c r="R251" t="s">
        <v>74</v>
      </c>
      <c r="S251" t="s">
        <v>74</v>
      </c>
      <c r="T251" t="s">
        <v>74</v>
      </c>
      <c r="U251" t="s">
        <v>4914</v>
      </c>
      <c r="V251" t="s">
        <v>4915</v>
      </c>
      <c r="W251" t="s">
        <v>4916</v>
      </c>
      <c r="X251" t="s">
        <v>4917</v>
      </c>
      <c r="Y251" t="s">
        <v>4918</v>
      </c>
      <c r="Z251" t="s">
        <v>4919</v>
      </c>
      <c r="AA251" t="s">
        <v>74</v>
      </c>
      <c r="AB251" t="s">
        <v>74</v>
      </c>
      <c r="AC251" t="s">
        <v>4920</v>
      </c>
      <c r="AD251" t="s">
        <v>278</v>
      </c>
      <c r="AE251" t="s">
        <v>4921</v>
      </c>
      <c r="AF251" t="s">
        <v>74</v>
      </c>
      <c r="AG251">
        <v>56</v>
      </c>
      <c r="AH251">
        <v>7</v>
      </c>
      <c r="AI251">
        <v>7</v>
      </c>
      <c r="AJ251">
        <v>0</v>
      </c>
      <c r="AK251">
        <v>2</v>
      </c>
      <c r="AL251" t="s">
        <v>2614</v>
      </c>
      <c r="AM251" t="s">
        <v>2615</v>
      </c>
      <c r="AN251" t="s">
        <v>2910</v>
      </c>
      <c r="AO251" t="s">
        <v>4922</v>
      </c>
      <c r="AP251" t="s">
        <v>4923</v>
      </c>
      <c r="AQ251" t="s">
        <v>74</v>
      </c>
      <c r="AR251" t="s">
        <v>4924</v>
      </c>
      <c r="AS251" t="s">
        <v>4925</v>
      </c>
      <c r="AT251" t="s">
        <v>4386</v>
      </c>
      <c r="AU251">
        <v>2009</v>
      </c>
      <c r="AV251">
        <v>24</v>
      </c>
      <c r="AW251">
        <v>2</v>
      </c>
      <c r="AX251" t="s">
        <v>74</v>
      </c>
      <c r="AY251" t="s">
        <v>74</v>
      </c>
      <c r="AZ251" t="s">
        <v>74</v>
      </c>
      <c r="BA251" t="s">
        <v>74</v>
      </c>
      <c r="BB251">
        <v>357</v>
      </c>
      <c r="BC251">
        <v>375</v>
      </c>
      <c r="BD251" t="s">
        <v>74</v>
      </c>
      <c r="BE251" t="s">
        <v>74</v>
      </c>
      <c r="BF251" t="s">
        <v>74</v>
      </c>
      <c r="BG251" t="s">
        <v>74</v>
      </c>
      <c r="BH251" t="s">
        <v>74</v>
      </c>
      <c r="BI251">
        <v>19</v>
      </c>
      <c r="BJ251" t="s">
        <v>1052</v>
      </c>
      <c r="BK251" t="s">
        <v>98</v>
      </c>
      <c r="BL251" t="s">
        <v>1052</v>
      </c>
      <c r="BM251" t="s">
        <v>4926</v>
      </c>
      <c r="BN251" t="s">
        <v>74</v>
      </c>
      <c r="BO251" t="s">
        <v>74</v>
      </c>
      <c r="BP251" t="s">
        <v>74</v>
      </c>
      <c r="BQ251" t="s">
        <v>74</v>
      </c>
      <c r="BR251" t="s">
        <v>101</v>
      </c>
      <c r="BS251" t="s">
        <v>4927</v>
      </c>
      <c r="BT251" t="str">
        <f>HYPERLINK("https%3A%2F%2Fwww.webofscience.com%2Fwos%2Fwoscc%2Ffull-record%2FWOS:000271296500007","View Full Record in Web of Science")</f>
        <v>View Full Record in Web of Science</v>
      </c>
    </row>
    <row r="252" spans="1:72" x14ac:dyDescent="0.15">
      <c r="A252" t="s">
        <v>72</v>
      </c>
      <c r="B252" t="s">
        <v>4928</v>
      </c>
      <c r="C252" t="s">
        <v>74</v>
      </c>
      <c r="D252" t="s">
        <v>74</v>
      </c>
      <c r="E252" t="s">
        <v>74</v>
      </c>
      <c r="F252" t="s">
        <v>4929</v>
      </c>
      <c r="G252" t="s">
        <v>74</v>
      </c>
      <c r="H252" t="s">
        <v>74</v>
      </c>
      <c r="I252" t="s">
        <v>4930</v>
      </c>
      <c r="J252" t="s">
        <v>4913</v>
      </c>
      <c r="K252" t="s">
        <v>74</v>
      </c>
      <c r="L252" t="s">
        <v>74</v>
      </c>
      <c r="M252" t="s">
        <v>78</v>
      </c>
      <c r="N252" t="s">
        <v>79</v>
      </c>
      <c r="O252" t="s">
        <v>74</v>
      </c>
      <c r="P252" t="s">
        <v>74</v>
      </c>
      <c r="Q252" t="s">
        <v>74</v>
      </c>
      <c r="R252" t="s">
        <v>74</v>
      </c>
      <c r="S252" t="s">
        <v>74</v>
      </c>
      <c r="T252" t="s">
        <v>4931</v>
      </c>
      <c r="U252" t="s">
        <v>4932</v>
      </c>
      <c r="V252" t="s">
        <v>4933</v>
      </c>
      <c r="W252" t="s">
        <v>4934</v>
      </c>
      <c r="X252" t="s">
        <v>4935</v>
      </c>
      <c r="Y252" t="s">
        <v>4936</v>
      </c>
      <c r="Z252" t="s">
        <v>4937</v>
      </c>
      <c r="AA252" t="s">
        <v>1599</v>
      </c>
      <c r="AB252" t="s">
        <v>74</v>
      </c>
      <c r="AC252" t="s">
        <v>4938</v>
      </c>
      <c r="AD252" t="s">
        <v>4939</v>
      </c>
      <c r="AE252" t="s">
        <v>4940</v>
      </c>
      <c r="AF252" t="s">
        <v>74</v>
      </c>
      <c r="AG252">
        <v>36</v>
      </c>
      <c r="AH252">
        <v>6</v>
      </c>
      <c r="AI252">
        <v>7</v>
      </c>
      <c r="AJ252">
        <v>0</v>
      </c>
      <c r="AK252">
        <v>1</v>
      </c>
      <c r="AL252" t="s">
        <v>4941</v>
      </c>
      <c r="AM252" t="s">
        <v>3085</v>
      </c>
      <c r="AN252" t="s">
        <v>4942</v>
      </c>
      <c r="AO252" t="s">
        <v>4922</v>
      </c>
      <c r="AP252" t="s">
        <v>74</v>
      </c>
      <c r="AQ252" t="s">
        <v>74</v>
      </c>
      <c r="AR252" t="s">
        <v>4924</v>
      </c>
      <c r="AS252" t="s">
        <v>4925</v>
      </c>
      <c r="AT252" t="s">
        <v>4386</v>
      </c>
      <c r="AU252">
        <v>2009</v>
      </c>
      <c r="AV252">
        <v>24</v>
      </c>
      <c r="AW252">
        <v>2</v>
      </c>
      <c r="AX252" t="s">
        <v>74</v>
      </c>
      <c r="AY252" t="s">
        <v>74</v>
      </c>
      <c r="AZ252" t="s">
        <v>74</v>
      </c>
      <c r="BA252" t="s">
        <v>74</v>
      </c>
      <c r="BB252">
        <v>393</v>
      </c>
      <c r="BC252">
        <v>404</v>
      </c>
      <c r="BD252" t="s">
        <v>74</v>
      </c>
      <c r="BE252" t="s">
        <v>74</v>
      </c>
      <c r="BF252" t="s">
        <v>74</v>
      </c>
      <c r="BG252" t="s">
        <v>74</v>
      </c>
      <c r="BH252" t="s">
        <v>74</v>
      </c>
      <c r="BI252">
        <v>12</v>
      </c>
      <c r="BJ252" t="s">
        <v>1052</v>
      </c>
      <c r="BK252" t="s">
        <v>98</v>
      </c>
      <c r="BL252" t="s">
        <v>1052</v>
      </c>
      <c r="BM252" t="s">
        <v>4926</v>
      </c>
      <c r="BN252" t="s">
        <v>74</v>
      </c>
      <c r="BO252" t="s">
        <v>74</v>
      </c>
      <c r="BP252" t="s">
        <v>74</v>
      </c>
      <c r="BQ252" t="s">
        <v>74</v>
      </c>
      <c r="BR252" t="s">
        <v>101</v>
      </c>
      <c r="BS252" t="s">
        <v>4943</v>
      </c>
      <c r="BT252" t="str">
        <f>HYPERLINK("https%3A%2F%2Fwww.webofscience.com%2Fwos%2Fwoscc%2Ffull-record%2FWOS:000271296500009","View Full Record in Web of Science")</f>
        <v>View Full Record in Web of Science</v>
      </c>
    </row>
    <row r="253" spans="1:72" x14ac:dyDescent="0.15">
      <c r="A253" t="s">
        <v>72</v>
      </c>
      <c r="B253" t="s">
        <v>4944</v>
      </c>
      <c r="C253" t="s">
        <v>74</v>
      </c>
      <c r="D253" t="s">
        <v>74</v>
      </c>
      <c r="E253" t="s">
        <v>74</v>
      </c>
      <c r="F253" t="s">
        <v>4945</v>
      </c>
      <c r="G253" t="s">
        <v>74</v>
      </c>
      <c r="H253" t="s">
        <v>74</v>
      </c>
      <c r="I253" t="s">
        <v>4946</v>
      </c>
      <c r="J253" t="s">
        <v>4913</v>
      </c>
      <c r="K253" t="s">
        <v>74</v>
      </c>
      <c r="L253" t="s">
        <v>74</v>
      </c>
      <c r="M253" t="s">
        <v>78</v>
      </c>
      <c r="N253" t="s">
        <v>79</v>
      </c>
      <c r="O253" t="s">
        <v>74</v>
      </c>
      <c r="P253" t="s">
        <v>74</v>
      </c>
      <c r="Q253" t="s">
        <v>74</v>
      </c>
      <c r="R253" t="s">
        <v>74</v>
      </c>
      <c r="S253" t="s">
        <v>74</v>
      </c>
      <c r="T253" t="s">
        <v>74</v>
      </c>
      <c r="U253" t="s">
        <v>4947</v>
      </c>
      <c r="V253" t="s">
        <v>4948</v>
      </c>
      <c r="W253" t="s">
        <v>4949</v>
      </c>
      <c r="X253" t="s">
        <v>4950</v>
      </c>
      <c r="Y253" t="s">
        <v>4951</v>
      </c>
      <c r="Z253" t="s">
        <v>4794</v>
      </c>
      <c r="AA253" t="s">
        <v>4952</v>
      </c>
      <c r="AB253" t="s">
        <v>4953</v>
      </c>
      <c r="AC253" t="s">
        <v>4954</v>
      </c>
      <c r="AD253" t="s">
        <v>4955</v>
      </c>
      <c r="AE253" t="s">
        <v>4956</v>
      </c>
      <c r="AF253" t="s">
        <v>74</v>
      </c>
      <c r="AG253">
        <v>20</v>
      </c>
      <c r="AH253">
        <v>15</v>
      </c>
      <c r="AI253">
        <v>16</v>
      </c>
      <c r="AJ253">
        <v>0</v>
      </c>
      <c r="AK253">
        <v>3</v>
      </c>
      <c r="AL253" t="s">
        <v>2614</v>
      </c>
      <c r="AM253" t="s">
        <v>2615</v>
      </c>
      <c r="AN253" t="s">
        <v>2910</v>
      </c>
      <c r="AO253" t="s">
        <v>4922</v>
      </c>
      <c r="AP253" t="s">
        <v>4923</v>
      </c>
      <c r="AQ253" t="s">
        <v>74</v>
      </c>
      <c r="AR253" t="s">
        <v>4924</v>
      </c>
      <c r="AS253" t="s">
        <v>4925</v>
      </c>
      <c r="AT253" t="s">
        <v>4386</v>
      </c>
      <c r="AU253">
        <v>2009</v>
      </c>
      <c r="AV253">
        <v>24</v>
      </c>
      <c r="AW253">
        <v>2</v>
      </c>
      <c r="AX253" t="s">
        <v>74</v>
      </c>
      <c r="AY253" t="s">
        <v>74</v>
      </c>
      <c r="AZ253" t="s">
        <v>74</v>
      </c>
      <c r="BA253" t="s">
        <v>74</v>
      </c>
      <c r="BB253">
        <v>431</v>
      </c>
      <c r="BC253">
        <v>441</v>
      </c>
      <c r="BD253" t="s">
        <v>74</v>
      </c>
      <c r="BE253" t="s">
        <v>74</v>
      </c>
      <c r="BF253" t="s">
        <v>74</v>
      </c>
      <c r="BG253" t="s">
        <v>74</v>
      </c>
      <c r="BH253" t="s">
        <v>74</v>
      </c>
      <c r="BI253">
        <v>11</v>
      </c>
      <c r="BJ253" t="s">
        <v>1052</v>
      </c>
      <c r="BK253" t="s">
        <v>98</v>
      </c>
      <c r="BL253" t="s">
        <v>1052</v>
      </c>
      <c r="BM253" t="s">
        <v>4926</v>
      </c>
      <c r="BN253" t="s">
        <v>74</v>
      </c>
      <c r="BO253" t="s">
        <v>74</v>
      </c>
      <c r="BP253" t="s">
        <v>74</v>
      </c>
      <c r="BQ253" t="s">
        <v>74</v>
      </c>
      <c r="BR253" t="s">
        <v>101</v>
      </c>
      <c r="BS253" t="s">
        <v>4957</v>
      </c>
      <c r="BT253" t="str">
        <f>HYPERLINK("https%3A%2F%2Fwww.webofscience.com%2Fwos%2Fwoscc%2Ffull-record%2FWOS:000271296500012","View Full Record in Web of Science")</f>
        <v>View Full Record in Web of Science</v>
      </c>
    </row>
    <row r="254" spans="1:72" x14ac:dyDescent="0.15">
      <c r="A254" t="s">
        <v>72</v>
      </c>
      <c r="B254" t="s">
        <v>4958</v>
      </c>
      <c r="C254" t="s">
        <v>74</v>
      </c>
      <c r="D254" t="s">
        <v>74</v>
      </c>
      <c r="E254" t="s">
        <v>74</v>
      </c>
      <c r="F254" t="s">
        <v>4959</v>
      </c>
      <c r="G254" t="s">
        <v>74</v>
      </c>
      <c r="H254" t="s">
        <v>74</v>
      </c>
      <c r="I254" t="s">
        <v>4960</v>
      </c>
      <c r="J254" t="s">
        <v>4961</v>
      </c>
      <c r="K254" t="s">
        <v>74</v>
      </c>
      <c r="L254" t="s">
        <v>74</v>
      </c>
      <c r="M254" t="s">
        <v>78</v>
      </c>
      <c r="N254" t="s">
        <v>79</v>
      </c>
      <c r="O254" t="s">
        <v>74</v>
      </c>
      <c r="P254" t="s">
        <v>74</v>
      </c>
      <c r="Q254" t="s">
        <v>74</v>
      </c>
      <c r="R254" t="s">
        <v>74</v>
      </c>
      <c r="S254" t="s">
        <v>74</v>
      </c>
      <c r="T254" t="s">
        <v>4962</v>
      </c>
      <c r="U254" t="s">
        <v>4963</v>
      </c>
      <c r="V254" t="s">
        <v>4964</v>
      </c>
      <c r="W254" t="s">
        <v>4965</v>
      </c>
      <c r="X254" t="s">
        <v>4966</v>
      </c>
      <c r="Y254" t="s">
        <v>4967</v>
      </c>
      <c r="Z254" t="s">
        <v>4968</v>
      </c>
      <c r="AA254" t="s">
        <v>4969</v>
      </c>
      <c r="AB254" t="s">
        <v>4970</v>
      </c>
      <c r="AC254" t="s">
        <v>4971</v>
      </c>
      <c r="AD254" t="s">
        <v>4972</v>
      </c>
      <c r="AE254" t="s">
        <v>4973</v>
      </c>
      <c r="AF254" t="s">
        <v>74</v>
      </c>
      <c r="AG254">
        <v>41</v>
      </c>
      <c r="AH254">
        <v>36</v>
      </c>
      <c r="AI254">
        <v>45</v>
      </c>
      <c r="AJ254">
        <v>0</v>
      </c>
      <c r="AK254">
        <v>33</v>
      </c>
      <c r="AL254" t="s">
        <v>3033</v>
      </c>
      <c r="AM254" t="s">
        <v>1185</v>
      </c>
      <c r="AN254" t="s">
        <v>1186</v>
      </c>
      <c r="AO254" t="s">
        <v>4974</v>
      </c>
      <c r="AP254" t="s">
        <v>74</v>
      </c>
      <c r="AQ254" t="s">
        <v>74</v>
      </c>
      <c r="AR254" t="s">
        <v>4975</v>
      </c>
      <c r="AS254" t="s">
        <v>4976</v>
      </c>
      <c r="AT254" t="s">
        <v>4386</v>
      </c>
      <c r="AU254">
        <v>2009</v>
      </c>
      <c r="AV254">
        <v>15</v>
      </c>
      <c r="AW254">
        <v>6</v>
      </c>
      <c r="AX254" t="s">
        <v>74</v>
      </c>
      <c r="AY254" t="s">
        <v>74</v>
      </c>
      <c r="AZ254" t="s">
        <v>74</v>
      </c>
      <c r="BA254" t="s">
        <v>74</v>
      </c>
      <c r="BB254">
        <v>1010</v>
      </c>
      <c r="BC254">
        <v>1016</v>
      </c>
      <c r="BD254" t="s">
        <v>74</v>
      </c>
      <c r="BE254" t="s">
        <v>4977</v>
      </c>
      <c r="BF254" t="str">
        <f>HYPERLINK("http://dx.doi.org/10.1111/j.1472-4642.2009.00600.x","http://dx.doi.org/10.1111/j.1472-4642.2009.00600.x")</f>
        <v>http://dx.doi.org/10.1111/j.1472-4642.2009.00600.x</v>
      </c>
      <c r="BG254" t="s">
        <v>74</v>
      </c>
      <c r="BH254" t="s">
        <v>74</v>
      </c>
      <c r="BI254">
        <v>7</v>
      </c>
      <c r="BJ254" t="s">
        <v>3114</v>
      </c>
      <c r="BK254" t="s">
        <v>98</v>
      </c>
      <c r="BL254" t="s">
        <v>3115</v>
      </c>
      <c r="BM254" t="s">
        <v>4978</v>
      </c>
      <c r="BN254" t="s">
        <v>74</v>
      </c>
      <c r="BO254" t="s">
        <v>4122</v>
      </c>
      <c r="BP254" t="s">
        <v>74</v>
      </c>
      <c r="BQ254" t="s">
        <v>74</v>
      </c>
      <c r="BR254" t="s">
        <v>101</v>
      </c>
      <c r="BS254" t="s">
        <v>4979</v>
      </c>
      <c r="BT254" t="str">
        <f>HYPERLINK("https%3A%2F%2Fwww.webofscience.com%2Fwos%2Fwoscc%2Ffull-record%2FWOS:000270735000009","View Full Record in Web of Science")</f>
        <v>View Full Record in Web of Science</v>
      </c>
    </row>
    <row r="255" spans="1:72" x14ac:dyDescent="0.15">
      <c r="A255" t="s">
        <v>72</v>
      </c>
      <c r="B255" t="s">
        <v>4980</v>
      </c>
      <c r="C255" t="s">
        <v>74</v>
      </c>
      <c r="D255" t="s">
        <v>74</v>
      </c>
      <c r="E255" t="s">
        <v>74</v>
      </c>
      <c r="F255" t="s">
        <v>4981</v>
      </c>
      <c r="G255" t="s">
        <v>74</v>
      </c>
      <c r="H255" t="s">
        <v>74</v>
      </c>
      <c r="I255" t="s">
        <v>4982</v>
      </c>
      <c r="J255" t="s">
        <v>4983</v>
      </c>
      <c r="K255" t="s">
        <v>74</v>
      </c>
      <c r="L255" t="s">
        <v>74</v>
      </c>
      <c r="M255" t="s">
        <v>78</v>
      </c>
      <c r="N255" t="s">
        <v>297</v>
      </c>
      <c r="O255" t="s">
        <v>74</v>
      </c>
      <c r="P255" t="s">
        <v>74</v>
      </c>
      <c r="Q255" t="s">
        <v>74</v>
      </c>
      <c r="R255" t="s">
        <v>74</v>
      </c>
      <c r="S255" t="s">
        <v>74</v>
      </c>
      <c r="T255" t="s">
        <v>4984</v>
      </c>
      <c r="U255" t="s">
        <v>4985</v>
      </c>
      <c r="V255" t="s">
        <v>4986</v>
      </c>
      <c r="W255" t="s">
        <v>4987</v>
      </c>
      <c r="X255" t="s">
        <v>4988</v>
      </c>
      <c r="Y255" t="s">
        <v>4989</v>
      </c>
      <c r="Z255" t="s">
        <v>4990</v>
      </c>
      <c r="AA255" t="s">
        <v>74</v>
      </c>
      <c r="AB255" t="s">
        <v>74</v>
      </c>
      <c r="AC255" t="s">
        <v>4991</v>
      </c>
      <c r="AD255" t="s">
        <v>4992</v>
      </c>
      <c r="AE255" t="s">
        <v>4993</v>
      </c>
      <c r="AF255" t="s">
        <v>74</v>
      </c>
      <c r="AG255">
        <v>161</v>
      </c>
      <c r="AH255">
        <v>132</v>
      </c>
      <c r="AI255">
        <v>152</v>
      </c>
      <c r="AJ255">
        <v>5</v>
      </c>
      <c r="AK255">
        <v>57</v>
      </c>
      <c r="AL255" t="s">
        <v>305</v>
      </c>
      <c r="AM255" t="s">
        <v>281</v>
      </c>
      <c r="AN255" t="s">
        <v>306</v>
      </c>
      <c r="AO255" t="s">
        <v>4994</v>
      </c>
      <c r="AP255" t="s">
        <v>4995</v>
      </c>
      <c r="AQ255" t="s">
        <v>74</v>
      </c>
      <c r="AR255" t="s">
        <v>4996</v>
      </c>
      <c r="AS255" t="s">
        <v>4997</v>
      </c>
      <c r="AT255" t="s">
        <v>4386</v>
      </c>
      <c r="AU255">
        <v>2009</v>
      </c>
      <c r="AV255">
        <v>96</v>
      </c>
      <c r="AW255">
        <v>4</v>
      </c>
      <c r="AX255" t="s">
        <v>74</v>
      </c>
      <c r="AY255" t="s">
        <v>74</v>
      </c>
      <c r="AZ255" t="s">
        <v>74</v>
      </c>
      <c r="BA255" t="s">
        <v>74</v>
      </c>
      <c r="BB255">
        <v>279</v>
      </c>
      <c r="BC255">
        <v>295</v>
      </c>
      <c r="BD255" t="s">
        <v>74</v>
      </c>
      <c r="BE255" t="s">
        <v>4998</v>
      </c>
      <c r="BF255" t="str">
        <f>HYPERLINK("http://dx.doi.org/10.1016/j.earscirev.2009.07.003","http://dx.doi.org/10.1016/j.earscirev.2009.07.003")</f>
        <v>http://dx.doi.org/10.1016/j.earscirev.2009.07.003</v>
      </c>
      <c r="BG255" t="s">
        <v>74</v>
      </c>
      <c r="BH255" t="s">
        <v>74</v>
      </c>
      <c r="BI255">
        <v>17</v>
      </c>
      <c r="BJ255" t="s">
        <v>464</v>
      </c>
      <c r="BK255" t="s">
        <v>98</v>
      </c>
      <c r="BL255" t="s">
        <v>465</v>
      </c>
      <c r="BM255" t="s">
        <v>4999</v>
      </c>
      <c r="BN255" t="s">
        <v>74</v>
      </c>
      <c r="BO255" t="s">
        <v>74</v>
      </c>
      <c r="BP255" t="s">
        <v>74</v>
      </c>
      <c r="BQ255" t="s">
        <v>74</v>
      </c>
      <c r="BR255" t="s">
        <v>101</v>
      </c>
      <c r="BS255" t="s">
        <v>5000</v>
      </c>
      <c r="BT255" t="str">
        <f>HYPERLINK("https%3A%2F%2Fwww.webofscience.com%2Fwos%2Fwoscc%2Ffull-record%2FWOS:000272285300004","View Full Record in Web of Science")</f>
        <v>View Full Record in Web of Science</v>
      </c>
    </row>
    <row r="256" spans="1:72" x14ac:dyDescent="0.15">
      <c r="A256" t="s">
        <v>72</v>
      </c>
      <c r="B256" t="s">
        <v>5001</v>
      </c>
      <c r="C256" t="s">
        <v>74</v>
      </c>
      <c r="D256" t="s">
        <v>74</v>
      </c>
      <c r="E256" t="s">
        <v>74</v>
      </c>
      <c r="F256" t="s">
        <v>5002</v>
      </c>
      <c r="G256" t="s">
        <v>74</v>
      </c>
      <c r="H256" t="s">
        <v>74</v>
      </c>
      <c r="I256" t="s">
        <v>5003</v>
      </c>
      <c r="J256" t="s">
        <v>5004</v>
      </c>
      <c r="K256" t="s">
        <v>74</v>
      </c>
      <c r="L256" t="s">
        <v>74</v>
      </c>
      <c r="M256" t="s">
        <v>78</v>
      </c>
      <c r="N256" t="s">
        <v>79</v>
      </c>
      <c r="O256" t="s">
        <v>74</v>
      </c>
      <c r="P256" t="s">
        <v>74</v>
      </c>
      <c r="Q256" t="s">
        <v>74</v>
      </c>
      <c r="R256" t="s">
        <v>74</v>
      </c>
      <c r="S256" t="s">
        <v>74</v>
      </c>
      <c r="T256" t="s">
        <v>5005</v>
      </c>
      <c r="U256" t="s">
        <v>5006</v>
      </c>
      <c r="V256" t="s">
        <v>5007</v>
      </c>
      <c r="W256" t="s">
        <v>5008</v>
      </c>
      <c r="X256" t="s">
        <v>5009</v>
      </c>
      <c r="Y256" t="s">
        <v>5010</v>
      </c>
      <c r="Z256" t="s">
        <v>5011</v>
      </c>
      <c r="AA256" t="s">
        <v>5012</v>
      </c>
      <c r="AB256" t="s">
        <v>5013</v>
      </c>
      <c r="AC256" t="s">
        <v>5014</v>
      </c>
      <c r="AD256" t="s">
        <v>5015</v>
      </c>
      <c r="AE256" t="s">
        <v>5016</v>
      </c>
      <c r="AF256" t="s">
        <v>74</v>
      </c>
      <c r="AG256">
        <v>64</v>
      </c>
      <c r="AH256">
        <v>67</v>
      </c>
      <c r="AI256">
        <v>68</v>
      </c>
      <c r="AJ256">
        <v>1</v>
      </c>
      <c r="AK256">
        <v>41</v>
      </c>
      <c r="AL256" t="s">
        <v>1184</v>
      </c>
      <c r="AM256" t="s">
        <v>1185</v>
      </c>
      <c r="AN256" t="s">
        <v>1186</v>
      </c>
      <c r="AO256" t="s">
        <v>5017</v>
      </c>
      <c r="AP256" t="s">
        <v>5018</v>
      </c>
      <c r="AQ256" t="s">
        <v>74</v>
      </c>
      <c r="AR256" t="s">
        <v>5019</v>
      </c>
      <c r="AS256" t="s">
        <v>5020</v>
      </c>
      <c r="AT256" t="s">
        <v>4386</v>
      </c>
      <c r="AU256">
        <v>2009</v>
      </c>
      <c r="AV256">
        <v>79</v>
      </c>
      <c r="AW256">
        <v>4</v>
      </c>
      <c r="AX256" t="s">
        <v>74</v>
      </c>
      <c r="AY256" t="s">
        <v>74</v>
      </c>
      <c r="AZ256" t="s">
        <v>74</v>
      </c>
      <c r="BA256" t="s">
        <v>74</v>
      </c>
      <c r="BB256">
        <v>663</v>
      </c>
      <c r="BC256">
        <v>679</v>
      </c>
      <c r="BD256" t="s">
        <v>74</v>
      </c>
      <c r="BE256" t="s">
        <v>5021</v>
      </c>
      <c r="BF256" t="str">
        <f>HYPERLINK("http://dx.doi.org/10.1890/07-2111.1","http://dx.doi.org/10.1890/07-2111.1")</f>
        <v>http://dx.doi.org/10.1890/07-2111.1</v>
      </c>
      <c r="BG256" t="s">
        <v>74</v>
      </c>
      <c r="BH256" t="s">
        <v>74</v>
      </c>
      <c r="BI256">
        <v>17</v>
      </c>
      <c r="BJ256" t="s">
        <v>5022</v>
      </c>
      <c r="BK256" t="s">
        <v>98</v>
      </c>
      <c r="BL256" t="s">
        <v>516</v>
      </c>
      <c r="BM256" t="s">
        <v>5023</v>
      </c>
      <c r="BN256" t="s">
        <v>74</v>
      </c>
      <c r="BO256" t="s">
        <v>1381</v>
      </c>
      <c r="BP256" t="s">
        <v>74</v>
      </c>
      <c r="BQ256" t="s">
        <v>74</v>
      </c>
      <c r="BR256" t="s">
        <v>101</v>
      </c>
      <c r="BS256" t="s">
        <v>5024</v>
      </c>
      <c r="BT256" t="str">
        <f>HYPERLINK("https%3A%2F%2Fwww.webofscience.com%2Fwos%2Fwoscc%2Ffull-record%2FWOS:000270909900007","View Full Record in Web of Science")</f>
        <v>View Full Record in Web of Science</v>
      </c>
    </row>
    <row r="257" spans="1:72" x14ac:dyDescent="0.15">
      <c r="A257" t="s">
        <v>72</v>
      </c>
      <c r="B257" t="s">
        <v>5025</v>
      </c>
      <c r="C257" t="s">
        <v>74</v>
      </c>
      <c r="D257" t="s">
        <v>74</v>
      </c>
      <c r="E257" t="s">
        <v>74</v>
      </c>
      <c r="F257" t="s">
        <v>5026</v>
      </c>
      <c r="G257" t="s">
        <v>74</v>
      </c>
      <c r="H257" t="s">
        <v>74</v>
      </c>
      <c r="I257" t="s">
        <v>5027</v>
      </c>
      <c r="J257" t="s">
        <v>5028</v>
      </c>
      <c r="K257" t="s">
        <v>74</v>
      </c>
      <c r="L257" t="s">
        <v>74</v>
      </c>
      <c r="M257" t="s">
        <v>78</v>
      </c>
      <c r="N257" t="s">
        <v>79</v>
      </c>
      <c r="O257" t="s">
        <v>74</v>
      </c>
      <c r="P257" t="s">
        <v>74</v>
      </c>
      <c r="Q257" t="s">
        <v>74</v>
      </c>
      <c r="R257" t="s">
        <v>74</v>
      </c>
      <c r="S257" t="s">
        <v>74</v>
      </c>
      <c r="T257" t="s">
        <v>5029</v>
      </c>
      <c r="U257" t="s">
        <v>5030</v>
      </c>
      <c r="V257" t="s">
        <v>5031</v>
      </c>
      <c r="W257" t="s">
        <v>5032</v>
      </c>
      <c r="X257" t="s">
        <v>5033</v>
      </c>
      <c r="Y257" t="s">
        <v>5034</v>
      </c>
      <c r="Z257" t="s">
        <v>5035</v>
      </c>
      <c r="AA257" t="s">
        <v>5036</v>
      </c>
      <c r="AB257" t="s">
        <v>5037</v>
      </c>
      <c r="AC257" t="s">
        <v>5038</v>
      </c>
      <c r="AD257" t="s">
        <v>5039</v>
      </c>
      <c r="AE257" t="s">
        <v>5040</v>
      </c>
      <c r="AF257" t="s">
        <v>74</v>
      </c>
      <c r="AG257">
        <v>75</v>
      </c>
      <c r="AH257">
        <v>29</v>
      </c>
      <c r="AI257">
        <v>29</v>
      </c>
      <c r="AJ257">
        <v>0</v>
      </c>
      <c r="AK257">
        <v>65</v>
      </c>
      <c r="AL257" t="s">
        <v>1184</v>
      </c>
      <c r="AM257" t="s">
        <v>1185</v>
      </c>
      <c r="AN257" t="s">
        <v>1186</v>
      </c>
      <c r="AO257" t="s">
        <v>5041</v>
      </c>
      <c r="AP257" t="s">
        <v>5042</v>
      </c>
      <c r="AQ257" t="s">
        <v>74</v>
      </c>
      <c r="AR257" t="s">
        <v>5028</v>
      </c>
      <c r="AS257" t="s">
        <v>5022</v>
      </c>
      <c r="AT257" t="s">
        <v>4386</v>
      </c>
      <c r="AU257">
        <v>2009</v>
      </c>
      <c r="AV257">
        <v>90</v>
      </c>
      <c r="AW257">
        <v>11</v>
      </c>
      <c r="AX257" t="s">
        <v>74</v>
      </c>
      <c r="AY257" t="s">
        <v>74</v>
      </c>
      <c r="AZ257" t="s">
        <v>74</v>
      </c>
      <c r="BA257" t="s">
        <v>74</v>
      </c>
      <c r="BB257">
        <v>3197</v>
      </c>
      <c r="BC257">
        <v>3208</v>
      </c>
      <c r="BD257" t="s">
        <v>74</v>
      </c>
      <c r="BE257" t="s">
        <v>5043</v>
      </c>
      <c r="BF257" t="str">
        <f>HYPERLINK("http://dx.doi.org/10.1890/08-1778.1","http://dx.doi.org/10.1890/08-1778.1")</f>
        <v>http://dx.doi.org/10.1890/08-1778.1</v>
      </c>
      <c r="BG257" t="s">
        <v>74</v>
      </c>
      <c r="BH257" t="s">
        <v>74</v>
      </c>
      <c r="BI257">
        <v>12</v>
      </c>
      <c r="BJ257" t="s">
        <v>5022</v>
      </c>
      <c r="BK257" t="s">
        <v>98</v>
      </c>
      <c r="BL257" t="s">
        <v>516</v>
      </c>
      <c r="BM257" t="s">
        <v>5044</v>
      </c>
      <c r="BN257">
        <v>19967875</v>
      </c>
      <c r="BO257" t="s">
        <v>74</v>
      </c>
      <c r="BP257" t="s">
        <v>74</v>
      </c>
      <c r="BQ257" t="s">
        <v>74</v>
      </c>
      <c r="BR257" t="s">
        <v>101</v>
      </c>
      <c r="BS257" t="s">
        <v>5045</v>
      </c>
      <c r="BT257" t="str">
        <f>HYPERLINK("https%3A%2F%2Fwww.webofscience.com%2Fwos%2Fwoscc%2Ffull-record%2FWOS:000271457300023","View Full Record in Web of Science")</f>
        <v>View Full Record in Web of Science</v>
      </c>
    </row>
    <row r="258" spans="1:72" x14ac:dyDescent="0.15">
      <c r="A258" t="s">
        <v>72</v>
      </c>
      <c r="B258" t="s">
        <v>5046</v>
      </c>
      <c r="C258" t="s">
        <v>74</v>
      </c>
      <c r="D258" t="s">
        <v>74</v>
      </c>
      <c r="E258" t="s">
        <v>74</v>
      </c>
      <c r="F258" t="s">
        <v>5047</v>
      </c>
      <c r="G258" t="s">
        <v>74</v>
      </c>
      <c r="H258" t="s">
        <v>74</v>
      </c>
      <c r="I258" t="s">
        <v>5048</v>
      </c>
      <c r="J258" t="s">
        <v>1942</v>
      </c>
      <c r="K258" t="s">
        <v>74</v>
      </c>
      <c r="L258" t="s">
        <v>74</v>
      </c>
      <c r="M258" t="s">
        <v>78</v>
      </c>
      <c r="N258" t="s">
        <v>79</v>
      </c>
      <c r="O258" t="s">
        <v>74</v>
      </c>
      <c r="P258" t="s">
        <v>74</v>
      </c>
      <c r="Q258" t="s">
        <v>74</v>
      </c>
      <c r="R258" t="s">
        <v>74</v>
      </c>
      <c r="S258" t="s">
        <v>74</v>
      </c>
      <c r="T258" t="s">
        <v>74</v>
      </c>
      <c r="U258" t="s">
        <v>5049</v>
      </c>
      <c r="V258" t="s">
        <v>5050</v>
      </c>
      <c r="W258" t="s">
        <v>5051</v>
      </c>
      <c r="X258" t="s">
        <v>5052</v>
      </c>
      <c r="Y258" t="s">
        <v>5053</v>
      </c>
      <c r="Z258" t="s">
        <v>5054</v>
      </c>
      <c r="AA258" t="s">
        <v>74</v>
      </c>
      <c r="AB258" t="s">
        <v>74</v>
      </c>
      <c r="AC258" t="s">
        <v>5055</v>
      </c>
      <c r="AD258" t="s">
        <v>5056</v>
      </c>
      <c r="AE258" t="s">
        <v>5057</v>
      </c>
      <c r="AF258" t="s">
        <v>74</v>
      </c>
      <c r="AG258">
        <v>46</v>
      </c>
      <c r="AH258">
        <v>46</v>
      </c>
      <c r="AI258">
        <v>51</v>
      </c>
      <c r="AJ258">
        <v>0</v>
      </c>
      <c r="AK258">
        <v>32</v>
      </c>
      <c r="AL258" t="s">
        <v>2045</v>
      </c>
      <c r="AM258" t="s">
        <v>2046</v>
      </c>
      <c r="AN258" t="s">
        <v>2047</v>
      </c>
      <c r="AO258" t="s">
        <v>1953</v>
      </c>
      <c r="AP258" t="s">
        <v>74</v>
      </c>
      <c r="AQ258" t="s">
        <v>74</v>
      </c>
      <c r="AR258" t="s">
        <v>1955</v>
      </c>
      <c r="AS258" t="s">
        <v>1956</v>
      </c>
      <c r="AT258" t="s">
        <v>4386</v>
      </c>
      <c r="AU258">
        <v>2009</v>
      </c>
      <c r="AV258">
        <v>11</v>
      </c>
      <c r="AW258">
        <v>11</v>
      </c>
      <c r="AX258" t="s">
        <v>74</v>
      </c>
      <c r="AY258" t="s">
        <v>74</v>
      </c>
      <c r="AZ258" t="s">
        <v>74</v>
      </c>
      <c r="BA258" t="s">
        <v>74</v>
      </c>
      <c r="BB258">
        <v>2924</v>
      </c>
      <c r="BC258">
        <v>2934</v>
      </c>
      <c r="BD258" t="s">
        <v>74</v>
      </c>
      <c r="BE258" t="s">
        <v>5058</v>
      </c>
      <c r="BF258" t="str">
        <f>HYPERLINK("http://dx.doi.org/10.1111/j.1462-2920.2009.02050.x","http://dx.doi.org/10.1111/j.1462-2920.2009.02050.x")</f>
        <v>http://dx.doi.org/10.1111/j.1462-2920.2009.02050.x</v>
      </c>
      <c r="BG258" t="s">
        <v>74</v>
      </c>
      <c r="BH258" t="s">
        <v>74</v>
      </c>
      <c r="BI258">
        <v>11</v>
      </c>
      <c r="BJ258" t="s">
        <v>1958</v>
      </c>
      <c r="BK258" t="s">
        <v>98</v>
      </c>
      <c r="BL258" t="s">
        <v>1958</v>
      </c>
      <c r="BM258" t="s">
        <v>5059</v>
      </c>
      <c r="BN258">
        <v>19758350</v>
      </c>
      <c r="BO258" t="s">
        <v>74</v>
      </c>
      <c r="BP258" t="s">
        <v>74</v>
      </c>
      <c r="BQ258" t="s">
        <v>74</v>
      </c>
      <c r="BR258" t="s">
        <v>101</v>
      </c>
      <c r="BS258" t="s">
        <v>5060</v>
      </c>
      <c r="BT258" t="str">
        <f>HYPERLINK("https%3A%2F%2Fwww.webofscience.com%2Fwos%2Fwoscc%2Ffull-record%2FWOS:000271244800015","View Full Record in Web of Science")</f>
        <v>View Full Record in Web of Science</v>
      </c>
    </row>
    <row r="259" spans="1:72" x14ac:dyDescent="0.15">
      <c r="A259" t="s">
        <v>72</v>
      </c>
      <c r="B259" t="s">
        <v>5061</v>
      </c>
      <c r="C259" t="s">
        <v>74</v>
      </c>
      <c r="D259" t="s">
        <v>74</v>
      </c>
      <c r="E259" t="s">
        <v>74</v>
      </c>
      <c r="F259" t="s">
        <v>5062</v>
      </c>
      <c r="G259" t="s">
        <v>74</v>
      </c>
      <c r="H259" t="s">
        <v>74</v>
      </c>
      <c r="I259" t="s">
        <v>5063</v>
      </c>
      <c r="J259" t="s">
        <v>5064</v>
      </c>
      <c r="K259" t="s">
        <v>74</v>
      </c>
      <c r="L259" t="s">
        <v>74</v>
      </c>
      <c r="M259" t="s">
        <v>78</v>
      </c>
      <c r="N259" t="s">
        <v>79</v>
      </c>
      <c r="O259" t="s">
        <v>74</v>
      </c>
      <c r="P259" t="s">
        <v>74</v>
      </c>
      <c r="Q259" t="s">
        <v>74</v>
      </c>
      <c r="R259" t="s">
        <v>74</v>
      </c>
      <c r="S259" t="s">
        <v>74</v>
      </c>
      <c r="T259" t="s">
        <v>5065</v>
      </c>
      <c r="U259" t="s">
        <v>5066</v>
      </c>
      <c r="V259" t="s">
        <v>5067</v>
      </c>
      <c r="W259" t="s">
        <v>5068</v>
      </c>
      <c r="X259" t="s">
        <v>5069</v>
      </c>
      <c r="Y259" t="s">
        <v>5070</v>
      </c>
      <c r="Z259" t="s">
        <v>5071</v>
      </c>
      <c r="AA259" t="s">
        <v>5072</v>
      </c>
      <c r="AB259" t="s">
        <v>5073</v>
      </c>
      <c r="AC259" t="s">
        <v>5074</v>
      </c>
      <c r="AD259" t="s">
        <v>5075</v>
      </c>
      <c r="AE259" t="s">
        <v>5076</v>
      </c>
      <c r="AF259" t="s">
        <v>74</v>
      </c>
      <c r="AG259">
        <v>38</v>
      </c>
      <c r="AH259">
        <v>43</v>
      </c>
      <c r="AI259">
        <v>64</v>
      </c>
      <c r="AJ259">
        <v>1</v>
      </c>
      <c r="AK259">
        <v>31</v>
      </c>
      <c r="AL259" t="s">
        <v>5077</v>
      </c>
      <c r="AM259" t="s">
        <v>5078</v>
      </c>
      <c r="AN259" t="s">
        <v>5079</v>
      </c>
      <c r="AO259" t="s">
        <v>5080</v>
      </c>
      <c r="AP259" t="s">
        <v>5081</v>
      </c>
      <c r="AQ259" t="s">
        <v>74</v>
      </c>
      <c r="AR259" t="s">
        <v>5064</v>
      </c>
      <c r="AS259" t="s">
        <v>5082</v>
      </c>
      <c r="AT259" t="s">
        <v>4386</v>
      </c>
      <c r="AU259">
        <v>2009</v>
      </c>
      <c r="AV259">
        <v>13</v>
      </c>
      <c r="AW259">
        <v>6</v>
      </c>
      <c r="AX259" t="s">
        <v>74</v>
      </c>
      <c r="AY259" t="s">
        <v>74</v>
      </c>
      <c r="AZ259" t="s">
        <v>74</v>
      </c>
      <c r="BA259" t="s">
        <v>74</v>
      </c>
      <c r="BB259">
        <v>875</v>
      </c>
      <c r="BC259">
        <v>884</v>
      </c>
      <c r="BD259" t="s">
        <v>74</v>
      </c>
      <c r="BE259" t="s">
        <v>5083</v>
      </c>
      <c r="BF259" t="str">
        <f>HYPERLINK("http://dx.doi.org/10.1007/s00792-009-0275-x","http://dx.doi.org/10.1007/s00792-009-0275-x")</f>
        <v>http://dx.doi.org/10.1007/s00792-009-0275-x</v>
      </c>
      <c r="BG259" t="s">
        <v>74</v>
      </c>
      <c r="BH259" t="s">
        <v>74</v>
      </c>
      <c r="BI259">
        <v>10</v>
      </c>
      <c r="BJ259" t="s">
        <v>5084</v>
      </c>
      <c r="BK259" t="s">
        <v>98</v>
      </c>
      <c r="BL259" t="s">
        <v>5084</v>
      </c>
      <c r="BM259" t="s">
        <v>5085</v>
      </c>
      <c r="BN259">
        <v>19728010</v>
      </c>
      <c r="BO259" t="s">
        <v>74</v>
      </c>
      <c r="BP259" t="s">
        <v>74</v>
      </c>
      <c r="BQ259" t="s">
        <v>74</v>
      </c>
      <c r="BR259" t="s">
        <v>101</v>
      </c>
      <c r="BS259" t="s">
        <v>5086</v>
      </c>
      <c r="BT259" t="str">
        <f>HYPERLINK("https%3A%2F%2Fwww.webofscience.com%2Fwos%2Fwoscc%2Ffull-record%2FWOS:000271199500003","View Full Record in Web of Science")</f>
        <v>View Full Record in Web of Science</v>
      </c>
    </row>
    <row r="260" spans="1:72" x14ac:dyDescent="0.15">
      <c r="A260" t="s">
        <v>72</v>
      </c>
      <c r="B260" t="s">
        <v>5087</v>
      </c>
      <c r="C260" t="s">
        <v>74</v>
      </c>
      <c r="D260" t="s">
        <v>74</v>
      </c>
      <c r="E260" t="s">
        <v>74</v>
      </c>
      <c r="F260" t="s">
        <v>5088</v>
      </c>
      <c r="G260" t="s">
        <v>74</v>
      </c>
      <c r="H260" t="s">
        <v>74</v>
      </c>
      <c r="I260" t="s">
        <v>5089</v>
      </c>
      <c r="J260" t="s">
        <v>5090</v>
      </c>
      <c r="K260" t="s">
        <v>74</v>
      </c>
      <c r="L260" t="s">
        <v>74</v>
      </c>
      <c r="M260" t="s">
        <v>78</v>
      </c>
      <c r="N260" t="s">
        <v>79</v>
      </c>
      <c r="O260" t="s">
        <v>74</v>
      </c>
      <c r="P260" t="s">
        <v>74</v>
      </c>
      <c r="Q260" t="s">
        <v>74</v>
      </c>
      <c r="R260" t="s">
        <v>74</v>
      </c>
      <c r="S260" t="s">
        <v>74</v>
      </c>
      <c r="T260" t="s">
        <v>5091</v>
      </c>
      <c r="U260" t="s">
        <v>5092</v>
      </c>
      <c r="V260" t="s">
        <v>5093</v>
      </c>
      <c r="W260" t="s">
        <v>5094</v>
      </c>
      <c r="X260" t="s">
        <v>5095</v>
      </c>
      <c r="Y260" t="s">
        <v>5096</v>
      </c>
      <c r="Z260" t="s">
        <v>5097</v>
      </c>
      <c r="AA260" t="s">
        <v>5098</v>
      </c>
      <c r="AB260" t="s">
        <v>5099</v>
      </c>
      <c r="AC260" t="s">
        <v>5100</v>
      </c>
      <c r="AD260" t="s">
        <v>5100</v>
      </c>
      <c r="AE260" t="s">
        <v>5101</v>
      </c>
      <c r="AF260" t="s">
        <v>74</v>
      </c>
      <c r="AG260">
        <v>38</v>
      </c>
      <c r="AH260">
        <v>15</v>
      </c>
      <c r="AI260">
        <v>20</v>
      </c>
      <c r="AJ260">
        <v>0</v>
      </c>
      <c r="AK260">
        <v>12</v>
      </c>
      <c r="AL260" t="s">
        <v>5102</v>
      </c>
      <c r="AM260" t="s">
        <v>5078</v>
      </c>
      <c r="AN260" t="s">
        <v>5103</v>
      </c>
      <c r="AO260" t="s">
        <v>5104</v>
      </c>
      <c r="AP260" t="s">
        <v>74</v>
      </c>
      <c r="AQ260" t="s">
        <v>74</v>
      </c>
      <c r="AR260" t="s">
        <v>5105</v>
      </c>
      <c r="AS260" t="s">
        <v>5106</v>
      </c>
      <c r="AT260" t="s">
        <v>4386</v>
      </c>
      <c r="AU260">
        <v>2009</v>
      </c>
      <c r="AV260">
        <v>75</v>
      </c>
      <c r="AW260">
        <v>6</v>
      </c>
      <c r="AX260" t="s">
        <v>74</v>
      </c>
      <c r="AY260" t="s">
        <v>74</v>
      </c>
      <c r="AZ260" t="s">
        <v>74</v>
      </c>
      <c r="BA260" t="s">
        <v>74</v>
      </c>
      <c r="BB260">
        <v>1377</v>
      </c>
      <c r="BC260">
        <v>1387</v>
      </c>
      <c r="BD260" t="s">
        <v>74</v>
      </c>
      <c r="BE260" t="s">
        <v>5107</v>
      </c>
      <c r="BF260" t="str">
        <f>HYPERLINK("http://dx.doi.org/10.1007/s12562-009-0172-3","http://dx.doi.org/10.1007/s12562-009-0172-3")</f>
        <v>http://dx.doi.org/10.1007/s12562-009-0172-3</v>
      </c>
      <c r="BG260" t="s">
        <v>74</v>
      </c>
      <c r="BH260" t="s">
        <v>74</v>
      </c>
      <c r="BI260">
        <v>11</v>
      </c>
      <c r="BJ260" t="s">
        <v>5108</v>
      </c>
      <c r="BK260" t="s">
        <v>98</v>
      </c>
      <c r="BL260" t="s">
        <v>5108</v>
      </c>
      <c r="BM260" t="s">
        <v>5109</v>
      </c>
      <c r="BN260" t="s">
        <v>74</v>
      </c>
      <c r="BO260" t="s">
        <v>239</v>
      </c>
      <c r="BP260" t="s">
        <v>74</v>
      </c>
      <c r="BQ260" t="s">
        <v>74</v>
      </c>
      <c r="BR260" t="s">
        <v>101</v>
      </c>
      <c r="BS260" t="s">
        <v>5110</v>
      </c>
      <c r="BT260" t="str">
        <f>HYPERLINK("https%3A%2F%2Fwww.webofscience.com%2Fwos%2Fwoscc%2Ffull-record%2FWOS:000271399600004","View Full Record in Web of Science")</f>
        <v>View Full Record in Web of Science</v>
      </c>
    </row>
    <row r="261" spans="1:72" x14ac:dyDescent="0.15">
      <c r="A261" t="s">
        <v>72</v>
      </c>
      <c r="B261" t="s">
        <v>5111</v>
      </c>
      <c r="C261" t="s">
        <v>74</v>
      </c>
      <c r="D261" t="s">
        <v>74</v>
      </c>
      <c r="E261" t="s">
        <v>74</v>
      </c>
      <c r="F261" t="s">
        <v>5112</v>
      </c>
      <c r="G261" t="s">
        <v>74</v>
      </c>
      <c r="H261" t="s">
        <v>74</v>
      </c>
      <c r="I261" t="s">
        <v>5113</v>
      </c>
      <c r="J261" t="s">
        <v>5114</v>
      </c>
      <c r="K261" t="s">
        <v>74</v>
      </c>
      <c r="L261" t="s">
        <v>74</v>
      </c>
      <c r="M261" t="s">
        <v>78</v>
      </c>
      <c r="N261" t="s">
        <v>79</v>
      </c>
      <c r="O261" t="s">
        <v>74</v>
      </c>
      <c r="P261" t="s">
        <v>74</v>
      </c>
      <c r="Q261" t="s">
        <v>74</v>
      </c>
      <c r="R261" t="s">
        <v>74</v>
      </c>
      <c r="S261" t="s">
        <v>74</v>
      </c>
      <c r="T261" t="s">
        <v>5115</v>
      </c>
      <c r="U261" t="s">
        <v>5116</v>
      </c>
      <c r="V261" t="s">
        <v>5117</v>
      </c>
      <c r="W261" t="s">
        <v>5118</v>
      </c>
      <c r="X261" t="s">
        <v>5119</v>
      </c>
      <c r="Y261" t="s">
        <v>5120</v>
      </c>
      <c r="Z261" t="s">
        <v>5121</v>
      </c>
      <c r="AA261" t="s">
        <v>5122</v>
      </c>
      <c r="AB261" t="s">
        <v>5123</v>
      </c>
      <c r="AC261" t="s">
        <v>5124</v>
      </c>
      <c r="AD261" t="s">
        <v>5125</v>
      </c>
      <c r="AE261" t="s">
        <v>5126</v>
      </c>
      <c r="AF261" t="s">
        <v>74</v>
      </c>
      <c r="AG261">
        <v>62</v>
      </c>
      <c r="AH261">
        <v>50</v>
      </c>
      <c r="AI261">
        <v>56</v>
      </c>
      <c r="AJ261">
        <v>0</v>
      </c>
      <c r="AK261">
        <v>35</v>
      </c>
      <c r="AL261" t="s">
        <v>1978</v>
      </c>
      <c r="AM261" t="s">
        <v>1895</v>
      </c>
      <c r="AN261" t="s">
        <v>1979</v>
      </c>
      <c r="AO261" t="s">
        <v>5127</v>
      </c>
      <c r="AP261" t="s">
        <v>5128</v>
      </c>
      <c r="AQ261" t="s">
        <v>74</v>
      </c>
      <c r="AR261" t="s">
        <v>5129</v>
      </c>
      <c r="AS261" t="s">
        <v>5130</v>
      </c>
      <c r="AT261" t="s">
        <v>4386</v>
      </c>
      <c r="AU261">
        <v>2009</v>
      </c>
      <c r="AV261">
        <v>2</v>
      </c>
      <c r="AW261" t="s">
        <v>74</v>
      </c>
      <c r="AX261">
        <v>4</v>
      </c>
      <c r="AY261" t="s">
        <v>74</v>
      </c>
      <c r="AZ261" t="s">
        <v>74</v>
      </c>
      <c r="BA261" t="s">
        <v>74</v>
      </c>
      <c r="BB261">
        <v>184</v>
      </c>
      <c r="BC261">
        <v>196</v>
      </c>
      <c r="BD261" t="s">
        <v>74</v>
      </c>
      <c r="BE261" t="s">
        <v>5131</v>
      </c>
      <c r="BF261" t="str">
        <f>HYPERLINK("http://dx.doi.org/10.1016/j.funeco.2009.02.004","http://dx.doi.org/10.1016/j.funeco.2009.02.004")</f>
        <v>http://dx.doi.org/10.1016/j.funeco.2009.02.004</v>
      </c>
      <c r="BG261" t="s">
        <v>74</v>
      </c>
      <c r="BH261" t="s">
        <v>74</v>
      </c>
      <c r="BI261">
        <v>13</v>
      </c>
      <c r="BJ261" t="s">
        <v>5132</v>
      </c>
      <c r="BK261" t="s">
        <v>98</v>
      </c>
      <c r="BL261" t="s">
        <v>5133</v>
      </c>
      <c r="BM261" t="s">
        <v>5134</v>
      </c>
      <c r="BN261" t="s">
        <v>74</v>
      </c>
      <c r="BO261" t="s">
        <v>74</v>
      </c>
      <c r="BP261" t="s">
        <v>74</v>
      </c>
      <c r="BQ261" t="s">
        <v>74</v>
      </c>
      <c r="BR261" t="s">
        <v>101</v>
      </c>
      <c r="BS261" t="s">
        <v>5135</v>
      </c>
      <c r="BT261" t="str">
        <f>HYPERLINK("https%3A%2F%2Fwww.webofscience.com%2Fwos%2Fwoscc%2Ffull-record%2FWOS:000270349700004","View Full Record in Web of Science")</f>
        <v>View Full Record in Web of Science</v>
      </c>
    </row>
    <row r="262" spans="1:72" x14ac:dyDescent="0.15">
      <c r="A262" t="s">
        <v>72</v>
      </c>
      <c r="B262" t="s">
        <v>5136</v>
      </c>
      <c r="C262" t="s">
        <v>74</v>
      </c>
      <c r="D262" t="s">
        <v>74</v>
      </c>
      <c r="E262" t="s">
        <v>74</v>
      </c>
      <c r="F262" t="s">
        <v>5137</v>
      </c>
      <c r="G262" t="s">
        <v>74</v>
      </c>
      <c r="H262" t="s">
        <v>74</v>
      </c>
      <c r="I262" t="s">
        <v>5138</v>
      </c>
      <c r="J262" t="s">
        <v>5139</v>
      </c>
      <c r="K262" t="s">
        <v>74</v>
      </c>
      <c r="L262" t="s">
        <v>74</v>
      </c>
      <c r="M262" t="s">
        <v>78</v>
      </c>
      <c r="N262" t="s">
        <v>79</v>
      </c>
      <c r="O262" t="s">
        <v>74</v>
      </c>
      <c r="P262" t="s">
        <v>74</v>
      </c>
      <c r="Q262" t="s">
        <v>74</v>
      </c>
      <c r="R262" t="s">
        <v>74</v>
      </c>
      <c r="S262" t="s">
        <v>74</v>
      </c>
      <c r="T262" t="s">
        <v>5140</v>
      </c>
      <c r="U262" t="s">
        <v>5141</v>
      </c>
      <c r="V262" t="s">
        <v>5142</v>
      </c>
      <c r="W262" t="s">
        <v>5143</v>
      </c>
      <c r="X262" t="s">
        <v>5144</v>
      </c>
      <c r="Y262" t="s">
        <v>5145</v>
      </c>
      <c r="Z262" t="s">
        <v>5146</v>
      </c>
      <c r="AA262" t="s">
        <v>5147</v>
      </c>
      <c r="AB262" t="s">
        <v>5148</v>
      </c>
      <c r="AC262" t="s">
        <v>5149</v>
      </c>
      <c r="AD262" t="s">
        <v>5150</v>
      </c>
      <c r="AE262" t="s">
        <v>5151</v>
      </c>
      <c r="AF262" t="s">
        <v>74</v>
      </c>
      <c r="AG262">
        <v>60</v>
      </c>
      <c r="AH262">
        <v>35</v>
      </c>
      <c r="AI262">
        <v>36</v>
      </c>
      <c r="AJ262">
        <v>0</v>
      </c>
      <c r="AK262">
        <v>12</v>
      </c>
      <c r="AL262" t="s">
        <v>4774</v>
      </c>
      <c r="AM262" t="s">
        <v>4775</v>
      </c>
      <c r="AN262" t="s">
        <v>4776</v>
      </c>
      <c r="AO262" t="s">
        <v>5152</v>
      </c>
      <c r="AP262" t="s">
        <v>5153</v>
      </c>
      <c r="AQ262" t="s">
        <v>74</v>
      </c>
      <c r="AR262" t="s">
        <v>5154</v>
      </c>
      <c r="AS262" t="s">
        <v>5155</v>
      </c>
      <c r="AT262" t="s">
        <v>5156</v>
      </c>
      <c r="AU262">
        <v>2009</v>
      </c>
      <c r="AV262">
        <v>42</v>
      </c>
      <c r="AW262">
        <v>6</v>
      </c>
      <c r="AX262" t="s">
        <v>74</v>
      </c>
      <c r="AY262" t="s">
        <v>74</v>
      </c>
      <c r="AZ262" t="s">
        <v>74</v>
      </c>
      <c r="BA262" t="s">
        <v>74</v>
      </c>
      <c r="BB262">
        <v>813</v>
      </c>
      <c r="BC262">
        <v>823</v>
      </c>
      <c r="BD262" t="s">
        <v>74</v>
      </c>
      <c r="BE262" t="s">
        <v>5157</v>
      </c>
      <c r="BF262" t="str">
        <f>HYPERLINK("http://dx.doi.org/10.1016/j.geobios.2009.08.001","http://dx.doi.org/10.1016/j.geobios.2009.08.001")</f>
        <v>http://dx.doi.org/10.1016/j.geobios.2009.08.001</v>
      </c>
      <c r="BG262" t="s">
        <v>74</v>
      </c>
      <c r="BH262" t="s">
        <v>74</v>
      </c>
      <c r="BI262">
        <v>11</v>
      </c>
      <c r="BJ262" t="s">
        <v>2746</v>
      </c>
      <c r="BK262" t="s">
        <v>98</v>
      </c>
      <c r="BL262" t="s">
        <v>2746</v>
      </c>
      <c r="BM262" t="s">
        <v>5158</v>
      </c>
      <c r="BN262" t="s">
        <v>74</v>
      </c>
      <c r="BO262" t="s">
        <v>74</v>
      </c>
      <c r="BP262" t="s">
        <v>74</v>
      </c>
      <c r="BQ262" t="s">
        <v>74</v>
      </c>
      <c r="BR262" t="s">
        <v>101</v>
      </c>
      <c r="BS262" t="s">
        <v>5159</v>
      </c>
      <c r="BT262" t="str">
        <f>HYPERLINK("https%3A%2F%2Fwww.webofscience.com%2Fwos%2Fwoscc%2Ffull-record%2FWOS:000273041800010","View Full Record in Web of Science")</f>
        <v>View Full Record in Web of Science</v>
      </c>
    </row>
    <row r="263" spans="1:72" x14ac:dyDescent="0.15">
      <c r="A263" t="s">
        <v>72</v>
      </c>
      <c r="B263" t="s">
        <v>5160</v>
      </c>
      <c r="C263" t="s">
        <v>74</v>
      </c>
      <c r="D263" t="s">
        <v>74</v>
      </c>
      <c r="E263" t="s">
        <v>74</v>
      </c>
      <c r="F263" t="s">
        <v>5161</v>
      </c>
      <c r="G263" t="s">
        <v>74</v>
      </c>
      <c r="H263" t="s">
        <v>74</v>
      </c>
      <c r="I263" t="s">
        <v>5162</v>
      </c>
      <c r="J263" t="s">
        <v>5163</v>
      </c>
      <c r="K263" t="s">
        <v>74</v>
      </c>
      <c r="L263" t="s">
        <v>74</v>
      </c>
      <c r="M263" t="s">
        <v>78</v>
      </c>
      <c r="N263" t="s">
        <v>79</v>
      </c>
      <c r="O263" t="s">
        <v>74</v>
      </c>
      <c r="P263" t="s">
        <v>74</v>
      </c>
      <c r="Q263" t="s">
        <v>74</v>
      </c>
      <c r="R263" t="s">
        <v>74</v>
      </c>
      <c r="S263" t="s">
        <v>74</v>
      </c>
      <c r="T263" t="s">
        <v>5164</v>
      </c>
      <c r="U263" t="s">
        <v>5165</v>
      </c>
      <c r="V263" t="s">
        <v>5166</v>
      </c>
      <c r="W263" t="s">
        <v>5167</v>
      </c>
      <c r="X263" t="s">
        <v>5168</v>
      </c>
      <c r="Y263" t="s">
        <v>5169</v>
      </c>
      <c r="Z263" t="s">
        <v>5170</v>
      </c>
      <c r="AA263" t="s">
        <v>5171</v>
      </c>
      <c r="AB263" t="s">
        <v>5172</v>
      </c>
      <c r="AC263" t="s">
        <v>5173</v>
      </c>
      <c r="AD263" t="s">
        <v>573</v>
      </c>
      <c r="AE263" t="s">
        <v>74</v>
      </c>
      <c r="AF263" t="s">
        <v>74</v>
      </c>
      <c r="AG263">
        <v>68</v>
      </c>
      <c r="AH263">
        <v>20</v>
      </c>
      <c r="AI263">
        <v>23</v>
      </c>
      <c r="AJ263">
        <v>0</v>
      </c>
      <c r="AK263">
        <v>10</v>
      </c>
      <c r="AL263" t="s">
        <v>1226</v>
      </c>
      <c r="AM263" t="s">
        <v>684</v>
      </c>
      <c r="AN263" t="s">
        <v>1227</v>
      </c>
      <c r="AO263" t="s">
        <v>5174</v>
      </c>
      <c r="AP263" t="s">
        <v>5175</v>
      </c>
      <c r="AQ263" t="s">
        <v>74</v>
      </c>
      <c r="AR263" t="s">
        <v>5176</v>
      </c>
      <c r="AS263" t="s">
        <v>5177</v>
      </c>
      <c r="AT263" t="s">
        <v>4386</v>
      </c>
      <c r="AU263">
        <v>2009</v>
      </c>
      <c r="AV263">
        <v>146</v>
      </c>
      <c r="AW263">
        <v>6</v>
      </c>
      <c r="AX263" t="s">
        <v>74</v>
      </c>
      <c r="AY263" t="s">
        <v>74</v>
      </c>
      <c r="AZ263" t="s">
        <v>74</v>
      </c>
      <c r="BA263" t="s">
        <v>74</v>
      </c>
      <c r="BB263">
        <v>903</v>
      </c>
      <c r="BC263">
        <v>916</v>
      </c>
      <c r="BD263" t="s">
        <v>74</v>
      </c>
      <c r="BE263" t="s">
        <v>5178</v>
      </c>
      <c r="BF263" t="str">
        <f>HYPERLINK("http://dx.doi.org/10.1017/S0016756809990227","http://dx.doi.org/10.1017/S0016756809990227")</f>
        <v>http://dx.doi.org/10.1017/S0016756809990227</v>
      </c>
      <c r="BG263" t="s">
        <v>74</v>
      </c>
      <c r="BH263" t="s">
        <v>74</v>
      </c>
      <c r="BI263">
        <v>14</v>
      </c>
      <c r="BJ263" t="s">
        <v>464</v>
      </c>
      <c r="BK263" t="s">
        <v>98</v>
      </c>
      <c r="BL263" t="s">
        <v>465</v>
      </c>
      <c r="BM263" t="s">
        <v>5179</v>
      </c>
      <c r="BN263" t="s">
        <v>74</v>
      </c>
      <c r="BO263" t="s">
        <v>1381</v>
      </c>
      <c r="BP263" t="s">
        <v>74</v>
      </c>
      <c r="BQ263" t="s">
        <v>74</v>
      </c>
      <c r="BR263" t="s">
        <v>101</v>
      </c>
      <c r="BS263" t="s">
        <v>5180</v>
      </c>
      <c r="BT263" t="str">
        <f>HYPERLINK("https%3A%2F%2Fwww.webofscience.com%2Fwos%2Fwoscc%2Ffull-record%2FWOS:000271309500005","View Full Record in Web of Science")</f>
        <v>View Full Record in Web of Science</v>
      </c>
    </row>
    <row r="264" spans="1:72" x14ac:dyDescent="0.15">
      <c r="A264" t="s">
        <v>72</v>
      </c>
      <c r="B264" t="s">
        <v>5181</v>
      </c>
      <c r="C264" t="s">
        <v>74</v>
      </c>
      <c r="D264" t="s">
        <v>74</v>
      </c>
      <c r="E264" t="s">
        <v>74</v>
      </c>
      <c r="F264" t="s">
        <v>5182</v>
      </c>
      <c r="G264" t="s">
        <v>74</v>
      </c>
      <c r="H264" t="s">
        <v>74</v>
      </c>
      <c r="I264" t="s">
        <v>5183</v>
      </c>
      <c r="J264" t="s">
        <v>5184</v>
      </c>
      <c r="K264" t="s">
        <v>74</v>
      </c>
      <c r="L264" t="s">
        <v>74</v>
      </c>
      <c r="M264" t="s">
        <v>78</v>
      </c>
      <c r="N264" t="s">
        <v>297</v>
      </c>
      <c r="O264" t="s">
        <v>74</v>
      </c>
      <c r="P264" t="s">
        <v>74</v>
      </c>
      <c r="Q264" t="s">
        <v>74</v>
      </c>
      <c r="R264" t="s">
        <v>74</v>
      </c>
      <c r="S264" t="s">
        <v>74</v>
      </c>
      <c r="T264" t="s">
        <v>74</v>
      </c>
      <c r="U264" t="s">
        <v>5185</v>
      </c>
      <c r="V264" t="s">
        <v>5186</v>
      </c>
      <c r="W264" t="s">
        <v>5187</v>
      </c>
      <c r="X264" t="s">
        <v>5188</v>
      </c>
      <c r="Y264" t="s">
        <v>5189</v>
      </c>
      <c r="Z264" t="s">
        <v>5190</v>
      </c>
      <c r="AA264" t="s">
        <v>5191</v>
      </c>
      <c r="AB264" t="s">
        <v>5192</v>
      </c>
      <c r="AC264" t="s">
        <v>74</v>
      </c>
      <c r="AD264" t="s">
        <v>74</v>
      </c>
      <c r="AE264" t="s">
        <v>74</v>
      </c>
      <c r="AF264" t="s">
        <v>74</v>
      </c>
      <c r="AG264">
        <v>116</v>
      </c>
      <c r="AH264">
        <v>105</v>
      </c>
      <c r="AI264">
        <v>117</v>
      </c>
      <c r="AJ264">
        <v>1</v>
      </c>
      <c r="AK264">
        <v>2</v>
      </c>
      <c r="AL264" t="s">
        <v>5193</v>
      </c>
      <c r="AM264" t="s">
        <v>4515</v>
      </c>
      <c r="AN264" t="s">
        <v>5194</v>
      </c>
      <c r="AO264" t="s">
        <v>5195</v>
      </c>
      <c r="AP264" t="s">
        <v>5196</v>
      </c>
      <c r="AQ264" t="s">
        <v>74</v>
      </c>
      <c r="AR264" t="s">
        <v>5197</v>
      </c>
      <c r="AS264" t="s">
        <v>5198</v>
      </c>
      <c r="AT264" t="s">
        <v>5156</v>
      </c>
      <c r="AU264">
        <v>2009</v>
      </c>
      <c r="AV264">
        <v>121</v>
      </c>
      <c r="AW264" t="s">
        <v>5199</v>
      </c>
      <c r="AX264" t="s">
        <v>74</v>
      </c>
      <c r="AY264" t="s">
        <v>74</v>
      </c>
      <c r="AZ264" t="s">
        <v>74</v>
      </c>
      <c r="BA264" t="s">
        <v>74</v>
      </c>
      <c r="BB264">
        <v>1537</v>
      </c>
      <c r="BC264">
        <v>1561</v>
      </c>
      <c r="BD264" t="s">
        <v>74</v>
      </c>
      <c r="BE264" t="s">
        <v>5200</v>
      </c>
      <c r="BF264" t="str">
        <f>HYPERLINK("http://dx.doi.org/10.1130/B26540.1","http://dx.doi.org/10.1130/B26540.1")</f>
        <v>http://dx.doi.org/10.1130/B26540.1</v>
      </c>
      <c r="BG264" t="s">
        <v>74</v>
      </c>
      <c r="BH264" t="s">
        <v>74</v>
      </c>
      <c r="BI264">
        <v>25</v>
      </c>
      <c r="BJ264" t="s">
        <v>464</v>
      </c>
      <c r="BK264" t="s">
        <v>98</v>
      </c>
      <c r="BL264" t="s">
        <v>465</v>
      </c>
      <c r="BM264" t="s">
        <v>5201</v>
      </c>
      <c r="BN264" t="s">
        <v>74</v>
      </c>
      <c r="BO264" t="s">
        <v>74</v>
      </c>
      <c r="BP264" t="s">
        <v>74</v>
      </c>
      <c r="BQ264" t="s">
        <v>74</v>
      </c>
      <c r="BR264" t="s">
        <v>101</v>
      </c>
      <c r="BS264" t="s">
        <v>5202</v>
      </c>
      <c r="BT264" t="str">
        <f>HYPERLINK("https%3A%2F%2Fwww.webofscience.com%2Fwos%2Fwoscc%2Ffull-record%2FWOS:000270854700004","View Full Record in Web of Science")</f>
        <v>View Full Record in Web of Science</v>
      </c>
    </row>
    <row r="265" spans="1:72" x14ac:dyDescent="0.15">
      <c r="A265" t="s">
        <v>72</v>
      </c>
      <c r="B265" t="s">
        <v>5203</v>
      </c>
      <c r="C265" t="s">
        <v>74</v>
      </c>
      <c r="D265" t="s">
        <v>74</v>
      </c>
      <c r="E265" t="s">
        <v>74</v>
      </c>
      <c r="F265" t="s">
        <v>5204</v>
      </c>
      <c r="G265" t="s">
        <v>74</v>
      </c>
      <c r="H265" t="s">
        <v>74</v>
      </c>
      <c r="I265" t="s">
        <v>5205</v>
      </c>
      <c r="J265" t="s">
        <v>5184</v>
      </c>
      <c r="K265" t="s">
        <v>74</v>
      </c>
      <c r="L265" t="s">
        <v>74</v>
      </c>
      <c r="M265" t="s">
        <v>78</v>
      </c>
      <c r="N265" t="s">
        <v>79</v>
      </c>
      <c r="O265" t="s">
        <v>74</v>
      </c>
      <c r="P265" t="s">
        <v>74</v>
      </c>
      <c r="Q265" t="s">
        <v>74</v>
      </c>
      <c r="R265" t="s">
        <v>74</v>
      </c>
      <c r="S265" t="s">
        <v>74</v>
      </c>
      <c r="T265" t="s">
        <v>74</v>
      </c>
      <c r="U265" t="s">
        <v>5206</v>
      </c>
      <c r="V265" t="s">
        <v>5207</v>
      </c>
      <c r="W265" t="s">
        <v>5208</v>
      </c>
      <c r="X265" t="s">
        <v>5209</v>
      </c>
      <c r="Y265" t="s">
        <v>5210</v>
      </c>
      <c r="Z265" t="s">
        <v>5211</v>
      </c>
      <c r="AA265" t="s">
        <v>5212</v>
      </c>
      <c r="AB265" t="s">
        <v>74</v>
      </c>
      <c r="AC265" t="s">
        <v>5213</v>
      </c>
      <c r="AD265" t="s">
        <v>5214</v>
      </c>
      <c r="AE265" t="s">
        <v>5215</v>
      </c>
      <c r="AF265" t="s">
        <v>74</v>
      </c>
      <c r="AG265">
        <v>70</v>
      </c>
      <c r="AH265">
        <v>78</v>
      </c>
      <c r="AI265">
        <v>89</v>
      </c>
      <c r="AJ265">
        <v>1</v>
      </c>
      <c r="AK265">
        <v>32</v>
      </c>
      <c r="AL265" t="s">
        <v>5193</v>
      </c>
      <c r="AM265" t="s">
        <v>4515</v>
      </c>
      <c r="AN265" t="s">
        <v>5194</v>
      </c>
      <c r="AO265" t="s">
        <v>5195</v>
      </c>
      <c r="AP265" t="s">
        <v>5196</v>
      </c>
      <c r="AQ265" t="s">
        <v>74</v>
      </c>
      <c r="AR265" t="s">
        <v>5197</v>
      </c>
      <c r="AS265" t="s">
        <v>5198</v>
      </c>
      <c r="AT265" t="s">
        <v>5156</v>
      </c>
      <c r="AU265">
        <v>2009</v>
      </c>
      <c r="AV265">
        <v>121</v>
      </c>
      <c r="AW265" t="s">
        <v>5199</v>
      </c>
      <c r="AX265" t="s">
        <v>74</v>
      </c>
      <c r="AY265" t="s">
        <v>74</v>
      </c>
      <c r="AZ265" t="s">
        <v>74</v>
      </c>
      <c r="BA265" t="s">
        <v>74</v>
      </c>
      <c r="BB265">
        <v>1711</v>
      </c>
      <c r="BC265">
        <v>1725</v>
      </c>
      <c r="BD265" t="s">
        <v>74</v>
      </c>
      <c r="BE265" t="s">
        <v>5216</v>
      </c>
      <c r="BF265" t="str">
        <f>HYPERLINK("http://dx.doi.org/10.1130/B26478.1","http://dx.doi.org/10.1130/B26478.1")</f>
        <v>http://dx.doi.org/10.1130/B26478.1</v>
      </c>
      <c r="BG265" t="s">
        <v>74</v>
      </c>
      <c r="BH265" t="s">
        <v>74</v>
      </c>
      <c r="BI265">
        <v>15</v>
      </c>
      <c r="BJ265" t="s">
        <v>464</v>
      </c>
      <c r="BK265" t="s">
        <v>98</v>
      </c>
      <c r="BL265" t="s">
        <v>465</v>
      </c>
      <c r="BM265" t="s">
        <v>5201</v>
      </c>
      <c r="BN265" t="s">
        <v>74</v>
      </c>
      <c r="BO265" t="s">
        <v>74</v>
      </c>
      <c r="BP265" t="s">
        <v>74</v>
      </c>
      <c r="BQ265" t="s">
        <v>74</v>
      </c>
      <c r="BR265" t="s">
        <v>101</v>
      </c>
      <c r="BS265" t="s">
        <v>5217</v>
      </c>
      <c r="BT265" t="str">
        <f>HYPERLINK("https%3A%2F%2Fwww.webofscience.com%2Fwos%2Fwoscc%2Ffull-record%2FWOS:000270854700015","View Full Record in Web of Science")</f>
        <v>View Full Record in Web of Science</v>
      </c>
    </row>
    <row r="266" spans="1:72" x14ac:dyDescent="0.15">
      <c r="A266" t="s">
        <v>72</v>
      </c>
      <c r="B266" t="s">
        <v>5218</v>
      </c>
      <c r="C266" t="s">
        <v>74</v>
      </c>
      <c r="D266" t="s">
        <v>74</v>
      </c>
      <c r="E266" t="s">
        <v>74</v>
      </c>
      <c r="F266" t="s">
        <v>5219</v>
      </c>
      <c r="G266" t="s">
        <v>74</v>
      </c>
      <c r="H266" t="s">
        <v>74</v>
      </c>
      <c r="I266" t="s">
        <v>5220</v>
      </c>
      <c r="J266" t="s">
        <v>5221</v>
      </c>
      <c r="K266" t="s">
        <v>74</v>
      </c>
      <c r="L266" t="s">
        <v>74</v>
      </c>
      <c r="M266" t="s">
        <v>78</v>
      </c>
      <c r="N266" t="s">
        <v>79</v>
      </c>
      <c r="O266" t="s">
        <v>74</v>
      </c>
      <c r="P266" t="s">
        <v>74</v>
      </c>
      <c r="Q266" t="s">
        <v>74</v>
      </c>
      <c r="R266" t="s">
        <v>74</v>
      </c>
      <c r="S266" t="s">
        <v>74</v>
      </c>
      <c r="T266" t="s">
        <v>5222</v>
      </c>
      <c r="U266" t="s">
        <v>5223</v>
      </c>
      <c r="V266" t="s">
        <v>5224</v>
      </c>
      <c r="W266" t="s">
        <v>5225</v>
      </c>
      <c r="X266" t="s">
        <v>5226</v>
      </c>
      <c r="Y266" t="s">
        <v>5227</v>
      </c>
      <c r="Z266" t="s">
        <v>5228</v>
      </c>
      <c r="AA266" t="s">
        <v>5229</v>
      </c>
      <c r="AB266" t="s">
        <v>5230</v>
      </c>
      <c r="AC266" t="s">
        <v>5231</v>
      </c>
      <c r="AD266" t="s">
        <v>730</v>
      </c>
      <c r="AE266" t="s">
        <v>74</v>
      </c>
      <c r="AF266" t="s">
        <v>74</v>
      </c>
      <c r="AG266">
        <v>96</v>
      </c>
      <c r="AH266">
        <v>23</v>
      </c>
      <c r="AI266">
        <v>28</v>
      </c>
      <c r="AJ266">
        <v>0</v>
      </c>
      <c r="AK266">
        <v>19</v>
      </c>
      <c r="AL266" t="s">
        <v>305</v>
      </c>
      <c r="AM266" t="s">
        <v>281</v>
      </c>
      <c r="AN266" t="s">
        <v>306</v>
      </c>
      <c r="AO266" t="s">
        <v>5232</v>
      </c>
      <c r="AP266" t="s">
        <v>5233</v>
      </c>
      <c r="AQ266" t="s">
        <v>74</v>
      </c>
      <c r="AR266" t="s">
        <v>5221</v>
      </c>
      <c r="AS266" t="s">
        <v>5234</v>
      </c>
      <c r="AT266" t="s">
        <v>4386</v>
      </c>
      <c r="AU266">
        <v>2009</v>
      </c>
      <c r="AV266">
        <v>112</v>
      </c>
      <c r="AW266" t="s">
        <v>180</v>
      </c>
      <c r="AX266" t="s">
        <v>74</v>
      </c>
      <c r="AY266" t="s">
        <v>74</v>
      </c>
      <c r="AZ266" t="s">
        <v>74</v>
      </c>
      <c r="BA266" t="s">
        <v>74</v>
      </c>
      <c r="BB266">
        <v>122</v>
      </c>
      <c r="BC266">
        <v>134</v>
      </c>
      <c r="BD266" t="s">
        <v>74</v>
      </c>
      <c r="BE266" t="s">
        <v>5235</v>
      </c>
      <c r="BF266" t="str">
        <f>HYPERLINK("http://dx.doi.org/10.1016/j.geomorph.2009.05.011","http://dx.doi.org/10.1016/j.geomorph.2009.05.011")</f>
        <v>http://dx.doi.org/10.1016/j.geomorph.2009.05.011</v>
      </c>
      <c r="BG266" t="s">
        <v>74</v>
      </c>
      <c r="BH266" t="s">
        <v>74</v>
      </c>
      <c r="BI266">
        <v>13</v>
      </c>
      <c r="BJ266" t="s">
        <v>2121</v>
      </c>
      <c r="BK266" t="s">
        <v>98</v>
      </c>
      <c r="BL266" t="s">
        <v>2122</v>
      </c>
      <c r="BM266" t="s">
        <v>5236</v>
      </c>
      <c r="BN266" t="s">
        <v>74</v>
      </c>
      <c r="BO266" t="s">
        <v>239</v>
      </c>
      <c r="BP266" t="s">
        <v>74</v>
      </c>
      <c r="BQ266" t="s">
        <v>74</v>
      </c>
      <c r="BR266" t="s">
        <v>101</v>
      </c>
      <c r="BS266" t="s">
        <v>5237</v>
      </c>
      <c r="BT266" t="str">
        <f>HYPERLINK("https%3A%2F%2Fwww.webofscience.com%2Fwos%2Fwoscc%2Ffull-record%2FWOS:000273386600009","View Full Record in Web of Science")</f>
        <v>View Full Record in Web of Science</v>
      </c>
    </row>
    <row r="267" spans="1:72" x14ac:dyDescent="0.15">
      <c r="A267" t="s">
        <v>72</v>
      </c>
      <c r="B267" t="s">
        <v>5238</v>
      </c>
      <c r="C267" t="s">
        <v>74</v>
      </c>
      <c r="D267" t="s">
        <v>74</v>
      </c>
      <c r="E267" t="s">
        <v>74</v>
      </c>
      <c r="F267" t="s">
        <v>5239</v>
      </c>
      <c r="G267" t="s">
        <v>74</v>
      </c>
      <c r="H267" t="s">
        <v>74</v>
      </c>
      <c r="I267" t="s">
        <v>5240</v>
      </c>
      <c r="J267" t="s">
        <v>5241</v>
      </c>
      <c r="K267" t="s">
        <v>74</v>
      </c>
      <c r="L267" t="s">
        <v>74</v>
      </c>
      <c r="M267" t="s">
        <v>78</v>
      </c>
      <c r="N267" t="s">
        <v>79</v>
      </c>
      <c r="O267" t="s">
        <v>74</v>
      </c>
      <c r="P267" t="s">
        <v>74</v>
      </c>
      <c r="Q267" t="s">
        <v>74</v>
      </c>
      <c r="R267" t="s">
        <v>74</v>
      </c>
      <c r="S267" t="s">
        <v>74</v>
      </c>
      <c r="T267" t="s">
        <v>5242</v>
      </c>
      <c r="U267" t="s">
        <v>5243</v>
      </c>
      <c r="V267" t="s">
        <v>5244</v>
      </c>
      <c r="W267" t="s">
        <v>5245</v>
      </c>
      <c r="X267" t="s">
        <v>5246</v>
      </c>
      <c r="Y267" t="s">
        <v>5247</v>
      </c>
      <c r="Z267" t="s">
        <v>5248</v>
      </c>
      <c r="AA267" t="s">
        <v>5249</v>
      </c>
      <c r="AB267" t="s">
        <v>5250</v>
      </c>
      <c r="AC267" t="s">
        <v>5251</v>
      </c>
      <c r="AD267" t="s">
        <v>5252</v>
      </c>
      <c r="AE267" t="s">
        <v>5253</v>
      </c>
      <c r="AF267" t="s">
        <v>74</v>
      </c>
      <c r="AG267">
        <v>94</v>
      </c>
      <c r="AH267">
        <v>93</v>
      </c>
      <c r="AI267">
        <v>118</v>
      </c>
      <c r="AJ267">
        <v>0</v>
      </c>
      <c r="AK267">
        <v>35</v>
      </c>
      <c r="AL267" t="s">
        <v>2171</v>
      </c>
      <c r="AM267" t="s">
        <v>1895</v>
      </c>
      <c r="AN267" t="s">
        <v>2172</v>
      </c>
      <c r="AO267" t="s">
        <v>5254</v>
      </c>
      <c r="AP267" t="s">
        <v>5255</v>
      </c>
      <c r="AQ267" t="s">
        <v>74</v>
      </c>
      <c r="AR267" t="s">
        <v>5256</v>
      </c>
      <c r="AS267" t="s">
        <v>5257</v>
      </c>
      <c r="AT267" t="s">
        <v>4386</v>
      </c>
      <c r="AU267">
        <v>2009</v>
      </c>
      <c r="AV267">
        <v>179</v>
      </c>
      <c r="AW267">
        <v>2</v>
      </c>
      <c r="AX267" t="s">
        <v>74</v>
      </c>
      <c r="AY267" t="s">
        <v>74</v>
      </c>
      <c r="AZ267" t="s">
        <v>74</v>
      </c>
      <c r="BA267" t="s">
        <v>74</v>
      </c>
      <c r="BB267">
        <v>687</v>
      </c>
      <c r="BC267">
        <v>699</v>
      </c>
      <c r="BD267" t="s">
        <v>74</v>
      </c>
      <c r="BE267" t="s">
        <v>5258</v>
      </c>
      <c r="BF267" t="str">
        <f>HYPERLINK("http://dx.doi.org/10.1111/j.1365-246X.2009.04308.x","http://dx.doi.org/10.1111/j.1365-246X.2009.04308.x")</f>
        <v>http://dx.doi.org/10.1111/j.1365-246X.2009.04308.x</v>
      </c>
      <c r="BG267" t="s">
        <v>74</v>
      </c>
      <c r="BH267" t="s">
        <v>74</v>
      </c>
      <c r="BI267">
        <v>13</v>
      </c>
      <c r="BJ267" t="s">
        <v>261</v>
      </c>
      <c r="BK267" t="s">
        <v>98</v>
      </c>
      <c r="BL267" t="s">
        <v>261</v>
      </c>
      <c r="BM267" t="s">
        <v>5259</v>
      </c>
      <c r="BN267" t="s">
        <v>74</v>
      </c>
      <c r="BO267" t="s">
        <v>2644</v>
      </c>
      <c r="BP267" t="s">
        <v>74</v>
      </c>
      <c r="BQ267" t="s">
        <v>74</v>
      </c>
      <c r="BR267" t="s">
        <v>101</v>
      </c>
      <c r="BS267" t="s">
        <v>5260</v>
      </c>
      <c r="BT267" t="str">
        <f>HYPERLINK("https%3A%2F%2Fwww.webofscience.com%2Fwos%2Fwoscc%2Ffull-record%2FWOS:000270652300002","View Full Record in Web of Science")</f>
        <v>View Full Record in Web of Science</v>
      </c>
    </row>
    <row r="268" spans="1:72" x14ac:dyDescent="0.15">
      <c r="A268" t="s">
        <v>72</v>
      </c>
      <c r="B268" t="s">
        <v>5261</v>
      </c>
      <c r="C268" t="s">
        <v>74</v>
      </c>
      <c r="D268" t="s">
        <v>74</v>
      </c>
      <c r="E268" t="s">
        <v>74</v>
      </c>
      <c r="F268" t="s">
        <v>5262</v>
      </c>
      <c r="G268" t="s">
        <v>74</v>
      </c>
      <c r="H268" t="s">
        <v>74</v>
      </c>
      <c r="I268" t="s">
        <v>5263</v>
      </c>
      <c r="J268" t="s">
        <v>2103</v>
      </c>
      <c r="K268" t="s">
        <v>74</v>
      </c>
      <c r="L268" t="s">
        <v>74</v>
      </c>
      <c r="M268" t="s">
        <v>78</v>
      </c>
      <c r="N268" t="s">
        <v>523</v>
      </c>
      <c r="O268" t="s">
        <v>74</v>
      </c>
      <c r="P268" t="s">
        <v>74</v>
      </c>
      <c r="Q268" t="s">
        <v>74</v>
      </c>
      <c r="R268" t="s">
        <v>74</v>
      </c>
      <c r="S268" t="s">
        <v>74</v>
      </c>
      <c r="T268" t="s">
        <v>74</v>
      </c>
      <c r="U268" t="s">
        <v>74</v>
      </c>
      <c r="V268" t="s">
        <v>74</v>
      </c>
      <c r="W268" t="s">
        <v>5264</v>
      </c>
      <c r="X268" t="s">
        <v>5265</v>
      </c>
      <c r="Y268" t="s">
        <v>5266</v>
      </c>
      <c r="Z268" t="s">
        <v>5267</v>
      </c>
      <c r="AA268" t="s">
        <v>5268</v>
      </c>
      <c r="AB268" t="s">
        <v>5269</v>
      </c>
      <c r="AC268" t="s">
        <v>74</v>
      </c>
      <c r="AD268" t="s">
        <v>74</v>
      </c>
      <c r="AE268" t="s">
        <v>74</v>
      </c>
      <c r="AF268" t="s">
        <v>74</v>
      </c>
      <c r="AG268">
        <v>17</v>
      </c>
      <c r="AH268">
        <v>3</v>
      </c>
      <c r="AI268">
        <v>4</v>
      </c>
      <c r="AJ268">
        <v>0</v>
      </c>
      <c r="AK268">
        <v>6</v>
      </c>
      <c r="AL268" t="s">
        <v>305</v>
      </c>
      <c r="AM268" t="s">
        <v>281</v>
      </c>
      <c r="AN268" t="s">
        <v>306</v>
      </c>
      <c r="AO268" t="s">
        <v>2116</v>
      </c>
      <c r="AP268" t="s">
        <v>2117</v>
      </c>
      <c r="AQ268" t="s">
        <v>74</v>
      </c>
      <c r="AR268" t="s">
        <v>2118</v>
      </c>
      <c r="AS268" t="s">
        <v>2119</v>
      </c>
      <c r="AT268" t="s">
        <v>4386</v>
      </c>
      <c r="AU268">
        <v>2009</v>
      </c>
      <c r="AV268">
        <v>69</v>
      </c>
      <c r="AW268">
        <v>3</v>
      </c>
      <c r="AX268" t="s">
        <v>74</v>
      </c>
      <c r="AY268" t="s">
        <v>74</v>
      </c>
      <c r="AZ268" t="s">
        <v>1546</v>
      </c>
      <c r="BA268" t="s">
        <v>74</v>
      </c>
      <c r="BB268" t="s">
        <v>5270</v>
      </c>
      <c r="BC268" t="s">
        <v>5271</v>
      </c>
      <c r="BD268" t="s">
        <v>74</v>
      </c>
      <c r="BE268" t="s">
        <v>5272</v>
      </c>
      <c r="BF268" t="str">
        <f>HYPERLINK("http://dx.doi.org/10.1016/j.gloplacha.2009.11.001","http://dx.doi.org/10.1016/j.gloplacha.2009.11.001")</f>
        <v>http://dx.doi.org/10.1016/j.gloplacha.2009.11.001</v>
      </c>
      <c r="BG268" t="s">
        <v>74</v>
      </c>
      <c r="BH268" t="s">
        <v>74</v>
      </c>
      <c r="BI268">
        <v>3</v>
      </c>
      <c r="BJ268" t="s">
        <v>2121</v>
      </c>
      <c r="BK268" t="s">
        <v>98</v>
      </c>
      <c r="BL268" t="s">
        <v>2122</v>
      </c>
      <c r="BM268" t="s">
        <v>5273</v>
      </c>
      <c r="BN268" t="s">
        <v>74</v>
      </c>
      <c r="BO268" t="s">
        <v>74</v>
      </c>
      <c r="BP268" t="s">
        <v>74</v>
      </c>
      <c r="BQ268" t="s">
        <v>74</v>
      </c>
      <c r="BR268" t="s">
        <v>101</v>
      </c>
      <c r="BS268" t="s">
        <v>5274</v>
      </c>
      <c r="BT268" t="str">
        <f>HYPERLINK("https%3A%2F%2Fwww.webofscience.com%2Fwos%2Fwoscc%2Ffull-record%2FWOS:000272789700001","View Full Record in Web of Science")</f>
        <v>View Full Record in Web of Science</v>
      </c>
    </row>
    <row r="269" spans="1:72" x14ac:dyDescent="0.15">
      <c r="A269" t="s">
        <v>72</v>
      </c>
      <c r="B269" t="s">
        <v>5275</v>
      </c>
      <c r="C269" t="s">
        <v>74</v>
      </c>
      <c r="D269" t="s">
        <v>74</v>
      </c>
      <c r="E269" t="s">
        <v>74</v>
      </c>
      <c r="F269" t="s">
        <v>5276</v>
      </c>
      <c r="G269" t="s">
        <v>74</v>
      </c>
      <c r="H269" t="s">
        <v>74</v>
      </c>
      <c r="I269" t="s">
        <v>5277</v>
      </c>
      <c r="J269" t="s">
        <v>2103</v>
      </c>
      <c r="K269" t="s">
        <v>74</v>
      </c>
      <c r="L269" t="s">
        <v>74</v>
      </c>
      <c r="M269" t="s">
        <v>78</v>
      </c>
      <c r="N269" t="s">
        <v>1965</v>
      </c>
      <c r="O269" t="s">
        <v>5278</v>
      </c>
      <c r="P269" t="s">
        <v>5279</v>
      </c>
      <c r="Q269" t="s">
        <v>5280</v>
      </c>
      <c r="R269" t="s">
        <v>74</v>
      </c>
      <c r="S269" t="s">
        <v>74</v>
      </c>
      <c r="T269" t="s">
        <v>5281</v>
      </c>
      <c r="U269" t="s">
        <v>5282</v>
      </c>
      <c r="V269" t="s">
        <v>5283</v>
      </c>
      <c r="W269" t="s">
        <v>5284</v>
      </c>
      <c r="X269" t="s">
        <v>5285</v>
      </c>
      <c r="Y269" t="s">
        <v>5286</v>
      </c>
      <c r="Z269" t="s">
        <v>5287</v>
      </c>
      <c r="AA269" t="s">
        <v>5288</v>
      </c>
      <c r="AB269" t="s">
        <v>5289</v>
      </c>
      <c r="AC269" t="s">
        <v>74</v>
      </c>
      <c r="AD269" t="s">
        <v>74</v>
      </c>
      <c r="AE269" t="s">
        <v>74</v>
      </c>
      <c r="AF269" t="s">
        <v>74</v>
      </c>
      <c r="AG269">
        <v>21</v>
      </c>
      <c r="AH269">
        <v>24</v>
      </c>
      <c r="AI269">
        <v>26</v>
      </c>
      <c r="AJ269">
        <v>0</v>
      </c>
      <c r="AK269">
        <v>14</v>
      </c>
      <c r="AL269" t="s">
        <v>280</v>
      </c>
      <c r="AM269" t="s">
        <v>281</v>
      </c>
      <c r="AN269" t="s">
        <v>282</v>
      </c>
      <c r="AO269" t="s">
        <v>2116</v>
      </c>
      <c r="AP269" t="s">
        <v>74</v>
      </c>
      <c r="AQ269" t="s">
        <v>74</v>
      </c>
      <c r="AR269" t="s">
        <v>2118</v>
      </c>
      <c r="AS269" t="s">
        <v>2119</v>
      </c>
      <c r="AT269" t="s">
        <v>4386</v>
      </c>
      <c r="AU269">
        <v>2009</v>
      </c>
      <c r="AV269">
        <v>69</v>
      </c>
      <c r="AW269">
        <v>3</v>
      </c>
      <c r="AX269" t="s">
        <v>74</v>
      </c>
      <c r="AY269" t="s">
        <v>74</v>
      </c>
      <c r="AZ269" t="s">
        <v>74</v>
      </c>
      <c r="BA269" t="s">
        <v>74</v>
      </c>
      <c r="BB269">
        <v>87</v>
      </c>
      <c r="BC269">
        <v>93</v>
      </c>
      <c r="BD269" t="s">
        <v>74</v>
      </c>
      <c r="BE269" t="s">
        <v>5290</v>
      </c>
      <c r="BF269" t="str">
        <f>HYPERLINK("http://dx.doi.org/10.1016/j.gloplacha.2009.05.007","http://dx.doi.org/10.1016/j.gloplacha.2009.05.007")</f>
        <v>http://dx.doi.org/10.1016/j.gloplacha.2009.05.007</v>
      </c>
      <c r="BG269" t="s">
        <v>74</v>
      </c>
      <c r="BH269" t="s">
        <v>74</v>
      </c>
      <c r="BI269">
        <v>7</v>
      </c>
      <c r="BJ269" t="s">
        <v>2121</v>
      </c>
      <c r="BK269" t="s">
        <v>1986</v>
      </c>
      <c r="BL269" t="s">
        <v>2122</v>
      </c>
      <c r="BM269" t="s">
        <v>5273</v>
      </c>
      <c r="BN269" t="s">
        <v>74</v>
      </c>
      <c r="BO269" t="s">
        <v>74</v>
      </c>
      <c r="BP269" t="s">
        <v>74</v>
      </c>
      <c r="BQ269" t="s">
        <v>74</v>
      </c>
      <c r="BR269" t="s">
        <v>101</v>
      </c>
      <c r="BS269" t="s">
        <v>5291</v>
      </c>
      <c r="BT269" t="str">
        <f>HYPERLINK("https%3A%2F%2Fwww.webofscience.com%2Fwos%2Fwoscc%2Ffull-record%2FWOS:000272789700002","View Full Record in Web of Science")</f>
        <v>View Full Record in Web of Science</v>
      </c>
    </row>
    <row r="270" spans="1:72" x14ac:dyDescent="0.15">
      <c r="A270" t="s">
        <v>72</v>
      </c>
      <c r="B270" t="s">
        <v>5292</v>
      </c>
      <c r="C270" t="s">
        <v>74</v>
      </c>
      <c r="D270" t="s">
        <v>74</v>
      </c>
      <c r="E270" t="s">
        <v>74</v>
      </c>
      <c r="F270" t="s">
        <v>5293</v>
      </c>
      <c r="G270" t="s">
        <v>74</v>
      </c>
      <c r="H270" t="s">
        <v>74</v>
      </c>
      <c r="I270" t="s">
        <v>5294</v>
      </c>
      <c r="J270" t="s">
        <v>2103</v>
      </c>
      <c r="K270" t="s">
        <v>74</v>
      </c>
      <c r="L270" t="s">
        <v>74</v>
      </c>
      <c r="M270" t="s">
        <v>78</v>
      </c>
      <c r="N270" t="s">
        <v>1965</v>
      </c>
      <c r="O270" t="s">
        <v>5278</v>
      </c>
      <c r="P270" t="s">
        <v>5279</v>
      </c>
      <c r="Q270" t="s">
        <v>5280</v>
      </c>
      <c r="R270" t="s">
        <v>74</v>
      </c>
      <c r="S270" t="s">
        <v>74</v>
      </c>
      <c r="T270" t="s">
        <v>5295</v>
      </c>
      <c r="U270" t="s">
        <v>5296</v>
      </c>
      <c r="V270" t="s">
        <v>5297</v>
      </c>
      <c r="W270" t="s">
        <v>5298</v>
      </c>
      <c r="X270" t="s">
        <v>5299</v>
      </c>
      <c r="Y270" t="s">
        <v>5300</v>
      </c>
      <c r="Z270" t="s">
        <v>5301</v>
      </c>
      <c r="AA270" t="s">
        <v>5302</v>
      </c>
      <c r="AB270" t="s">
        <v>5303</v>
      </c>
      <c r="AC270" t="s">
        <v>74</v>
      </c>
      <c r="AD270" t="s">
        <v>74</v>
      </c>
      <c r="AE270" t="s">
        <v>74</v>
      </c>
      <c r="AF270" t="s">
        <v>74</v>
      </c>
      <c r="AG270">
        <v>47</v>
      </c>
      <c r="AH270">
        <v>18</v>
      </c>
      <c r="AI270">
        <v>22</v>
      </c>
      <c r="AJ270">
        <v>0</v>
      </c>
      <c r="AK270">
        <v>15</v>
      </c>
      <c r="AL270" t="s">
        <v>305</v>
      </c>
      <c r="AM270" t="s">
        <v>281</v>
      </c>
      <c r="AN270" t="s">
        <v>306</v>
      </c>
      <c r="AO270" t="s">
        <v>2116</v>
      </c>
      <c r="AP270" t="s">
        <v>2117</v>
      </c>
      <c r="AQ270" t="s">
        <v>74</v>
      </c>
      <c r="AR270" t="s">
        <v>2118</v>
      </c>
      <c r="AS270" t="s">
        <v>2119</v>
      </c>
      <c r="AT270" t="s">
        <v>4386</v>
      </c>
      <c r="AU270">
        <v>2009</v>
      </c>
      <c r="AV270">
        <v>69</v>
      </c>
      <c r="AW270">
        <v>3</v>
      </c>
      <c r="AX270" t="s">
        <v>74</v>
      </c>
      <c r="AY270" t="s">
        <v>74</v>
      </c>
      <c r="AZ270" t="s">
        <v>1546</v>
      </c>
      <c r="BA270" t="s">
        <v>74</v>
      </c>
      <c r="BB270">
        <v>94</v>
      </c>
      <c r="BC270">
        <v>102</v>
      </c>
      <c r="BD270" t="s">
        <v>74</v>
      </c>
      <c r="BE270" t="s">
        <v>5304</v>
      </c>
      <c r="BF270" t="str">
        <f>HYPERLINK("http://dx.doi.org/10.1016/j.gloplacha.2009.03.018","http://dx.doi.org/10.1016/j.gloplacha.2009.03.018")</f>
        <v>http://dx.doi.org/10.1016/j.gloplacha.2009.03.018</v>
      </c>
      <c r="BG270" t="s">
        <v>74</v>
      </c>
      <c r="BH270" t="s">
        <v>74</v>
      </c>
      <c r="BI270">
        <v>9</v>
      </c>
      <c r="BJ270" t="s">
        <v>2121</v>
      </c>
      <c r="BK270" t="s">
        <v>1986</v>
      </c>
      <c r="BL270" t="s">
        <v>2122</v>
      </c>
      <c r="BM270" t="s">
        <v>5273</v>
      </c>
      <c r="BN270" t="s">
        <v>74</v>
      </c>
      <c r="BO270" t="s">
        <v>239</v>
      </c>
      <c r="BP270" t="s">
        <v>74</v>
      </c>
      <c r="BQ270" t="s">
        <v>74</v>
      </c>
      <c r="BR270" t="s">
        <v>101</v>
      </c>
      <c r="BS270" t="s">
        <v>5305</v>
      </c>
      <c r="BT270" t="str">
        <f>HYPERLINK("https%3A%2F%2Fwww.webofscience.com%2Fwos%2Fwoscc%2Ffull-record%2FWOS:000272789700003","View Full Record in Web of Science")</f>
        <v>View Full Record in Web of Science</v>
      </c>
    </row>
    <row r="271" spans="1:72" x14ac:dyDescent="0.15">
      <c r="A271" t="s">
        <v>72</v>
      </c>
      <c r="B271" t="s">
        <v>5306</v>
      </c>
      <c r="C271" t="s">
        <v>74</v>
      </c>
      <c r="D271" t="s">
        <v>74</v>
      </c>
      <c r="E271" t="s">
        <v>74</v>
      </c>
      <c r="F271" t="s">
        <v>5307</v>
      </c>
      <c r="G271" t="s">
        <v>74</v>
      </c>
      <c r="H271" t="s">
        <v>74</v>
      </c>
      <c r="I271" t="s">
        <v>5308</v>
      </c>
      <c r="J271" t="s">
        <v>2103</v>
      </c>
      <c r="K271" t="s">
        <v>74</v>
      </c>
      <c r="L271" t="s">
        <v>74</v>
      </c>
      <c r="M271" t="s">
        <v>78</v>
      </c>
      <c r="N271" t="s">
        <v>1965</v>
      </c>
      <c r="O271" t="s">
        <v>5278</v>
      </c>
      <c r="P271" t="s">
        <v>5279</v>
      </c>
      <c r="Q271" t="s">
        <v>5280</v>
      </c>
      <c r="R271" t="s">
        <v>74</v>
      </c>
      <c r="S271" t="s">
        <v>74</v>
      </c>
      <c r="T271" t="s">
        <v>5309</v>
      </c>
      <c r="U271" t="s">
        <v>5310</v>
      </c>
      <c r="V271" t="s">
        <v>5311</v>
      </c>
      <c r="W271" t="s">
        <v>5312</v>
      </c>
      <c r="X271" t="s">
        <v>5299</v>
      </c>
      <c r="Y271" t="s">
        <v>5313</v>
      </c>
      <c r="Z271" t="s">
        <v>5314</v>
      </c>
      <c r="AA271" t="s">
        <v>5302</v>
      </c>
      <c r="AB271" t="s">
        <v>5315</v>
      </c>
      <c r="AC271" t="s">
        <v>74</v>
      </c>
      <c r="AD271" t="s">
        <v>74</v>
      </c>
      <c r="AE271" t="s">
        <v>74</v>
      </c>
      <c r="AF271" t="s">
        <v>74</v>
      </c>
      <c r="AG271">
        <v>91</v>
      </c>
      <c r="AH271">
        <v>22</v>
      </c>
      <c r="AI271">
        <v>27</v>
      </c>
      <c r="AJ271">
        <v>1</v>
      </c>
      <c r="AK271">
        <v>10</v>
      </c>
      <c r="AL271" t="s">
        <v>305</v>
      </c>
      <c r="AM271" t="s">
        <v>281</v>
      </c>
      <c r="AN271" t="s">
        <v>306</v>
      </c>
      <c r="AO271" t="s">
        <v>2116</v>
      </c>
      <c r="AP271" t="s">
        <v>2117</v>
      </c>
      <c r="AQ271" t="s">
        <v>74</v>
      </c>
      <c r="AR271" t="s">
        <v>2118</v>
      </c>
      <c r="AS271" t="s">
        <v>2119</v>
      </c>
      <c r="AT271" t="s">
        <v>4386</v>
      </c>
      <c r="AU271">
        <v>2009</v>
      </c>
      <c r="AV271">
        <v>69</v>
      </c>
      <c r="AW271">
        <v>3</v>
      </c>
      <c r="AX271" t="s">
        <v>74</v>
      </c>
      <c r="AY271" t="s">
        <v>74</v>
      </c>
      <c r="AZ271" t="s">
        <v>1546</v>
      </c>
      <c r="BA271" t="s">
        <v>74</v>
      </c>
      <c r="BB271">
        <v>103</v>
      </c>
      <c r="BC271">
        <v>123</v>
      </c>
      <c r="BD271" t="s">
        <v>74</v>
      </c>
      <c r="BE271" t="s">
        <v>5316</v>
      </c>
      <c r="BF271" t="str">
        <f>HYPERLINK("http://dx.doi.org/10.1016/j.gloplacha.2009.04.007","http://dx.doi.org/10.1016/j.gloplacha.2009.04.007")</f>
        <v>http://dx.doi.org/10.1016/j.gloplacha.2009.04.007</v>
      </c>
      <c r="BG271" t="s">
        <v>74</v>
      </c>
      <c r="BH271" t="s">
        <v>74</v>
      </c>
      <c r="BI271">
        <v>21</v>
      </c>
      <c r="BJ271" t="s">
        <v>2121</v>
      </c>
      <c r="BK271" t="s">
        <v>1986</v>
      </c>
      <c r="BL271" t="s">
        <v>2122</v>
      </c>
      <c r="BM271" t="s">
        <v>5273</v>
      </c>
      <c r="BN271" t="s">
        <v>74</v>
      </c>
      <c r="BO271" t="s">
        <v>239</v>
      </c>
      <c r="BP271" t="s">
        <v>74</v>
      </c>
      <c r="BQ271" t="s">
        <v>74</v>
      </c>
      <c r="BR271" t="s">
        <v>101</v>
      </c>
      <c r="BS271" t="s">
        <v>5317</v>
      </c>
      <c r="BT271" t="str">
        <f>HYPERLINK("https%3A%2F%2Fwww.webofscience.com%2Fwos%2Fwoscc%2Ffull-record%2FWOS:000272789700004","View Full Record in Web of Science")</f>
        <v>View Full Record in Web of Science</v>
      </c>
    </row>
    <row r="272" spans="1:72" x14ac:dyDescent="0.15">
      <c r="A272" t="s">
        <v>72</v>
      </c>
      <c r="B272" t="s">
        <v>5318</v>
      </c>
      <c r="C272" t="s">
        <v>74</v>
      </c>
      <c r="D272" t="s">
        <v>74</v>
      </c>
      <c r="E272" t="s">
        <v>74</v>
      </c>
      <c r="F272" t="s">
        <v>5319</v>
      </c>
      <c r="G272" t="s">
        <v>74</v>
      </c>
      <c r="H272" t="s">
        <v>74</v>
      </c>
      <c r="I272" t="s">
        <v>5320</v>
      </c>
      <c r="J272" t="s">
        <v>2103</v>
      </c>
      <c r="K272" t="s">
        <v>74</v>
      </c>
      <c r="L272" t="s">
        <v>74</v>
      </c>
      <c r="M272" t="s">
        <v>78</v>
      </c>
      <c r="N272" t="s">
        <v>1965</v>
      </c>
      <c r="O272" t="s">
        <v>5278</v>
      </c>
      <c r="P272" t="s">
        <v>5279</v>
      </c>
      <c r="Q272" t="s">
        <v>5280</v>
      </c>
      <c r="R272" t="s">
        <v>74</v>
      </c>
      <c r="S272" t="s">
        <v>74</v>
      </c>
      <c r="T272" t="s">
        <v>5321</v>
      </c>
      <c r="U272" t="s">
        <v>5322</v>
      </c>
      <c r="V272" t="s">
        <v>5323</v>
      </c>
      <c r="W272" t="s">
        <v>5324</v>
      </c>
      <c r="X272" t="s">
        <v>5325</v>
      </c>
      <c r="Y272" t="s">
        <v>5326</v>
      </c>
      <c r="Z272" t="s">
        <v>5327</v>
      </c>
      <c r="AA272" t="s">
        <v>5328</v>
      </c>
      <c r="AB272" t="s">
        <v>5329</v>
      </c>
      <c r="AC272" t="s">
        <v>74</v>
      </c>
      <c r="AD272" t="s">
        <v>74</v>
      </c>
      <c r="AE272" t="s">
        <v>74</v>
      </c>
      <c r="AF272" t="s">
        <v>74</v>
      </c>
      <c r="AG272">
        <v>63</v>
      </c>
      <c r="AH272">
        <v>14</v>
      </c>
      <c r="AI272">
        <v>15</v>
      </c>
      <c r="AJ272">
        <v>1</v>
      </c>
      <c r="AK272">
        <v>12</v>
      </c>
      <c r="AL272" t="s">
        <v>305</v>
      </c>
      <c r="AM272" t="s">
        <v>281</v>
      </c>
      <c r="AN272" t="s">
        <v>306</v>
      </c>
      <c r="AO272" t="s">
        <v>2116</v>
      </c>
      <c r="AP272" t="s">
        <v>2117</v>
      </c>
      <c r="AQ272" t="s">
        <v>74</v>
      </c>
      <c r="AR272" t="s">
        <v>2118</v>
      </c>
      <c r="AS272" t="s">
        <v>2119</v>
      </c>
      <c r="AT272" t="s">
        <v>4386</v>
      </c>
      <c r="AU272">
        <v>2009</v>
      </c>
      <c r="AV272">
        <v>69</v>
      </c>
      <c r="AW272">
        <v>3</v>
      </c>
      <c r="AX272" t="s">
        <v>74</v>
      </c>
      <c r="AY272" t="s">
        <v>74</v>
      </c>
      <c r="AZ272" t="s">
        <v>1546</v>
      </c>
      <c r="BA272" t="s">
        <v>74</v>
      </c>
      <c r="BB272">
        <v>124</v>
      </c>
      <c r="BC272">
        <v>132</v>
      </c>
      <c r="BD272" t="s">
        <v>74</v>
      </c>
      <c r="BE272" t="s">
        <v>5330</v>
      </c>
      <c r="BF272" t="str">
        <f>HYPERLINK("http://dx.doi.org/10.1016/j.gloplacha.2009.05.001","http://dx.doi.org/10.1016/j.gloplacha.2009.05.001")</f>
        <v>http://dx.doi.org/10.1016/j.gloplacha.2009.05.001</v>
      </c>
      <c r="BG272" t="s">
        <v>74</v>
      </c>
      <c r="BH272" t="s">
        <v>74</v>
      </c>
      <c r="BI272">
        <v>9</v>
      </c>
      <c r="BJ272" t="s">
        <v>2121</v>
      </c>
      <c r="BK272" t="s">
        <v>1986</v>
      </c>
      <c r="BL272" t="s">
        <v>2122</v>
      </c>
      <c r="BM272" t="s">
        <v>5273</v>
      </c>
      <c r="BN272" t="s">
        <v>74</v>
      </c>
      <c r="BO272" t="s">
        <v>74</v>
      </c>
      <c r="BP272" t="s">
        <v>74</v>
      </c>
      <c r="BQ272" t="s">
        <v>74</v>
      </c>
      <c r="BR272" t="s">
        <v>101</v>
      </c>
      <c r="BS272" t="s">
        <v>5331</v>
      </c>
      <c r="BT272" t="str">
        <f>HYPERLINK("https%3A%2F%2Fwww.webofscience.com%2Fwos%2Fwoscc%2Ffull-record%2FWOS:000272789700005","View Full Record in Web of Science")</f>
        <v>View Full Record in Web of Science</v>
      </c>
    </row>
    <row r="273" spans="1:72" x14ac:dyDescent="0.15">
      <c r="A273" t="s">
        <v>72</v>
      </c>
      <c r="B273" t="s">
        <v>5332</v>
      </c>
      <c r="C273" t="s">
        <v>74</v>
      </c>
      <c r="D273" t="s">
        <v>74</v>
      </c>
      <c r="E273" t="s">
        <v>74</v>
      </c>
      <c r="F273" t="s">
        <v>5333</v>
      </c>
      <c r="G273" t="s">
        <v>74</v>
      </c>
      <c r="H273" t="s">
        <v>74</v>
      </c>
      <c r="I273" t="s">
        <v>5334</v>
      </c>
      <c r="J273" t="s">
        <v>2103</v>
      </c>
      <c r="K273" t="s">
        <v>74</v>
      </c>
      <c r="L273" t="s">
        <v>74</v>
      </c>
      <c r="M273" t="s">
        <v>78</v>
      </c>
      <c r="N273" t="s">
        <v>1965</v>
      </c>
      <c r="O273" t="s">
        <v>5278</v>
      </c>
      <c r="P273" t="s">
        <v>5279</v>
      </c>
      <c r="Q273" t="s">
        <v>5280</v>
      </c>
      <c r="R273" t="s">
        <v>74</v>
      </c>
      <c r="S273" t="s">
        <v>74</v>
      </c>
      <c r="T273" t="s">
        <v>5335</v>
      </c>
      <c r="U273" t="s">
        <v>5336</v>
      </c>
      <c r="V273" t="s">
        <v>5337</v>
      </c>
      <c r="W273" t="s">
        <v>5338</v>
      </c>
      <c r="X273" t="s">
        <v>5339</v>
      </c>
      <c r="Y273" t="s">
        <v>5340</v>
      </c>
      <c r="Z273" t="s">
        <v>5341</v>
      </c>
      <c r="AA273" t="s">
        <v>3433</v>
      </c>
      <c r="AB273" t="s">
        <v>3434</v>
      </c>
      <c r="AC273" t="s">
        <v>74</v>
      </c>
      <c r="AD273" t="s">
        <v>74</v>
      </c>
      <c r="AE273" t="s">
        <v>74</v>
      </c>
      <c r="AF273" t="s">
        <v>74</v>
      </c>
      <c r="AG273">
        <v>45</v>
      </c>
      <c r="AH273">
        <v>56</v>
      </c>
      <c r="AI273">
        <v>59</v>
      </c>
      <c r="AJ273">
        <v>0</v>
      </c>
      <c r="AK273">
        <v>11</v>
      </c>
      <c r="AL273" t="s">
        <v>280</v>
      </c>
      <c r="AM273" t="s">
        <v>281</v>
      </c>
      <c r="AN273" t="s">
        <v>282</v>
      </c>
      <c r="AO273" t="s">
        <v>2116</v>
      </c>
      <c r="AP273" t="s">
        <v>74</v>
      </c>
      <c r="AQ273" t="s">
        <v>74</v>
      </c>
      <c r="AR273" t="s">
        <v>2118</v>
      </c>
      <c r="AS273" t="s">
        <v>2119</v>
      </c>
      <c r="AT273" t="s">
        <v>4386</v>
      </c>
      <c r="AU273">
        <v>2009</v>
      </c>
      <c r="AV273">
        <v>69</v>
      </c>
      <c r="AW273">
        <v>3</v>
      </c>
      <c r="AX273" t="s">
        <v>74</v>
      </c>
      <c r="AY273" t="s">
        <v>74</v>
      </c>
      <c r="AZ273" t="s">
        <v>74</v>
      </c>
      <c r="BA273" t="s">
        <v>74</v>
      </c>
      <c r="BB273">
        <v>133</v>
      </c>
      <c r="BC273">
        <v>141</v>
      </c>
      <c r="BD273" t="s">
        <v>74</v>
      </c>
      <c r="BE273" t="s">
        <v>5342</v>
      </c>
      <c r="BF273" t="str">
        <f>HYPERLINK("http://dx.doi.org/10.1016/j.gloplacha.2009.04.006","http://dx.doi.org/10.1016/j.gloplacha.2009.04.006")</f>
        <v>http://dx.doi.org/10.1016/j.gloplacha.2009.04.006</v>
      </c>
      <c r="BG273" t="s">
        <v>74</v>
      </c>
      <c r="BH273" t="s">
        <v>74</v>
      </c>
      <c r="BI273">
        <v>9</v>
      </c>
      <c r="BJ273" t="s">
        <v>2121</v>
      </c>
      <c r="BK273" t="s">
        <v>1986</v>
      </c>
      <c r="BL273" t="s">
        <v>2122</v>
      </c>
      <c r="BM273" t="s">
        <v>5273</v>
      </c>
      <c r="BN273" t="s">
        <v>74</v>
      </c>
      <c r="BO273" t="s">
        <v>74</v>
      </c>
      <c r="BP273" t="s">
        <v>74</v>
      </c>
      <c r="BQ273" t="s">
        <v>74</v>
      </c>
      <c r="BR273" t="s">
        <v>101</v>
      </c>
      <c r="BS273" t="s">
        <v>5343</v>
      </c>
      <c r="BT273" t="str">
        <f>HYPERLINK("https%3A%2F%2Fwww.webofscience.com%2Fwos%2Fwoscc%2Ffull-record%2FWOS:000272789700006","View Full Record in Web of Science")</f>
        <v>View Full Record in Web of Science</v>
      </c>
    </row>
    <row r="274" spans="1:72" x14ac:dyDescent="0.15">
      <c r="A274" t="s">
        <v>72</v>
      </c>
      <c r="B274" t="s">
        <v>5344</v>
      </c>
      <c r="C274" t="s">
        <v>74</v>
      </c>
      <c r="D274" t="s">
        <v>74</v>
      </c>
      <c r="E274" t="s">
        <v>74</v>
      </c>
      <c r="F274" t="s">
        <v>5345</v>
      </c>
      <c r="G274" t="s">
        <v>74</v>
      </c>
      <c r="H274" t="s">
        <v>74</v>
      </c>
      <c r="I274" t="s">
        <v>5346</v>
      </c>
      <c r="J274" t="s">
        <v>2103</v>
      </c>
      <c r="K274" t="s">
        <v>74</v>
      </c>
      <c r="L274" t="s">
        <v>74</v>
      </c>
      <c r="M274" t="s">
        <v>78</v>
      </c>
      <c r="N274" t="s">
        <v>1965</v>
      </c>
      <c r="O274" t="s">
        <v>5278</v>
      </c>
      <c r="P274" t="s">
        <v>5279</v>
      </c>
      <c r="Q274" t="s">
        <v>5280</v>
      </c>
      <c r="R274" t="s">
        <v>74</v>
      </c>
      <c r="S274" t="s">
        <v>74</v>
      </c>
      <c r="T274" t="s">
        <v>5347</v>
      </c>
      <c r="U274" t="s">
        <v>5348</v>
      </c>
      <c r="V274" t="s">
        <v>5349</v>
      </c>
      <c r="W274" t="s">
        <v>5350</v>
      </c>
      <c r="X274" t="s">
        <v>5351</v>
      </c>
      <c r="Y274" t="s">
        <v>5352</v>
      </c>
      <c r="Z274" t="s">
        <v>5353</v>
      </c>
      <c r="AA274" t="s">
        <v>5354</v>
      </c>
      <c r="AB274" t="s">
        <v>5355</v>
      </c>
      <c r="AC274" t="s">
        <v>74</v>
      </c>
      <c r="AD274" t="s">
        <v>74</v>
      </c>
      <c r="AE274" t="s">
        <v>74</v>
      </c>
      <c r="AF274" t="s">
        <v>74</v>
      </c>
      <c r="AG274">
        <v>84</v>
      </c>
      <c r="AH274">
        <v>18</v>
      </c>
      <c r="AI274">
        <v>19</v>
      </c>
      <c r="AJ274">
        <v>1</v>
      </c>
      <c r="AK274">
        <v>6</v>
      </c>
      <c r="AL274" t="s">
        <v>305</v>
      </c>
      <c r="AM274" t="s">
        <v>281</v>
      </c>
      <c r="AN274" t="s">
        <v>306</v>
      </c>
      <c r="AO274" t="s">
        <v>2116</v>
      </c>
      <c r="AP274" t="s">
        <v>2117</v>
      </c>
      <c r="AQ274" t="s">
        <v>74</v>
      </c>
      <c r="AR274" t="s">
        <v>2118</v>
      </c>
      <c r="AS274" t="s">
        <v>2119</v>
      </c>
      <c r="AT274" t="s">
        <v>4386</v>
      </c>
      <c r="AU274">
        <v>2009</v>
      </c>
      <c r="AV274">
        <v>69</v>
      </c>
      <c r="AW274">
        <v>3</v>
      </c>
      <c r="AX274" t="s">
        <v>74</v>
      </c>
      <c r="AY274" t="s">
        <v>74</v>
      </c>
      <c r="AZ274" t="s">
        <v>1546</v>
      </c>
      <c r="BA274" t="s">
        <v>74</v>
      </c>
      <c r="BB274">
        <v>142</v>
      </c>
      <c r="BC274">
        <v>161</v>
      </c>
      <c r="BD274" t="s">
        <v>74</v>
      </c>
      <c r="BE274" t="s">
        <v>5356</v>
      </c>
      <c r="BF274" t="str">
        <f>HYPERLINK("http://dx.doi.org/10.1016/j.gloplacha.2009.09.002","http://dx.doi.org/10.1016/j.gloplacha.2009.09.002")</f>
        <v>http://dx.doi.org/10.1016/j.gloplacha.2009.09.002</v>
      </c>
      <c r="BG274" t="s">
        <v>74</v>
      </c>
      <c r="BH274" t="s">
        <v>74</v>
      </c>
      <c r="BI274">
        <v>20</v>
      </c>
      <c r="BJ274" t="s">
        <v>2121</v>
      </c>
      <c r="BK274" t="s">
        <v>1986</v>
      </c>
      <c r="BL274" t="s">
        <v>2122</v>
      </c>
      <c r="BM274" t="s">
        <v>5273</v>
      </c>
      <c r="BN274" t="s">
        <v>74</v>
      </c>
      <c r="BO274" t="s">
        <v>239</v>
      </c>
      <c r="BP274" t="s">
        <v>74</v>
      </c>
      <c r="BQ274" t="s">
        <v>74</v>
      </c>
      <c r="BR274" t="s">
        <v>101</v>
      </c>
      <c r="BS274" t="s">
        <v>5357</v>
      </c>
      <c r="BT274" t="str">
        <f>HYPERLINK("https%3A%2F%2Fwww.webofscience.com%2Fwos%2Fwoscc%2Ffull-record%2FWOS:000272789700007","View Full Record in Web of Science")</f>
        <v>View Full Record in Web of Science</v>
      </c>
    </row>
    <row r="275" spans="1:72" x14ac:dyDescent="0.15">
      <c r="A275" t="s">
        <v>72</v>
      </c>
      <c r="B275" t="s">
        <v>5358</v>
      </c>
      <c r="C275" t="s">
        <v>74</v>
      </c>
      <c r="D275" t="s">
        <v>74</v>
      </c>
      <c r="E275" t="s">
        <v>74</v>
      </c>
      <c r="F275" t="s">
        <v>5359</v>
      </c>
      <c r="G275" t="s">
        <v>74</v>
      </c>
      <c r="H275" t="s">
        <v>74</v>
      </c>
      <c r="I275" t="s">
        <v>5360</v>
      </c>
      <c r="J275" t="s">
        <v>2103</v>
      </c>
      <c r="K275" t="s">
        <v>74</v>
      </c>
      <c r="L275" t="s">
        <v>74</v>
      </c>
      <c r="M275" t="s">
        <v>78</v>
      </c>
      <c r="N275" t="s">
        <v>1965</v>
      </c>
      <c r="O275" t="s">
        <v>5278</v>
      </c>
      <c r="P275" t="s">
        <v>5279</v>
      </c>
      <c r="Q275" t="s">
        <v>5280</v>
      </c>
      <c r="R275" t="s">
        <v>74</v>
      </c>
      <c r="S275" t="s">
        <v>74</v>
      </c>
      <c r="T275" t="s">
        <v>5361</v>
      </c>
      <c r="U275" t="s">
        <v>5362</v>
      </c>
      <c r="V275" t="s">
        <v>5363</v>
      </c>
      <c r="W275" t="s">
        <v>5364</v>
      </c>
      <c r="X275" t="s">
        <v>5365</v>
      </c>
      <c r="Y275" t="s">
        <v>5366</v>
      </c>
      <c r="Z275" t="s">
        <v>5367</v>
      </c>
      <c r="AA275" t="s">
        <v>5368</v>
      </c>
      <c r="AB275" t="s">
        <v>5369</v>
      </c>
      <c r="AC275" t="s">
        <v>5370</v>
      </c>
      <c r="AD275" t="s">
        <v>573</v>
      </c>
      <c r="AE275" t="s">
        <v>74</v>
      </c>
      <c r="AF275" t="s">
        <v>74</v>
      </c>
      <c r="AG275">
        <v>42</v>
      </c>
      <c r="AH275">
        <v>13</v>
      </c>
      <c r="AI275">
        <v>13</v>
      </c>
      <c r="AJ275">
        <v>0</v>
      </c>
      <c r="AK275">
        <v>4</v>
      </c>
      <c r="AL275" t="s">
        <v>305</v>
      </c>
      <c r="AM275" t="s">
        <v>281</v>
      </c>
      <c r="AN275" t="s">
        <v>306</v>
      </c>
      <c r="AO275" t="s">
        <v>2116</v>
      </c>
      <c r="AP275" t="s">
        <v>2117</v>
      </c>
      <c r="AQ275" t="s">
        <v>74</v>
      </c>
      <c r="AR275" t="s">
        <v>2118</v>
      </c>
      <c r="AS275" t="s">
        <v>2119</v>
      </c>
      <c r="AT275" t="s">
        <v>4386</v>
      </c>
      <c r="AU275">
        <v>2009</v>
      </c>
      <c r="AV275">
        <v>69</v>
      </c>
      <c r="AW275">
        <v>3</v>
      </c>
      <c r="AX275" t="s">
        <v>74</v>
      </c>
      <c r="AY275" t="s">
        <v>74</v>
      </c>
      <c r="AZ275" t="s">
        <v>1546</v>
      </c>
      <c r="BA275" t="s">
        <v>74</v>
      </c>
      <c r="BB275">
        <v>162</v>
      </c>
      <c r="BC275">
        <v>169</v>
      </c>
      <c r="BD275" t="s">
        <v>74</v>
      </c>
      <c r="BE275" t="s">
        <v>5371</v>
      </c>
      <c r="BF275" t="str">
        <f>HYPERLINK("http://dx.doi.org/10.1016/j.gloplacha.2009.07.004","http://dx.doi.org/10.1016/j.gloplacha.2009.07.004")</f>
        <v>http://dx.doi.org/10.1016/j.gloplacha.2009.07.004</v>
      </c>
      <c r="BG275" t="s">
        <v>74</v>
      </c>
      <c r="BH275" t="s">
        <v>74</v>
      </c>
      <c r="BI275">
        <v>8</v>
      </c>
      <c r="BJ275" t="s">
        <v>2121</v>
      </c>
      <c r="BK275" t="s">
        <v>1986</v>
      </c>
      <c r="BL275" t="s">
        <v>2122</v>
      </c>
      <c r="BM275" t="s">
        <v>5273</v>
      </c>
      <c r="BN275" t="s">
        <v>74</v>
      </c>
      <c r="BO275" t="s">
        <v>239</v>
      </c>
      <c r="BP275" t="s">
        <v>74</v>
      </c>
      <c r="BQ275" t="s">
        <v>74</v>
      </c>
      <c r="BR275" t="s">
        <v>101</v>
      </c>
      <c r="BS275" t="s">
        <v>5372</v>
      </c>
      <c r="BT275" t="str">
        <f>HYPERLINK("https%3A%2F%2Fwww.webofscience.com%2Fwos%2Fwoscc%2Ffull-record%2FWOS:000272789700008","View Full Record in Web of Science")</f>
        <v>View Full Record in Web of Science</v>
      </c>
    </row>
    <row r="276" spans="1:72" x14ac:dyDescent="0.15">
      <c r="A276" t="s">
        <v>72</v>
      </c>
      <c r="B276" t="s">
        <v>5373</v>
      </c>
      <c r="C276" t="s">
        <v>74</v>
      </c>
      <c r="D276" t="s">
        <v>74</v>
      </c>
      <c r="E276" t="s">
        <v>74</v>
      </c>
      <c r="F276" t="s">
        <v>5374</v>
      </c>
      <c r="G276" t="s">
        <v>74</v>
      </c>
      <c r="H276" t="s">
        <v>74</v>
      </c>
      <c r="I276" t="s">
        <v>5375</v>
      </c>
      <c r="J276" t="s">
        <v>2103</v>
      </c>
      <c r="K276" t="s">
        <v>74</v>
      </c>
      <c r="L276" t="s">
        <v>74</v>
      </c>
      <c r="M276" t="s">
        <v>78</v>
      </c>
      <c r="N276" t="s">
        <v>1965</v>
      </c>
      <c r="O276" t="s">
        <v>5278</v>
      </c>
      <c r="P276" t="s">
        <v>5279</v>
      </c>
      <c r="Q276" t="s">
        <v>5280</v>
      </c>
      <c r="R276" t="s">
        <v>74</v>
      </c>
      <c r="S276" t="s">
        <v>74</v>
      </c>
      <c r="T276" t="s">
        <v>5376</v>
      </c>
      <c r="U276" t="s">
        <v>5377</v>
      </c>
      <c r="V276" t="s">
        <v>5378</v>
      </c>
      <c r="W276" t="s">
        <v>5379</v>
      </c>
      <c r="X276" t="s">
        <v>5380</v>
      </c>
      <c r="Y276" t="s">
        <v>5381</v>
      </c>
      <c r="Z276" t="s">
        <v>5382</v>
      </c>
      <c r="AA276" t="s">
        <v>5383</v>
      </c>
      <c r="AB276" t="s">
        <v>5384</v>
      </c>
      <c r="AC276" t="s">
        <v>74</v>
      </c>
      <c r="AD276" t="s">
        <v>74</v>
      </c>
      <c r="AE276" t="s">
        <v>74</v>
      </c>
      <c r="AF276" t="s">
        <v>74</v>
      </c>
      <c r="AG276">
        <v>76</v>
      </c>
      <c r="AH276">
        <v>52</v>
      </c>
      <c r="AI276">
        <v>58</v>
      </c>
      <c r="AJ276">
        <v>0</v>
      </c>
      <c r="AK276">
        <v>29</v>
      </c>
      <c r="AL276" t="s">
        <v>280</v>
      </c>
      <c r="AM276" t="s">
        <v>281</v>
      </c>
      <c r="AN276" t="s">
        <v>282</v>
      </c>
      <c r="AO276" t="s">
        <v>2116</v>
      </c>
      <c r="AP276" t="s">
        <v>2117</v>
      </c>
      <c r="AQ276" t="s">
        <v>74</v>
      </c>
      <c r="AR276" t="s">
        <v>2118</v>
      </c>
      <c r="AS276" t="s">
        <v>2119</v>
      </c>
      <c r="AT276" t="s">
        <v>4386</v>
      </c>
      <c r="AU276">
        <v>2009</v>
      </c>
      <c r="AV276">
        <v>69</v>
      </c>
      <c r="AW276">
        <v>3</v>
      </c>
      <c r="AX276" t="s">
        <v>74</v>
      </c>
      <c r="AY276" t="s">
        <v>74</v>
      </c>
      <c r="AZ276" t="s">
        <v>1546</v>
      </c>
      <c r="BA276" t="s">
        <v>74</v>
      </c>
      <c r="BB276">
        <v>170</v>
      </c>
      <c r="BC276">
        <v>184</v>
      </c>
      <c r="BD276" t="s">
        <v>74</v>
      </c>
      <c r="BE276" t="s">
        <v>5385</v>
      </c>
      <c r="BF276" t="str">
        <f>HYPERLINK("http://dx.doi.org/10.1016/j.gloplacha.2009.09.003","http://dx.doi.org/10.1016/j.gloplacha.2009.09.003")</f>
        <v>http://dx.doi.org/10.1016/j.gloplacha.2009.09.003</v>
      </c>
      <c r="BG276" t="s">
        <v>74</v>
      </c>
      <c r="BH276" t="s">
        <v>74</v>
      </c>
      <c r="BI276">
        <v>15</v>
      </c>
      <c r="BJ276" t="s">
        <v>2121</v>
      </c>
      <c r="BK276" t="s">
        <v>1986</v>
      </c>
      <c r="BL276" t="s">
        <v>2122</v>
      </c>
      <c r="BM276" t="s">
        <v>5273</v>
      </c>
      <c r="BN276" t="s">
        <v>74</v>
      </c>
      <c r="BO276" t="s">
        <v>74</v>
      </c>
      <c r="BP276" t="s">
        <v>74</v>
      </c>
      <c r="BQ276" t="s">
        <v>74</v>
      </c>
      <c r="BR276" t="s">
        <v>101</v>
      </c>
      <c r="BS276" t="s">
        <v>5386</v>
      </c>
      <c r="BT276" t="str">
        <f>HYPERLINK("https%3A%2F%2Fwww.webofscience.com%2Fwos%2Fwoscc%2Ffull-record%2FWOS:000272789700009","View Full Record in Web of Science")</f>
        <v>View Full Record in Web of Science</v>
      </c>
    </row>
    <row r="277" spans="1:72" x14ac:dyDescent="0.15">
      <c r="A277" t="s">
        <v>72</v>
      </c>
      <c r="B277" t="s">
        <v>5387</v>
      </c>
      <c r="C277" t="s">
        <v>74</v>
      </c>
      <c r="D277" t="s">
        <v>74</v>
      </c>
      <c r="E277" t="s">
        <v>74</v>
      </c>
      <c r="F277" t="s">
        <v>5388</v>
      </c>
      <c r="G277" t="s">
        <v>74</v>
      </c>
      <c r="H277" t="s">
        <v>74</v>
      </c>
      <c r="I277" t="s">
        <v>5389</v>
      </c>
      <c r="J277" t="s">
        <v>5390</v>
      </c>
      <c r="K277" t="s">
        <v>74</v>
      </c>
      <c r="L277" t="s">
        <v>74</v>
      </c>
      <c r="M277" t="s">
        <v>78</v>
      </c>
      <c r="N277" t="s">
        <v>79</v>
      </c>
      <c r="O277" t="s">
        <v>74</v>
      </c>
      <c r="P277" t="s">
        <v>74</v>
      </c>
      <c r="Q277" t="s">
        <v>74</v>
      </c>
      <c r="R277" t="s">
        <v>74</v>
      </c>
      <c r="S277" t="s">
        <v>74</v>
      </c>
      <c r="T277" t="s">
        <v>5391</v>
      </c>
      <c r="U277" t="s">
        <v>5392</v>
      </c>
      <c r="V277" t="s">
        <v>5393</v>
      </c>
      <c r="W277" t="s">
        <v>5394</v>
      </c>
      <c r="X277" t="s">
        <v>5395</v>
      </c>
      <c r="Y277" t="s">
        <v>5396</v>
      </c>
      <c r="Z277" t="s">
        <v>5121</v>
      </c>
      <c r="AA277" t="s">
        <v>5397</v>
      </c>
      <c r="AB277" t="s">
        <v>5398</v>
      </c>
      <c r="AC277" t="s">
        <v>5399</v>
      </c>
      <c r="AD277" t="s">
        <v>2114</v>
      </c>
      <c r="AE277" t="s">
        <v>5400</v>
      </c>
      <c r="AF277" t="s">
        <v>74</v>
      </c>
      <c r="AG277">
        <v>37</v>
      </c>
      <c r="AH277">
        <v>38</v>
      </c>
      <c r="AI277">
        <v>40</v>
      </c>
      <c r="AJ277">
        <v>0</v>
      </c>
      <c r="AK277">
        <v>31</v>
      </c>
      <c r="AL277" t="s">
        <v>1184</v>
      </c>
      <c r="AM277" t="s">
        <v>1185</v>
      </c>
      <c r="AN277" t="s">
        <v>1186</v>
      </c>
      <c r="AO277" t="s">
        <v>5401</v>
      </c>
      <c r="AP277" t="s">
        <v>5402</v>
      </c>
      <c r="AQ277" t="s">
        <v>74</v>
      </c>
      <c r="AR277" t="s">
        <v>5403</v>
      </c>
      <c r="AS277" t="s">
        <v>5404</v>
      </c>
      <c r="AT277" t="s">
        <v>4386</v>
      </c>
      <c r="AU277">
        <v>2009</v>
      </c>
      <c r="AV277">
        <v>15</v>
      </c>
      <c r="AW277">
        <v>11</v>
      </c>
      <c r="AX277" t="s">
        <v>74</v>
      </c>
      <c r="AY277" t="s">
        <v>74</v>
      </c>
      <c r="AZ277" t="s">
        <v>74</v>
      </c>
      <c r="BA277" t="s">
        <v>74</v>
      </c>
      <c r="BB277">
        <v>2563</v>
      </c>
      <c r="BC277">
        <v>2573</v>
      </c>
      <c r="BD277" t="s">
        <v>74</v>
      </c>
      <c r="BE277" t="s">
        <v>5405</v>
      </c>
      <c r="BF277" t="str">
        <f>HYPERLINK("http://dx.doi.org/10.1111/j.1365-2486.2009.01929.x","http://dx.doi.org/10.1111/j.1365-2486.2009.01929.x")</f>
        <v>http://dx.doi.org/10.1111/j.1365-2486.2009.01929.x</v>
      </c>
      <c r="BG277" t="s">
        <v>74</v>
      </c>
      <c r="BH277" t="s">
        <v>74</v>
      </c>
      <c r="BI277">
        <v>11</v>
      </c>
      <c r="BJ277" t="s">
        <v>5406</v>
      </c>
      <c r="BK277" t="s">
        <v>98</v>
      </c>
      <c r="BL277" t="s">
        <v>3115</v>
      </c>
      <c r="BM277" t="s">
        <v>5407</v>
      </c>
      <c r="BN277" t="s">
        <v>74</v>
      </c>
      <c r="BO277" t="s">
        <v>74</v>
      </c>
      <c r="BP277" t="s">
        <v>74</v>
      </c>
      <c r="BQ277" t="s">
        <v>74</v>
      </c>
      <c r="BR277" t="s">
        <v>101</v>
      </c>
      <c r="BS277" t="s">
        <v>5408</v>
      </c>
      <c r="BT277" t="str">
        <f>HYPERLINK("https%3A%2F%2Fwww.webofscience.com%2Fwos%2Fwoscc%2Ffull-record%2FWOS:000270662000001","View Full Record in Web of Science")</f>
        <v>View Full Record in Web of Science</v>
      </c>
    </row>
    <row r="278" spans="1:72" x14ac:dyDescent="0.15">
      <c r="A278" t="s">
        <v>72</v>
      </c>
      <c r="B278" t="s">
        <v>5409</v>
      </c>
      <c r="C278" t="s">
        <v>74</v>
      </c>
      <c r="D278" t="s">
        <v>74</v>
      </c>
      <c r="E278" t="s">
        <v>74</v>
      </c>
      <c r="F278" t="s">
        <v>5410</v>
      </c>
      <c r="G278" t="s">
        <v>74</v>
      </c>
      <c r="H278" t="s">
        <v>74</v>
      </c>
      <c r="I278" t="s">
        <v>5411</v>
      </c>
      <c r="J278" t="s">
        <v>5390</v>
      </c>
      <c r="K278" t="s">
        <v>74</v>
      </c>
      <c r="L278" t="s">
        <v>74</v>
      </c>
      <c r="M278" t="s">
        <v>78</v>
      </c>
      <c r="N278" t="s">
        <v>79</v>
      </c>
      <c r="O278" t="s">
        <v>74</v>
      </c>
      <c r="P278" t="s">
        <v>74</v>
      </c>
      <c r="Q278" t="s">
        <v>74</v>
      </c>
      <c r="R278" t="s">
        <v>74</v>
      </c>
      <c r="S278" t="s">
        <v>74</v>
      </c>
      <c r="T278" t="s">
        <v>5412</v>
      </c>
      <c r="U278" t="s">
        <v>5413</v>
      </c>
      <c r="V278" t="s">
        <v>5414</v>
      </c>
      <c r="W278" t="s">
        <v>5415</v>
      </c>
      <c r="X278" t="s">
        <v>5416</v>
      </c>
      <c r="Y278" t="s">
        <v>5417</v>
      </c>
      <c r="Z278" t="s">
        <v>5121</v>
      </c>
      <c r="AA278" t="s">
        <v>5418</v>
      </c>
      <c r="AB278" t="s">
        <v>5419</v>
      </c>
      <c r="AC278" t="s">
        <v>5420</v>
      </c>
      <c r="AD278" t="s">
        <v>5421</v>
      </c>
      <c r="AE278" t="s">
        <v>5422</v>
      </c>
      <c r="AF278" t="s">
        <v>74</v>
      </c>
      <c r="AG278">
        <v>81</v>
      </c>
      <c r="AH278">
        <v>133</v>
      </c>
      <c r="AI278">
        <v>137</v>
      </c>
      <c r="AJ278">
        <v>2</v>
      </c>
      <c r="AK278">
        <v>104</v>
      </c>
      <c r="AL278" t="s">
        <v>1184</v>
      </c>
      <c r="AM278" t="s">
        <v>1185</v>
      </c>
      <c r="AN278" t="s">
        <v>1186</v>
      </c>
      <c r="AO278" t="s">
        <v>5401</v>
      </c>
      <c r="AP278" t="s">
        <v>5402</v>
      </c>
      <c r="AQ278" t="s">
        <v>74</v>
      </c>
      <c r="AR278" t="s">
        <v>5403</v>
      </c>
      <c r="AS278" t="s">
        <v>5404</v>
      </c>
      <c r="AT278" t="s">
        <v>4386</v>
      </c>
      <c r="AU278">
        <v>2009</v>
      </c>
      <c r="AV278">
        <v>15</v>
      </c>
      <c r="AW278">
        <v>11</v>
      </c>
      <c r="AX278" t="s">
        <v>74</v>
      </c>
      <c r="AY278" t="s">
        <v>74</v>
      </c>
      <c r="AZ278" t="s">
        <v>74</v>
      </c>
      <c r="BA278" t="s">
        <v>74</v>
      </c>
      <c r="BB278">
        <v>2574</v>
      </c>
      <c r="BC278">
        <v>2589</v>
      </c>
      <c r="BD278" t="s">
        <v>74</v>
      </c>
      <c r="BE278" t="s">
        <v>5423</v>
      </c>
      <c r="BF278" t="str">
        <f>HYPERLINK("http://dx.doi.org/10.1111/j.1365-2486.2009.01944.x","http://dx.doi.org/10.1111/j.1365-2486.2009.01944.x")</f>
        <v>http://dx.doi.org/10.1111/j.1365-2486.2009.01944.x</v>
      </c>
      <c r="BG278" t="s">
        <v>74</v>
      </c>
      <c r="BH278" t="s">
        <v>74</v>
      </c>
      <c r="BI278">
        <v>16</v>
      </c>
      <c r="BJ278" t="s">
        <v>5406</v>
      </c>
      <c r="BK278" t="s">
        <v>98</v>
      </c>
      <c r="BL278" t="s">
        <v>3115</v>
      </c>
      <c r="BM278" t="s">
        <v>5407</v>
      </c>
      <c r="BN278" t="s">
        <v>74</v>
      </c>
      <c r="BO278" t="s">
        <v>1119</v>
      </c>
      <c r="BP278" t="s">
        <v>74</v>
      </c>
      <c r="BQ278" t="s">
        <v>74</v>
      </c>
      <c r="BR278" t="s">
        <v>101</v>
      </c>
      <c r="BS278" t="s">
        <v>5424</v>
      </c>
      <c r="BT278" t="str">
        <f>HYPERLINK("https%3A%2F%2Fwww.webofscience.com%2Fwos%2Fwoscc%2Ffull-record%2FWOS:000270662000002","View Full Record in Web of Science")</f>
        <v>View Full Record in Web of Science</v>
      </c>
    </row>
    <row r="279" spans="1:72" x14ac:dyDescent="0.15">
      <c r="A279" t="s">
        <v>72</v>
      </c>
      <c r="B279" t="s">
        <v>5425</v>
      </c>
      <c r="C279" t="s">
        <v>74</v>
      </c>
      <c r="D279" t="s">
        <v>74</v>
      </c>
      <c r="E279" t="s">
        <v>74</v>
      </c>
      <c r="F279" t="s">
        <v>5426</v>
      </c>
      <c r="G279" t="s">
        <v>74</v>
      </c>
      <c r="H279" t="s">
        <v>74</v>
      </c>
      <c r="I279" t="s">
        <v>5427</v>
      </c>
      <c r="J279" t="s">
        <v>5390</v>
      </c>
      <c r="K279" t="s">
        <v>74</v>
      </c>
      <c r="L279" t="s">
        <v>74</v>
      </c>
      <c r="M279" t="s">
        <v>78</v>
      </c>
      <c r="N279" t="s">
        <v>79</v>
      </c>
      <c r="O279" t="s">
        <v>74</v>
      </c>
      <c r="P279" t="s">
        <v>74</v>
      </c>
      <c r="Q279" t="s">
        <v>74</v>
      </c>
      <c r="R279" t="s">
        <v>74</v>
      </c>
      <c r="S279" t="s">
        <v>74</v>
      </c>
      <c r="T279" t="s">
        <v>5428</v>
      </c>
      <c r="U279" t="s">
        <v>5429</v>
      </c>
      <c r="V279" t="s">
        <v>5430</v>
      </c>
      <c r="W279" t="s">
        <v>5431</v>
      </c>
      <c r="X279" t="s">
        <v>5432</v>
      </c>
      <c r="Y279" t="s">
        <v>5433</v>
      </c>
      <c r="Z279" t="s">
        <v>5434</v>
      </c>
      <c r="AA279" t="s">
        <v>5435</v>
      </c>
      <c r="AB279" t="s">
        <v>5436</v>
      </c>
      <c r="AC279" t="s">
        <v>5437</v>
      </c>
      <c r="AD279" t="s">
        <v>5438</v>
      </c>
      <c r="AE279" t="s">
        <v>5439</v>
      </c>
      <c r="AF279" t="s">
        <v>74</v>
      </c>
      <c r="AG279">
        <v>55</v>
      </c>
      <c r="AH279">
        <v>116</v>
      </c>
      <c r="AI279">
        <v>127</v>
      </c>
      <c r="AJ279">
        <v>5</v>
      </c>
      <c r="AK279">
        <v>130</v>
      </c>
      <c r="AL279" t="s">
        <v>1184</v>
      </c>
      <c r="AM279" t="s">
        <v>1185</v>
      </c>
      <c r="AN279" t="s">
        <v>1186</v>
      </c>
      <c r="AO279" t="s">
        <v>5401</v>
      </c>
      <c r="AP279" t="s">
        <v>5402</v>
      </c>
      <c r="AQ279" t="s">
        <v>74</v>
      </c>
      <c r="AR279" t="s">
        <v>5403</v>
      </c>
      <c r="AS279" t="s">
        <v>5404</v>
      </c>
      <c r="AT279" t="s">
        <v>4386</v>
      </c>
      <c r="AU279">
        <v>2009</v>
      </c>
      <c r="AV279">
        <v>15</v>
      </c>
      <c r="AW279">
        <v>11</v>
      </c>
      <c r="AX279" t="s">
        <v>74</v>
      </c>
      <c r="AY279" t="s">
        <v>74</v>
      </c>
      <c r="AZ279" t="s">
        <v>74</v>
      </c>
      <c r="BA279" t="s">
        <v>74</v>
      </c>
      <c r="BB279">
        <v>2615</v>
      </c>
      <c r="BC279">
        <v>2625</v>
      </c>
      <c r="BD279" t="s">
        <v>74</v>
      </c>
      <c r="BE279" t="s">
        <v>5440</v>
      </c>
      <c r="BF279" t="str">
        <f>HYPERLINK("http://dx.doi.org/10.1111/j.1365-2486.2009.01959.x","http://dx.doi.org/10.1111/j.1365-2486.2009.01959.x")</f>
        <v>http://dx.doi.org/10.1111/j.1365-2486.2009.01959.x</v>
      </c>
      <c r="BG279" t="s">
        <v>74</v>
      </c>
      <c r="BH279" t="s">
        <v>74</v>
      </c>
      <c r="BI279">
        <v>11</v>
      </c>
      <c r="BJ279" t="s">
        <v>5406</v>
      </c>
      <c r="BK279" t="s">
        <v>98</v>
      </c>
      <c r="BL279" t="s">
        <v>3115</v>
      </c>
      <c r="BM279" t="s">
        <v>5407</v>
      </c>
      <c r="BN279" t="s">
        <v>74</v>
      </c>
      <c r="BO279" t="s">
        <v>74</v>
      </c>
      <c r="BP279" t="s">
        <v>74</v>
      </c>
      <c r="BQ279" t="s">
        <v>74</v>
      </c>
      <c r="BR279" t="s">
        <v>101</v>
      </c>
      <c r="BS279" t="s">
        <v>5441</v>
      </c>
      <c r="BT279" t="str">
        <f>HYPERLINK("https%3A%2F%2Fwww.webofscience.com%2Fwos%2Fwoscc%2Ffull-record%2FWOS:000270662000005","View Full Record in Web of Science")</f>
        <v>View Full Record in Web of Science</v>
      </c>
    </row>
    <row r="280" spans="1:72" x14ac:dyDescent="0.15">
      <c r="A280" t="s">
        <v>72</v>
      </c>
      <c r="B280" t="s">
        <v>5442</v>
      </c>
      <c r="C280" t="s">
        <v>74</v>
      </c>
      <c r="D280" t="s">
        <v>74</v>
      </c>
      <c r="E280" t="s">
        <v>74</v>
      </c>
      <c r="F280" t="s">
        <v>5443</v>
      </c>
      <c r="G280" t="s">
        <v>74</v>
      </c>
      <c r="H280" t="s">
        <v>74</v>
      </c>
      <c r="I280" t="s">
        <v>5444</v>
      </c>
      <c r="J280" t="s">
        <v>5445</v>
      </c>
      <c r="K280" t="s">
        <v>74</v>
      </c>
      <c r="L280" t="s">
        <v>74</v>
      </c>
      <c r="M280" t="s">
        <v>78</v>
      </c>
      <c r="N280" t="s">
        <v>79</v>
      </c>
      <c r="O280" t="s">
        <v>74</v>
      </c>
      <c r="P280" t="s">
        <v>74</v>
      </c>
      <c r="Q280" t="s">
        <v>74</v>
      </c>
      <c r="R280" t="s">
        <v>74</v>
      </c>
      <c r="S280" t="s">
        <v>74</v>
      </c>
      <c r="T280" t="s">
        <v>5446</v>
      </c>
      <c r="U280" t="s">
        <v>5447</v>
      </c>
      <c r="V280" t="s">
        <v>5448</v>
      </c>
      <c r="W280" t="s">
        <v>5449</v>
      </c>
      <c r="X280" t="s">
        <v>5450</v>
      </c>
      <c r="Y280" t="s">
        <v>5451</v>
      </c>
      <c r="Z280" t="s">
        <v>5452</v>
      </c>
      <c r="AA280" t="s">
        <v>5453</v>
      </c>
      <c r="AB280" t="s">
        <v>74</v>
      </c>
      <c r="AC280" t="s">
        <v>5454</v>
      </c>
      <c r="AD280" t="s">
        <v>5455</v>
      </c>
      <c r="AE280" t="s">
        <v>5456</v>
      </c>
      <c r="AF280" t="s">
        <v>74</v>
      </c>
      <c r="AG280">
        <v>58</v>
      </c>
      <c r="AH280">
        <v>198</v>
      </c>
      <c r="AI280">
        <v>234</v>
      </c>
      <c r="AJ280">
        <v>1</v>
      </c>
      <c r="AK280">
        <v>93</v>
      </c>
      <c r="AL280" t="s">
        <v>1184</v>
      </c>
      <c r="AM280" t="s">
        <v>1185</v>
      </c>
      <c r="AN280" t="s">
        <v>1186</v>
      </c>
      <c r="AO280" t="s">
        <v>5457</v>
      </c>
      <c r="AP280" t="s">
        <v>5458</v>
      </c>
      <c r="AQ280" t="s">
        <v>74</v>
      </c>
      <c r="AR280" t="s">
        <v>5459</v>
      </c>
      <c r="AS280" t="s">
        <v>5460</v>
      </c>
      <c r="AT280" t="s">
        <v>4386</v>
      </c>
      <c r="AU280">
        <v>2009</v>
      </c>
      <c r="AV280">
        <v>78</v>
      </c>
      <c r="AW280">
        <v>6</v>
      </c>
      <c r="AX280" t="s">
        <v>74</v>
      </c>
      <c r="AY280" t="s">
        <v>74</v>
      </c>
      <c r="AZ280" t="s">
        <v>74</v>
      </c>
      <c r="BA280" t="s">
        <v>74</v>
      </c>
      <c r="BB280">
        <v>1113</v>
      </c>
      <c r="BC280">
        <v>1123</v>
      </c>
      <c r="BD280" t="s">
        <v>74</v>
      </c>
      <c r="BE280" t="s">
        <v>5461</v>
      </c>
      <c r="BF280" t="str">
        <f>HYPERLINK("http://dx.doi.org/10.1111/j.1365-2656.2009.01583.x","http://dx.doi.org/10.1111/j.1365-2656.2009.01583.x")</f>
        <v>http://dx.doi.org/10.1111/j.1365-2656.2009.01583.x</v>
      </c>
      <c r="BG280" t="s">
        <v>74</v>
      </c>
      <c r="BH280" t="s">
        <v>74</v>
      </c>
      <c r="BI280">
        <v>11</v>
      </c>
      <c r="BJ280" t="s">
        <v>97</v>
      </c>
      <c r="BK280" t="s">
        <v>98</v>
      </c>
      <c r="BL280" t="s">
        <v>99</v>
      </c>
      <c r="BM280" t="s">
        <v>5462</v>
      </c>
      <c r="BN280">
        <v>19563470</v>
      </c>
      <c r="BO280" t="s">
        <v>263</v>
      </c>
      <c r="BP280" t="s">
        <v>74</v>
      </c>
      <c r="BQ280" t="s">
        <v>74</v>
      </c>
      <c r="BR280" t="s">
        <v>101</v>
      </c>
      <c r="BS280" t="s">
        <v>5463</v>
      </c>
      <c r="BT280" t="str">
        <f>HYPERLINK("https%3A%2F%2Fwww.webofscience.com%2Fwos%2Fwoscc%2Ffull-record%2FWOS:000270785600003","View Full Record in Web of Science")</f>
        <v>View Full Record in Web of Science</v>
      </c>
    </row>
    <row r="281" spans="1:72" x14ac:dyDescent="0.15">
      <c r="A281" t="s">
        <v>72</v>
      </c>
      <c r="B281" t="s">
        <v>5464</v>
      </c>
      <c r="C281" t="s">
        <v>74</v>
      </c>
      <c r="D281" t="s">
        <v>74</v>
      </c>
      <c r="E281" t="s">
        <v>74</v>
      </c>
      <c r="F281" t="s">
        <v>5465</v>
      </c>
      <c r="G281" t="s">
        <v>74</v>
      </c>
      <c r="H281" t="s">
        <v>74</v>
      </c>
      <c r="I281" t="s">
        <v>5466</v>
      </c>
      <c r="J281" t="s">
        <v>2328</v>
      </c>
      <c r="K281" t="s">
        <v>74</v>
      </c>
      <c r="L281" t="s">
        <v>74</v>
      </c>
      <c r="M281" t="s">
        <v>78</v>
      </c>
      <c r="N281" t="s">
        <v>297</v>
      </c>
      <c r="O281" t="s">
        <v>74</v>
      </c>
      <c r="P281" t="s">
        <v>74</v>
      </c>
      <c r="Q281" t="s">
        <v>74</v>
      </c>
      <c r="R281" t="s">
        <v>74</v>
      </c>
      <c r="S281" t="s">
        <v>74</v>
      </c>
      <c r="T281" t="s">
        <v>5467</v>
      </c>
      <c r="U281" t="s">
        <v>5468</v>
      </c>
      <c r="V281" t="s">
        <v>5469</v>
      </c>
      <c r="W281" t="s">
        <v>5470</v>
      </c>
      <c r="X281" t="s">
        <v>5471</v>
      </c>
      <c r="Y281" t="s">
        <v>5472</v>
      </c>
      <c r="Z281" t="s">
        <v>5473</v>
      </c>
      <c r="AA281" t="s">
        <v>5474</v>
      </c>
      <c r="AB281" t="s">
        <v>5475</v>
      </c>
      <c r="AC281" t="s">
        <v>5476</v>
      </c>
      <c r="AD281" t="s">
        <v>5477</v>
      </c>
      <c r="AE281" t="s">
        <v>5478</v>
      </c>
      <c r="AF281" t="s">
        <v>74</v>
      </c>
      <c r="AG281">
        <v>109</v>
      </c>
      <c r="AH281">
        <v>35</v>
      </c>
      <c r="AI281">
        <v>35</v>
      </c>
      <c r="AJ281">
        <v>2</v>
      </c>
      <c r="AK281">
        <v>5</v>
      </c>
      <c r="AL281" t="s">
        <v>1894</v>
      </c>
      <c r="AM281" t="s">
        <v>1895</v>
      </c>
      <c r="AN281" t="s">
        <v>1896</v>
      </c>
      <c r="AO281" t="s">
        <v>2341</v>
      </c>
      <c r="AP281" t="s">
        <v>2342</v>
      </c>
      <c r="AQ281" t="s">
        <v>74</v>
      </c>
      <c r="AR281" t="s">
        <v>2343</v>
      </c>
      <c r="AS281" t="s">
        <v>2344</v>
      </c>
      <c r="AT281" t="s">
        <v>4386</v>
      </c>
      <c r="AU281">
        <v>2009</v>
      </c>
      <c r="AV281">
        <v>71</v>
      </c>
      <c r="AW281">
        <v>16</v>
      </c>
      <c r="AX281" t="s">
        <v>74</v>
      </c>
      <c r="AY281" t="s">
        <v>74</v>
      </c>
      <c r="AZ281" t="s">
        <v>1546</v>
      </c>
      <c r="BA281" t="s">
        <v>74</v>
      </c>
      <c r="BB281">
        <v>1636</v>
      </c>
      <c r="BC281">
        <v>1646</v>
      </c>
      <c r="BD281" t="s">
        <v>74</v>
      </c>
      <c r="BE281" t="s">
        <v>5479</v>
      </c>
      <c r="BF281" t="str">
        <f>HYPERLINK("http://dx.doi.org/10.1016/j.jastp.2009.03.023","http://dx.doi.org/10.1016/j.jastp.2009.03.023")</f>
        <v>http://dx.doi.org/10.1016/j.jastp.2009.03.023</v>
      </c>
      <c r="BG281" t="s">
        <v>74</v>
      </c>
      <c r="BH281" t="s">
        <v>74</v>
      </c>
      <c r="BI281">
        <v>11</v>
      </c>
      <c r="BJ281" t="s">
        <v>2347</v>
      </c>
      <c r="BK281" t="s">
        <v>98</v>
      </c>
      <c r="BL281" t="s">
        <v>2347</v>
      </c>
      <c r="BM281" t="s">
        <v>5480</v>
      </c>
      <c r="BN281" t="s">
        <v>74</v>
      </c>
      <c r="BO281" t="s">
        <v>74</v>
      </c>
      <c r="BP281" t="s">
        <v>74</v>
      </c>
      <c r="BQ281" t="s">
        <v>74</v>
      </c>
      <c r="BR281" t="s">
        <v>101</v>
      </c>
      <c r="BS281" t="s">
        <v>5481</v>
      </c>
      <c r="BT281" t="str">
        <f>HYPERLINK("https%3A%2F%2Fwww.webofscience.com%2Fwos%2Fwoscc%2Ffull-record%2FWOS:000271249000005","View Full Record in Web of Science")</f>
        <v>View Full Record in Web of Science</v>
      </c>
    </row>
    <row r="282" spans="1:72" x14ac:dyDescent="0.15">
      <c r="A282" t="s">
        <v>72</v>
      </c>
      <c r="B282" t="s">
        <v>5482</v>
      </c>
      <c r="C282" t="s">
        <v>74</v>
      </c>
      <c r="D282" t="s">
        <v>74</v>
      </c>
      <c r="E282" t="s">
        <v>74</v>
      </c>
      <c r="F282" t="s">
        <v>5483</v>
      </c>
      <c r="G282" t="s">
        <v>74</v>
      </c>
      <c r="H282" t="s">
        <v>74</v>
      </c>
      <c r="I282" t="s">
        <v>5484</v>
      </c>
      <c r="J282" t="s">
        <v>5485</v>
      </c>
      <c r="K282" t="s">
        <v>74</v>
      </c>
      <c r="L282" t="s">
        <v>74</v>
      </c>
      <c r="M282" t="s">
        <v>78</v>
      </c>
      <c r="N282" t="s">
        <v>52</v>
      </c>
      <c r="O282" t="s">
        <v>74</v>
      </c>
      <c r="P282" t="s">
        <v>74</v>
      </c>
      <c r="Q282" t="s">
        <v>74</v>
      </c>
      <c r="R282" t="s">
        <v>74</v>
      </c>
      <c r="S282" t="s">
        <v>74</v>
      </c>
      <c r="T282" t="s">
        <v>74</v>
      </c>
      <c r="U282" t="s">
        <v>74</v>
      </c>
      <c r="V282" t="s">
        <v>74</v>
      </c>
      <c r="W282" t="s">
        <v>5486</v>
      </c>
      <c r="X282" t="s">
        <v>5487</v>
      </c>
      <c r="Y282" t="s">
        <v>74</v>
      </c>
      <c r="Z282" t="s">
        <v>74</v>
      </c>
      <c r="AA282" t="s">
        <v>74</v>
      </c>
      <c r="AB282" t="s">
        <v>74</v>
      </c>
      <c r="AC282" t="s">
        <v>74</v>
      </c>
      <c r="AD282" t="s">
        <v>74</v>
      </c>
      <c r="AE282" t="s">
        <v>74</v>
      </c>
      <c r="AF282" t="s">
        <v>74</v>
      </c>
      <c r="AG282">
        <v>3</v>
      </c>
      <c r="AH282">
        <v>1</v>
      </c>
      <c r="AI282">
        <v>1</v>
      </c>
      <c r="AJ282">
        <v>0</v>
      </c>
      <c r="AK282">
        <v>5</v>
      </c>
      <c r="AL282" t="s">
        <v>5488</v>
      </c>
      <c r="AM282" t="s">
        <v>5489</v>
      </c>
      <c r="AN282" t="s">
        <v>5490</v>
      </c>
      <c r="AO282" t="s">
        <v>5491</v>
      </c>
      <c r="AP282" t="s">
        <v>5492</v>
      </c>
      <c r="AQ282" t="s">
        <v>74</v>
      </c>
      <c r="AR282" t="s">
        <v>5493</v>
      </c>
      <c r="AS282" t="s">
        <v>5494</v>
      </c>
      <c r="AT282" t="s">
        <v>4386</v>
      </c>
      <c r="AU282">
        <v>2009</v>
      </c>
      <c r="AV282">
        <v>108</v>
      </c>
      <c r="AW282" t="s">
        <v>74</v>
      </c>
      <c r="AX282" t="s">
        <v>74</v>
      </c>
      <c r="AY282">
        <v>1</v>
      </c>
      <c r="AZ282" t="s">
        <v>74</v>
      </c>
      <c r="BA282" t="s">
        <v>74</v>
      </c>
      <c r="BB282" t="s">
        <v>5495</v>
      </c>
      <c r="BC282" t="s">
        <v>5495</v>
      </c>
      <c r="BD282" t="s">
        <v>74</v>
      </c>
      <c r="BE282" t="s">
        <v>5496</v>
      </c>
      <c r="BF282" t="str">
        <f>HYPERLINK("http://dx.doi.org/10.1016/j.jbiosc.2009.08.318","http://dx.doi.org/10.1016/j.jbiosc.2009.08.318")</f>
        <v>http://dx.doi.org/10.1016/j.jbiosc.2009.08.318</v>
      </c>
      <c r="BG282" t="s">
        <v>74</v>
      </c>
      <c r="BH282" t="s">
        <v>74</v>
      </c>
      <c r="BI282">
        <v>1</v>
      </c>
      <c r="BJ282" t="s">
        <v>5497</v>
      </c>
      <c r="BK282" t="s">
        <v>98</v>
      </c>
      <c r="BL282" t="s">
        <v>5497</v>
      </c>
      <c r="BM282" t="s">
        <v>5498</v>
      </c>
      <c r="BN282" t="s">
        <v>74</v>
      </c>
      <c r="BO282" t="s">
        <v>74</v>
      </c>
      <c r="BP282" t="s">
        <v>74</v>
      </c>
      <c r="BQ282" t="s">
        <v>74</v>
      </c>
      <c r="BR282" t="s">
        <v>101</v>
      </c>
      <c r="BS282" t="s">
        <v>5499</v>
      </c>
      <c r="BT282" t="str">
        <f>HYPERLINK("https%3A%2F%2Fwww.webofscience.com%2Fwos%2Fwoscc%2Ffull-record%2FWOS:000273247900305","View Full Record in Web of Science")</f>
        <v>View Full Record in Web of Science</v>
      </c>
    </row>
    <row r="283" spans="1:72" x14ac:dyDescent="0.15">
      <c r="A283" t="s">
        <v>72</v>
      </c>
      <c r="B283" t="s">
        <v>5500</v>
      </c>
      <c r="C283" t="s">
        <v>74</v>
      </c>
      <c r="D283" t="s">
        <v>74</v>
      </c>
      <c r="E283" t="s">
        <v>74</v>
      </c>
      <c r="F283" t="s">
        <v>5501</v>
      </c>
      <c r="G283" t="s">
        <v>74</v>
      </c>
      <c r="H283" t="s">
        <v>74</v>
      </c>
      <c r="I283" t="s">
        <v>5502</v>
      </c>
      <c r="J283" t="s">
        <v>5503</v>
      </c>
      <c r="K283" t="s">
        <v>74</v>
      </c>
      <c r="L283" t="s">
        <v>74</v>
      </c>
      <c r="M283" t="s">
        <v>78</v>
      </c>
      <c r="N283" t="s">
        <v>79</v>
      </c>
      <c r="O283" t="s">
        <v>74</v>
      </c>
      <c r="P283" t="s">
        <v>74</v>
      </c>
      <c r="Q283" t="s">
        <v>74</v>
      </c>
      <c r="R283" t="s">
        <v>74</v>
      </c>
      <c r="S283" t="s">
        <v>74</v>
      </c>
      <c r="T283" t="s">
        <v>5504</v>
      </c>
      <c r="U283" t="s">
        <v>5505</v>
      </c>
      <c r="V283" t="s">
        <v>5506</v>
      </c>
      <c r="W283" t="s">
        <v>5507</v>
      </c>
      <c r="X283" t="s">
        <v>1295</v>
      </c>
      <c r="Y283" t="s">
        <v>5508</v>
      </c>
      <c r="Z283" t="s">
        <v>5509</v>
      </c>
      <c r="AA283" t="s">
        <v>1298</v>
      </c>
      <c r="AB283" t="s">
        <v>1299</v>
      </c>
      <c r="AC283" t="s">
        <v>5510</v>
      </c>
      <c r="AD283" t="s">
        <v>5511</v>
      </c>
      <c r="AE283" t="s">
        <v>5512</v>
      </c>
      <c r="AF283" t="s">
        <v>74</v>
      </c>
      <c r="AG283">
        <v>19</v>
      </c>
      <c r="AH283">
        <v>12</v>
      </c>
      <c r="AI283">
        <v>13</v>
      </c>
      <c r="AJ283">
        <v>0</v>
      </c>
      <c r="AK283">
        <v>3</v>
      </c>
      <c r="AL283" t="s">
        <v>5513</v>
      </c>
      <c r="AM283" t="s">
        <v>5514</v>
      </c>
      <c r="AN283" t="s">
        <v>5515</v>
      </c>
      <c r="AO283" t="s">
        <v>5516</v>
      </c>
      <c r="AP283" t="s">
        <v>74</v>
      </c>
      <c r="AQ283" t="s">
        <v>74</v>
      </c>
      <c r="AR283" t="s">
        <v>5517</v>
      </c>
      <c r="AS283" t="s">
        <v>5518</v>
      </c>
      <c r="AT283" t="s">
        <v>4386</v>
      </c>
      <c r="AU283">
        <v>2009</v>
      </c>
      <c r="AV283">
        <v>29</v>
      </c>
      <c r="AW283">
        <v>4</v>
      </c>
      <c r="AX283" t="s">
        <v>74</v>
      </c>
      <c r="AY283" t="s">
        <v>74</v>
      </c>
      <c r="AZ283" t="s">
        <v>74</v>
      </c>
      <c r="BA283" t="s">
        <v>74</v>
      </c>
      <c r="BB283">
        <v>605</v>
      </c>
      <c r="BC283">
        <v>608</v>
      </c>
      <c r="BD283" t="s">
        <v>74</v>
      </c>
      <c r="BE283" t="s">
        <v>5519</v>
      </c>
      <c r="BF283" t="str">
        <f>HYPERLINK("http://dx.doi.org/10.1651/09-3146.1","http://dx.doi.org/10.1651/09-3146.1")</f>
        <v>http://dx.doi.org/10.1651/09-3146.1</v>
      </c>
      <c r="BG283" t="s">
        <v>74</v>
      </c>
      <c r="BH283" t="s">
        <v>74</v>
      </c>
      <c r="BI283">
        <v>4</v>
      </c>
      <c r="BJ283" t="s">
        <v>5520</v>
      </c>
      <c r="BK283" t="s">
        <v>98</v>
      </c>
      <c r="BL283" t="s">
        <v>5520</v>
      </c>
      <c r="BM283" t="s">
        <v>5521</v>
      </c>
      <c r="BN283" t="s">
        <v>74</v>
      </c>
      <c r="BO283" t="s">
        <v>263</v>
      </c>
      <c r="BP283" t="s">
        <v>74</v>
      </c>
      <c r="BQ283" t="s">
        <v>74</v>
      </c>
      <c r="BR283" t="s">
        <v>101</v>
      </c>
      <c r="BS283" t="s">
        <v>5522</v>
      </c>
      <c r="BT283" t="str">
        <f>HYPERLINK("https%3A%2F%2Fwww.webofscience.com%2Fwos%2Fwoscc%2Ffull-record%2FWOS:000271166700018","View Full Record in Web of Science")</f>
        <v>View Full Record in Web of Science</v>
      </c>
    </row>
    <row r="284" spans="1:72" x14ac:dyDescent="0.15">
      <c r="A284" t="s">
        <v>72</v>
      </c>
      <c r="B284" t="s">
        <v>5523</v>
      </c>
      <c r="C284" t="s">
        <v>74</v>
      </c>
      <c r="D284" t="s">
        <v>74</v>
      </c>
      <c r="E284" t="s">
        <v>74</v>
      </c>
      <c r="F284" t="s">
        <v>5524</v>
      </c>
      <c r="G284" t="s">
        <v>74</v>
      </c>
      <c r="H284" t="s">
        <v>74</v>
      </c>
      <c r="I284" t="s">
        <v>5525</v>
      </c>
      <c r="J284" t="s">
        <v>5526</v>
      </c>
      <c r="K284" t="s">
        <v>74</v>
      </c>
      <c r="L284" t="s">
        <v>74</v>
      </c>
      <c r="M284" t="s">
        <v>78</v>
      </c>
      <c r="N284" t="s">
        <v>79</v>
      </c>
      <c r="O284" t="s">
        <v>74</v>
      </c>
      <c r="P284" t="s">
        <v>74</v>
      </c>
      <c r="Q284" t="s">
        <v>74</v>
      </c>
      <c r="R284" t="s">
        <v>74</v>
      </c>
      <c r="S284" t="s">
        <v>74</v>
      </c>
      <c r="T284" t="s">
        <v>5527</v>
      </c>
      <c r="U284" t="s">
        <v>5528</v>
      </c>
      <c r="V284" t="s">
        <v>5529</v>
      </c>
      <c r="W284" t="s">
        <v>5530</v>
      </c>
      <c r="X284" t="s">
        <v>5531</v>
      </c>
      <c r="Y284" t="s">
        <v>5532</v>
      </c>
      <c r="Z284" t="s">
        <v>5533</v>
      </c>
      <c r="AA284" t="s">
        <v>5534</v>
      </c>
      <c r="AB284" t="s">
        <v>5535</v>
      </c>
      <c r="AC284" t="s">
        <v>5536</v>
      </c>
      <c r="AD284" t="s">
        <v>5537</v>
      </c>
      <c r="AE284" t="s">
        <v>5538</v>
      </c>
      <c r="AF284" t="s">
        <v>74</v>
      </c>
      <c r="AG284">
        <v>56</v>
      </c>
      <c r="AH284">
        <v>199</v>
      </c>
      <c r="AI284">
        <v>220</v>
      </c>
      <c r="AJ284">
        <v>4</v>
      </c>
      <c r="AK284">
        <v>140</v>
      </c>
      <c r="AL284" t="s">
        <v>1184</v>
      </c>
      <c r="AM284" t="s">
        <v>1185</v>
      </c>
      <c r="AN284" t="s">
        <v>1186</v>
      </c>
      <c r="AO284" t="s">
        <v>5539</v>
      </c>
      <c r="AP284" t="s">
        <v>5540</v>
      </c>
      <c r="AQ284" t="s">
        <v>74</v>
      </c>
      <c r="AR284" t="s">
        <v>5541</v>
      </c>
      <c r="AS284" t="s">
        <v>5542</v>
      </c>
      <c r="AT284" t="s">
        <v>4386</v>
      </c>
      <c r="AU284">
        <v>2009</v>
      </c>
      <c r="AV284">
        <v>97</v>
      </c>
      <c r="AW284">
        <v>6</v>
      </c>
      <c r="AX284" t="s">
        <v>74</v>
      </c>
      <c r="AY284" t="s">
        <v>74</v>
      </c>
      <c r="AZ284" t="s">
        <v>74</v>
      </c>
      <c r="BA284" t="s">
        <v>74</v>
      </c>
      <c r="BB284">
        <v>1181</v>
      </c>
      <c r="BC284">
        <v>1191</v>
      </c>
      <c r="BD284" t="s">
        <v>74</v>
      </c>
      <c r="BE284" t="s">
        <v>5543</v>
      </c>
      <c r="BF284" t="str">
        <f>HYPERLINK("http://dx.doi.org/10.1111/j.1365-2745.2009.01579.x","http://dx.doi.org/10.1111/j.1365-2745.2009.01579.x")</f>
        <v>http://dx.doi.org/10.1111/j.1365-2745.2009.01579.x</v>
      </c>
      <c r="BG284" t="s">
        <v>74</v>
      </c>
      <c r="BH284" t="s">
        <v>74</v>
      </c>
      <c r="BI284">
        <v>11</v>
      </c>
      <c r="BJ284" t="s">
        <v>5544</v>
      </c>
      <c r="BK284" t="s">
        <v>98</v>
      </c>
      <c r="BL284" t="s">
        <v>5545</v>
      </c>
      <c r="BM284" t="s">
        <v>5546</v>
      </c>
      <c r="BN284" t="s">
        <v>74</v>
      </c>
      <c r="BO284" t="s">
        <v>263</v>
      </c>
      <c r="BP284" t="s">
        <v>74</v>
      </c>
      <c r="BQ284" t="s">
        <v>74</v>
      </c>
      <c r="BR284" t="s">
        <v>101</v>
      </c>
      <c r="BS284" t="s">
        <v>5547</v>
      </c>
      <c r="BT284" t="str">
        <f>HYPERLINK("https%3A%2F%2Fwww.webofscience.com%2Fwos%2Fwoscc%2Ffull-record%2FWOS:000270787100008","View Full Record in Web of Science")</f>
        <v>View Full Record in Web of Science</v>
      </c>
    </row>
    <row r="285" spans="1:72" x14ac:dyDescent="0.15">
      <c r="A285" t="s">
        <v>72</v>
      </c>
      <c r="B285" t="s">
        <v>5548</v>
      </c>
      <c r="C285" t="s">
        <v>74</v>
      </c>
      <c r="D285" t="s">
        <v>74</v>
      </c>
      <c r="E285" t="s">
        <v>74</v>
      </c>
      <c r="F285" t="s">
        <v>5549</v>
      </c>
      <c r="G285" t="s">
        <v>74</v>
      </c>
      <c r="H285" t="s">
        <v>74</v>
      </c>
      <c r="I285" t="s">
        <v>5550</v>
      </c>
      <c r="J285" t="s">
        <v>5551</v>
      </c>
      <c r="K285" t="s">
        <v>74</v>
      </c>
      <c r="L285" t="s">
        <v>74</v>
      </c>
      <c r="M285" t="s">
        <v>78</v>
      </c>
      <c r="N285" t="s">
        <v>79</v>
      </c>
      <c r="O285" t="s">
        <v>74</v>
      </c>
      <c r="P285" t="s">
        <v>74</v>
      </c>
      <c r="Q285" t="s">
        <v>74</v>
      </c>
      <c r="R285" t="s">
        <v>74</v>
      </c>
      <c r="S285" t="s">
        <v>74</v>
      </c>
      <c r="T285" t="s">
        <v>74</v>
      </c>
      <c r="U285" t="s">
        <v>5552</v>
      </c>
      <c r="V285" t="s">
        <v>5553</v>
      </c>
      <c r="W285" t="s">
        <v>5554</v>
      </c>
      <c r="X285" t="s">
        <v>5555</v>
      </c>
      <c r="Y285" t="s">
        <v>5556</v>
      </c>
      <c r="Z285" t="s">
        <v>5557</v>
      </c>
      <c r="AA285" t="s">
        <v>5558</v>
      </c>
      <c r="AB285" t="s">
        <v>5559</v>
      </c>
      <c r="AC285" t="s">
        <v>74</v>
      </c>
      <c r="AD285" t="s">
        <v>74</v>
      </c>
      <c r="AE285" t="s">
        <v>74</v>
      </c>
      <c r="AF285" t="s">
        <v>74</v>
      </c>
      <c r="AG285">
        <v>45</v>
      </c>
      <c r="AH285">
        <v>20</v>
      </c>
      <c r="AI285">
        <v>22</v>
      </c>
      <c r="AJ285">
        <v>1</v>
      </c>
      <c r="AK285">
        <v>15</v>
      </c>
      <c r="AL285" t="s">
        <v>5560</v>
      </c>
      <c r="AM285" t="s">
        <v>5561</v>
      </c>
      <c r="AN285" t="s">
        <v>5562</v>
      </c>
      <c r="AO285" t="s">
        <v>5563</v>
      </c>
      <c r="AP285" t="s">
        <v>5564</v>
      </c>
      <c r="AQ285" t="s">
        <v>74</v>
      </c>
      <c r="AR285" t="s">
        <v>5565</v>
      </c>
      <c r="AS285" t="s">
        <v>5566</v>
      </c>
      <c r="AT285" t="s">
        <v>4386</v>
      </c>
      <c r="AU285">
        <v>2009</v>
      </c>
      <c r="AV285">
        <v>67</v>
      </c>
      <c r="AW285">
        <v>6</v>
      </c>
      <c r="AX285" t="s">
        <v>74</v>
      </c>
      <c r="AY285" t="s">
        <v>74</v>
      </c>
      <c r="AZ285" t="s">
        <v>74</v>
      </c>
      <c r="BA285" t="s">
        <v>74</v>
      </c>
      <c r="BB285">
        <v>815</v>
      </c>
      <c r="BC285">
        <v>843</v>
      </c>
      <c r="BD285" t="s">
        <v>74</v>
      </c>
      <c r="BE285" t="s">
        <v>5567</v>
      </c>
      <c r="BF285" t="str">
        <f>HYPERLINK("http://dx.doi.org/10.1357/002224009792006151","http://dx.doi.org/10.1357/002224009792006151")</f>
        <v>http://dx.doi.org/10.1357/002224009792006151</v>
      </c>
      <c r="BG285" t="s">
        <v>74</v>
      </c>
      <c r="BH285" t="s">
        <v>74</v>
      </c>
      <c r="BI285">
        <v>29</v>
      </c>
      <c r="BJ285" t="s">
        <v>806</v>
      </c>
      <c r="BK285" t="s">
        <v>98</v>
      </c>
      <c r="BL285" t="s">
        <v>806</v>
      </c>
      <c r="BM285" t="s">
        <v>5568</v>
      </c>
      <c r="BN285" t="s">
        <v>74</v>
      </c>
      <c r="BO285" t="s">
        <v>74</v>
      </c>
      <c r="BP285" t="s">
        <v>74</v>
      </c>
      <c r="BQ285" t="s">
        <v>74</v>
      </c>
      <c r="BR285" t="s">
        <v>101</v>
      </c>
      <c r="BS285" t="s">
        <v>5569</v>
      </c>
      <c r="BT285" t="str">
        <f>HYPERLINK("https%3A%2F%2Fwww.webofscience.com%2Fwos%2Fwoscc%2Ffull-record%2FWOS:000280504000005","View Full Record in Web of Science")</f>
        <v>View Full Record in Web of Science</v>
      </c>
    </row>
    <row r="286" spans="1:72" x14ac:dyDescent="0.15">
      <c r="A286" t="s">
        <v>72</v>
      </c>
      <c r="B286" t="s">
        <v>5570</v>
      </c>
      <c r="C286" t="s">
        <v>74</v>
      </c>
      <c r="D286" t="s">
        <v>74</v>
      </c>
      <c r="E286" t="s">
        <v>74</v>
      </c>
      <c r="F286" t="s">
        <v>5571</v>
      </c>
      <c r="G286" t="s">
        <v>74</v>
      </c>
      <c r="H286" t="s">
        <v>74</v>
      </c>
      <c r="I286" t="s">
        <v>5572</v>
      </c>
      <c r="J286" t="s">
        <v>5573</v>
      </c>
      <c r="K286" t="s">
        <v>74</v>
      </c>
      <c r="L286" t="s">
        <v>74</v>
      </c>
      <c r="M286" t="s">
        <v>78</v>
      </c>
      <c r="N286" t="s">
        <v>79</v>
      </c>
      <c r="O286" t="s">
        <v>74</v>
      </c>
      <c r="P286" t="s">
        <v>74</v>
      </c>
      <c r="Q286" t="s">
        <v>74</v>
      </c>
      <c r="R286" t="s">
        <v>74</v>
      </c>
      <c r="S286" t="s">
        <v>74</v>
      </c>
      <c r="T286" t="s">
        <v>5574</v>
      </c>
      <c r="U286" t="s">
        <v>5575</v>
      </c>
      <c r="V286" t="s">
        <v>5576</v>
      </c>
      <c r="W286" t="s">
        <v>5577</v>
      </c>
      <c r="X286" t="s">
        <v>5578</v>
      </c>
      <c r="Y286" t="s">
        <v>5579</v>
      </c>
      <c r="Z286" t="s">
        <v>5580</v>
      </c>
      <c r="AA286" t="s">
        <v>5581</v>
      </c>
      <c r="AB286" t="s">
        <v>5582</v>
      </c>
      <c r="AC286" t="s">
        <v>5583</v>
      </c>
      <c r="AD286" t="s">
        <v>5584</v>
      </c>
      <c r="AE286" t="s">
        <v>5585</v>
      </c>
      <c r="AF286" t="s">
        <v>74</v>
      </c>
      <c r="AG286">
        <v>37</v>
      </c>
      <c r="AH286">
        <v>35</v>
      </c>
      <c r="AI286">
        <v>36</v>
      </c>
      <c r="AJ286">
        <v>2</v>
      </c>
      <c r="AK286">
        <v>35</v>
      </c>
      <c r="AL286" t="s">
        <v>280</v>
      </c>
      <c r="AM286" t="s">
        <v>281</v>
      </c>
      <c r="AN286" t="s">
        <v>282</v>
      </c>
      <c r="AO286" t="s">
        <v>5586</v>
      </c>
      <c r="AP286" t="s">
        <v>74</v>
      </c>
      <c r="AQ286" t="s">
        <v>74</v>
      </c>
      <c r="AR286" t="s">
        <v>5587</v>
      </c>
      <c r="AS286" t="s">
        <v>5588</v>
      </c>
      <c r="AT286" t="s">
        <v>4386</v>
      </c>
      <c r="AU286">
        <v>2009</v>
      </c>
      <c r="AV286">
        <v>78</v>
      </c>
      <c r="AW286">
        <v>4</v>
      </c>
      <c r="AX286" t="s">
        <v>74</v>
      </c>
      <c r="AY286" t="s">
        <v>74</v>
      </c>
      <c r="AZ286" t="s">
        <v>1546</v>
      </c>
      <c r="BA286" t="s">
        <v>74</v>
      </c>
      <c r="BB286">
        <v>505</v>
      </c>
      <c r="BC286">
        <v>510</v>
      </c>
      <c r="BD286" t="s">
        <v>74</v>
      </c>
      <c r="BE286" t="s">
        <v>5589</v>
      </c>
      <c r="BF286" t="str">
        <f>HYPERLINK("http://dx.doi.org/10.1016/j.jmarsys.2008.12.019","http://dx.doi.org/10.1016/j.jmarsys.2008.12.019")</f>
        <v>http://dx.doi.org/10.1016/j.jmarsys.2008.12.019</v>
      </c>
      <c r="BG286" t="s">
        <v>74</v>
      </c>
      <c r="BH286" t="s">
        <v>74</v>
      </c>
      <c r="BI286">
        <v>6</v>
      </c>
      <c r="BJ286" t="s">
        <v>5590</v>
      </c>
      <c r="BK286" t="s">
        <v>98</v>
      </c>
      <c r="BL286" t="s">
        <v>5591</v>
      </c>
      <c r="BM286" t="s">
        <v>5592</v>
      </c>
      <c r="BN286" t="s">
        <v>74</v>
      </c>
      <c r="BO286" t="s">
        <v>74</v>
      </c>
      <c r="BP286" t="s">
        <v>74</v>
      </c>
      <c r="BQ286" t="s">
        <v>74</v>
      </c>
      <c r="BR286" t="s">
        <v>101</v>
      </c>
      <c r="BS286" t="s">
        <v>5593</v>
      </c>
      <c r="BT286" t="str">
        <f>HYPERLINK("https%3A%2F%2Fwww.webofscience.com%2Fwos%2Fwoscc%2Ffull-record%2FWOS:000271984100003","View Full Record in Web of Science")</f>
        <v>View Full Record in Web of Science</v>
      </c>
    </row>
    <row r="287" spans="1:72" x14ac:dyDescent="0.15">
      <c r="A287" t="s">
        <v>72</v>
      </c>
      <c r="B287" t="s">
        <v>5570</v>
      </c>
      <c r="C287" t="s">
        <v>74</v>
      </c>
      <c r="D287" t="s">
        <v>74</v>
      </c>
      <c r="E287" t="s">
        <v>74</v>
      </c>
      <c r="F287" t="s">
        <v>5571</v>
      </c>
      <c r="G287" t="s">
        <v>74</v>
      </c>
      <c r="H287" t="s">
        <v>74</v>
      </c>
      <c r="I287" t="s">
        <v>5594</v>
      </c>
      <c r="J287" t="s">
        <v>5573</v>
      </c>
      <c r="K287" t="s">
        <v>74</v>
      </c>
      <c r="L287" t="s">
        <v>74</v>
      </c>
      <c r="M287" t="s">
        <v>78</v>
      </c>
      <c r="N287" t="s">
        <v>79</v>
      </c>
      <c r="O287" t="s">
        <v>74</v>
      </c>
      <c r="P287" t="s">
        <v>74</v>
      </c>
      <c r="Q287" t="s">
        <v>74</v>
      </c>
      <c r="R287" t="s">
        <v>74</v>
      </c>
      <c r="S287" t="s">
        <v>74</v>
      </c>
      <c r="T287" t="s">
        <v>5595</v>
      </c>
      <c r="U287" t="s">
        <v>5596</v>
      </c>
      <c r="V287" t="s">
        <v>5597</v>
      </c>
      <c r="W287" t="s">
        <v>5577</v>
      </c>
      <c r="X287" t="s">
        <v>5598</v>
      </c>
      <c r="Y287" t="s">
        <v>5579</v>
      </c>
      <c r="Z287" t="s">
        <v>5580</v>
      </c>
      <c r="AA287" t="s">
        <v>5599</v>
      </c>
      <c r="AB287" t="s">
        <v>5582</v>
      </c>
      <c r="AC287" t="s">
        <v>5600</v>
      </c>
      <c r="AD287" t="s">
        <v>5584</v>
      </c>
      <c r="AE287" t="s">
        <v>5601</v>
      </c>
      <c r="AF287" t="s">
        <v>74</v>
      </c>
      <c r="AG287">
        <v>56</v>
      </c>
      <c r="AH287">
        <v>14</v>
      </c>
      <c r="AI287">
        <v>14</v>
      </c>
      <c r="AJ287">
        <v>0</v>
      </c>
      <c r="AK287">
        <v>21</v>
      </c>
      <c r="AL287" t="s">
        <v>280</v>
      </c>
      <c r="AM287" t="s">
        <v>281</v>
      </c>
      <c r="AN287" t="s">
        <v>282</v>
      </c>
      <c r="AO287" t="s">
        <v>5586</v>
      </c>
      <c r="AP287" t="s">
        <v>74</v>
      </c>
      <c r="AQ287" t="s">
        <v>74</v>
      </c>
      <c r="AR287" t="s">
        <v>5587</v>
      </c>
      <c r="AS287" t="s">
        <v>5588</v>
      </c>
      <c r="AT287" t="s">
        <v>4386</v>
      </c>
      <c r="AU287">
        <v>2009</v>
      </c>
      <c r="AV287">
        <v>78</v>
      </c>
      <c r="AW287">
        <v>4</v>
      </c>
      <c r="AX287" t="s">
        <v>74</v>
      </c>
      <c r="AY287" t="s">
        <v>74</v>
      </c>
      <c r="AZ287" t="s">
        <v>74</v>
      </c>
      <c r="BA287" t="s">
        <v>74</v>
      </c>
      <c r="BB287">
        <v>511</v>
      </c>
      <c r="BC287">
        <v>517</v>
      </c>
      <c r="BD287" t="s">
        <v>74</v>
      </c>
      <c r="BE287" t="s">
        <v>5602</v>
      </c>
      <c r="BF287" t="str">
        <f>HYPERLINK("http://dx.doi.org/10.1016/j.jmarsys.2008.12.020","http://dx.doi.org/10.1016/j.jmarsys.2008.12.020")</f>
        <v>http://dx.doi.org/10.1016/j.jmarsys.2008.12.020</v>
      </c>
      <c r="BG287" t="s">
        <v>74</v>
      </c>
      <c r="BH287" t="s">
        <v>74</v>
      </c>
      <c r="BI287">
        <v>7</v>
      </c>
      <c r="BJ287" t="s">
        <v>5590</v>
      </c>
      <c r="BK287" t="s">
        <v>98</v>
      </c>
      <c r="BL287" t="s">
        <v>5591</v>
      </c>
      <c r="BM287" t="s">
        <v>5592</v>
      </c>
      <c r="BN287" t="s">
        <v>74</v>
      </c>
      <c r="BO287" t="s">
        <v>74</v>
      </c>
      <c r="BP287" t="s">
        <v>74</v>
      </c>
      <c r="BQ287" t="s">
        <v>74</v>
      </c>
      <c r="BR287" t="s">
        <v>101</v>
      </c>
      <c r="BS287" t="s">
        <v>5603</v>
      </c>
      <c r="BT287" t="str">
        <f>HYPERLINK("https%3A%2F%2Fwww.webofscience.com%2Fwos%2Fwoscc%2Ffull-record%2FWOS:000271984100004","View Full Record in Web of Science")</f>
        <v>View Full Record in Web of Science</v>
      </c>
    </row>
    <row r="288" spans="1:72" x14ac:dyDescent="0.15">
      <c r="A288" t="s">
        <v>72</v>
      </c>
      <c r="B288" t="s">
        <v>5604</v>
      </c>
      <c r="C288" t="s">
        <v>74</v>
      </c>
      <c r="D288" t="s">
        <v>74</v>
      </c>
      <c r="E288" t="s">
        <v>74</v>
      </c>
      <c r="F288" t="s">
        <v>5605</v>
      </c>
      <c r="G288" t="s">
        <v>74</v>
      </c>
      <c r="H288" t="s">
        <v>74</v>
      </c>
      <c r="I288" t="s">
        <v>5606</v>
      </c>
      <c r="J288" t="s">
        <v>5573</v>
      </c>
      <c r="K288" t="s">
        <v>74</v>
      </c>
      <c r="L288" t="s">
        <v>74</v>
      </c>
      <c r="M288" t="s">
        <v>78</v>
      </c>
      <c r="N288" t="s">
        <v>79</v>
      </c>
      <c r="O288" t="s">
        <v>74</v>
      </c>
      <c r="P288" t="s">
        <v>74</v>
      </c>
      <c r="Q288" t="s">
        <v>74</v>
      </c>
      <c r="R288" t="s">
        <v>74</v>
      </c>
      <c r="S288" t="s">
        <v>74</v>
      </c>
      <c r="T288" t="s">
        <v>5607</v>
      </c>
      <c r="U288" t="s">
        <v>5608</v>
      </c>
      <c r="V288" t="s">
        <v>5609</v>
      </c>
      <c r="W288" t="s">
        <v>5610</v>
      </c>
      <c r="X288" t="s">
        <v>5611</v>
      </c>
      <c r="Y288" t="s">
        <v>5612</v>
      </c>
      <c r="Z288" t="s">
        <v>5613</v>
      </c>
      <c r="AA288" t="s">
        <v>74</v>
      </c>
      <c r="AB288" t="s">
        <v>74</v>
      </c>
      <c r="AC288" t="s">
        <v>74</v>
      </c>
      <c r="AD288" t="s">
        <v>74</v>
      </c>
      <c r="AE288" t="s">
        <v>74</v>
      </c>
      <c r="AF288" t="s">
        <v>74</v>
      </c>
      <c r="AG288">
        <v>33</v>
      </c>
      <c r="AH288">
        <v>29</v>
      </c>
      <c r="AI288">
        <v>36</v>
      </c>
      <c r="AJ288">
        <v>0</v>
      </c>
      <c r="AK288">
        <v>34</v>
      </c>
      <c r="AL288" t="s">
        <v>280</v>
      </c>
      <c r="AM288" t="s">
        <v>281</v>
      </c>
      <c r="AN288" t="s">
        <v>282</v>
      </c>
      <c r="AO288" t="s">
        <v>5586</v>
      </c>
      <c r="AP288" t="s">
        <v>5614</v>
      </c>
      <c r="AQ288" t="s">
        <v>74</v>
      </c>
      <c r="AR288" t="s">
        <v>5587</v>
      </c>
      <c r="AS288" t="s">
        <v>5588</v>
      </c>
      <c r="AT288" t="s">
        <v>4386</v>
      </c>
      <c r="AU288">
        <v>2009</v>
      </c>
      <c r="AV288">
        <v>78</v>
      </c>
      <c r="AW288">
        <v>4</v>
      </c>
      <c r="AX288" t="s">
        <v>74</v>
      </c>
      <c r="AY288" t="s">
        <v>74</v>
      </c>
      <c r="AZ288" t="s">
        <v>1546</v>
      </c>
      <c r="BA288" t="s">
        <v>74</v>
      </c>
      <c r="BB288">
        <v>518</v>
      </c>
      <c r="BC288">
        <v>524</v>
      </c>
      <c r="BD288" t="s">
        <v>74</v>
      </c>
      <c r="BE288" t="s">
        <v>5615</v>
      </c>
      <c r="BF288" t="str">
        <f>HYPERLINK("http://dx.doi.org/10.1016/j.jmarsys.2008.12.021","http://dx.doi.org/10.1016/j.jmarsys.2008.12.021")</f>
        <v>http://dx.doi.org/10.1016/j.jmarsys.2008.12.021</v>
      </c>
      <c r="BG288" t="s">
        <v>74</v>
      </c>
      <c r="BH288" t="s">
        <v>74</v>
      </c>
      <c r="BI288">
        <v>7</v>
      </c>
      <c r="BJ288" t="s">
        <v>5590</v>
      </c>
      <c r="BK288" t="s">
        <v>98</v>
      </c>
      <c r="BL288" t="s">
        <v>5591</v>
      </c>
      <c r="BM288" t="s">
        <v>5592</v>
      </c>
      <c r="BN288" t="s">
        <v>74</v>
      </c>
      <c r="BO288" t="s">
        <v>74</v>
      </c>
      <c r="BP288" t="s">
        <v>74</v>
      </c>
      <c r="BQ288" t="s">
        <v>74</v>
      </c>
      <c r="BR288" t="s">
        <v>101</v>
      </c>
      <c r="BS288" t="s">
        <v>5616</v>
      </c>
      <c r="BT288" t="str">
        <f>HYPERLINK("https%3A%2F%2Fwww.webofscience.com%2Fwos%2Fwoscc%2Ffull-record%2FWOS:000271984100005","View Full Record in Web of Science")</f>
        <v>View Full Record in Web of Science</v>
      </c>
    </row>
    <row r="289" spans="1:72" x14ac:dyDescent="0.15">
      <c r="A289" t="s">
        <v>72</v>
      </c>
      <c r="B289" t="s">
        <v>5617</v>
      </c>
      <c r="C289" t="s">
        <v>74</v>
      </c>
      <c r="D289" t="s">
        <v>74</v>
      </c>
      <c r="E289" t="s">
        <v>74</v>
      </c>
      <c r="F289" t="s">
        <v>5618</v>
      </c>
      <c r="G289" t="s">
        <v>74</v>
      </c>
      <c r="H289" t="s">
        <v>74</v>
      </c>
      <c r="I289" t="s">
        <v>5619</v>
      </c>
      <c r="J289" t="s">
        <v>5573</v>
      </c>
      <c r="K289" t="s">
        <v>74</v>
      </c>
      <c r="L289" t="s">
        <v>74</v>
      </c>
      <c r="M289" t="s">
        <v>78</v>
      </c>
      <c r="N289" t="s">
        <v>79</v>
      </c>
      <c r="O289" t="s">
        <v>74</v>
      </c>
      <c r="P289" t="s">
        <v>74</v>
      </c>
      <c r="Q289" t="s">
        <v>74</v>
      </c>
      <c r="R289" t="s">
        <v>74</v>
      </c>
      <c r="S289" t="s">
        <v>74</v>
      </c>
      <c r="T289" t="s">
        <v>5620</v>
      </c>
      <c r="U289" t="s">
        <v>5621</v>
      </c>
      <c r="V289" t="s">
        <v>5622</v>
      </c>
      <c r="W289" t="s">
        <v>5623</v>
      </c>
      <c r="X289" t="s">
        <v>5624</v>
      </c>
      <c r="Y289" t="s">
        <v>5625</v>
      </c>
      <c r="Z289" t="s">
        <v>5613</v>
      </c>
      <c r="AA289" t="s">
        <v>74</v>
      </c>
      <c r="AB289" t="s">
        <v>5626</v>
      </c>
      <c r="AC289" t="s">
        <v>5627</v>
      </c>
      <c r="AD289" t="s">
        <v>5628</v>
      </c>
      <c r="AE289" t="s">
        <v>5629</v>
      </c>
      <c r="AF289" t="s">
        <v>74</v>
      </c>
      <c r="AG289">
        <v>44</v>
      </c>
      <c r="AH289">
        <v>10</v>
      </c>
      <c r="AI289">
        <v>12</v>
      </c>
      <c r="AJ289">
        <v>0</v>
      </c>
      <c r="AK289">
        <v>14</v>
      </c>
      <c r="AL289" t="s">
        <v>280</v>
      </c>
      <c r="AM289" t="s">
        <v>281</v>
      </c>
      <c r="AN289" t="s">
        <v>282</v>
      </c>
      <c r="AO289" t="s">
        <v>5586</v>
      </c>
      <c r="AP289" t="s">
        <v>5614</v>
      </c>
      <c r="AQ289" t="s">
        <v>74</v>
      </c>
      <c r="AR289" t="s">
        <v>5587</v>
      </c>
      <c r="AS289" t="s">
        <v>5588</v>
      </c>
      <c r="AT289" t="s">
        <v>4386</v>
      </c>
      <c r="AU289">
        <v>2009</v>
      </c>
      <c r="AV289">
        <v>78</v>
      </c>
      <c r="AW289">
        <v>4</v>
      </c>
      <c r="AX289" t="s">
        <v>74</v>
      </c>
      <c r="AY289" t="s">
        <v>74</v>
      </c>
      <c r="AZ289" t="s">
        <v>1546</v>
      </c>
      <c r="BA289" t="s">
        <v>74</v>
      </c>
      <c r="BB289">
        <v>525</v>
      </c>
      <c r="BC289">
        <v>535</v>
      </c>
      <c r="BD289" t="s">
        <v>74</v>
      </c>
      <c r="BE289" t="s">
        <v>5630</v>
      </c>
      <c r="BF289" t="str">
        <f>HYPERLINK("http://dx.doi.org/10.1016/j.jmarsys.2008.12.022","http://dx.doi.org/10.1016/j.jmarsys.2008.12.022")</f>
        <v>http://dx.doi.org/10.1016/j.jmarsys.2008.12.022</v>
      </c>
      <c r="BG289" t="s">
        <v>74</v>
      </c>
      <c r="BH289" t="s">
        <v>74</v>
      </c>
      <c r="BI289">
        <v>11</v>
      </c>
      <c r="BJ289" t="s">
        <v>5590</v>
      </c>
      <c r="BK289" t="s">
        <v>98</v>
      </c>
      <c r="BL289" t="s">
        <v>5591</v>
      </c>
      <c r="BM289" t="s">
        <v>5592</v>
      </c>
      <c r="BN289" t="s">
        <v>74</v>
      </c>
      <c r="BO289" t="s">
        <v>74</v>
      </c>
      <c r="BP289" t="s">
        <v>74</v>
      </c>
      <c r="BQ289" t="s">
        <v>74</v>
      </c>
      <c r="BR289" t="s">
        <v>101</v>
      </c>
      <c r="BS289" t="s">
        <v>5631</v>
      </c>
      <c r="BT289" t="str">
        <f>HYPERLINK("https%3A%2F%2Fwww.webofscience.com%2Fwos%2Fwoscc%2Ffull-record%2FWOS:000271984100006","View Full Record in Web of Science")</f>
        <v>View Full Record in Web of Science</v>
      </c>
    </row>
    <row r="290" spans="1:72" x14ac:dyDescent="0.15">
      <c r="A290" t="s">
        <v>72</v>
      </c>
      <c r="B290" t="s">
        <v>5632</v>
      </c>
      <c r="C290" t="s">
        <v>74</v>
      </c>
      <c r="D290" t="s">
        <v>74</v>
      </c>
      <c r="E290" t="s">
        <v>74</v>
      </c>
      <c r="F290" t="s">
        <v>5633</v>
      </c>
      <c r="G290" t="s">
        <v>74</v>
      </c>
      <c r="H290" t="s">
        <v>74</v>
      </c>
      <c r="I290" t="s">
        <v>5634</v>
      </c>
      <c r="J290" t="s">
        <v>5573</v>
      </c>
      <c r="K290" t="s">
        <v>74</v>
      </c>
      <c r="L290" t="s">
        <v>74</v>
      </c>
      <c r="M290" t="s">
        <v>78</v>
      </c>
      <c r="N290" t="s">
        <v>297</v>
      </c>
      <c r="O290" t="s">
        <v>74</v>
      </c>
      <c r="P290" t="s">
        <v>74</v>
      </c>
      <c r="Q290" t="s">
        <v>74</v>
      </c>
      <c r="R290" t="s">
        <v>74</v>
      </c>
      <c r="S290" t="s">
        <v>74</v>
      </c>
      <c r="T290" t="s">
        <v>5635</v>
      </c>
      <c r="U290" t="s">
        <v>5636</v>
      </c>
      <c r="V290" t="s">
        <v>5637</v>
      </c>
      <c r="W290" t="s">
        <v>5638</v>
      </c>
      <c r="X290" t="s">
        <v>5639</v>
      </c>
      <c r="Y290" t="s">
        <v>5640</v>
      </c>
      <c r="Z290" t="s">
        <v>5641</v>
      </c>
      <c r="AA290" t="s">
        <v>5642</v>
      </c>
      <c r="AB290" t="s">
        <v>5643</v>
      </c>
      <c r="AC290" t="s">
        <v>5644</v>
      </c>
      <c r="AD290" t="s">
        <v>5644</v>
      </c>
      <c r="AE290" t="s">
        <v>5645</v>
      </c>
      <c r="AF290" t="s">
        <v>74</v>
      </c>
      <c r="AG290">
        <v>122</v>
      </c>
      <c r="AH290">
        <v>26</v>
      </c>
      <c r="AI290">
        <v>26</v>
      </c>
      <c r="AJ290">
        <v>0</v>
      </c>
      <c r="AK290">
        <v>26</v>
      </c>
      <c r="AL290" t="s">
        <v>305</v>
      </c>
      <c r="AM290" t="s">
        <v>281</v>
      </c>
      <c r="AN290" t="s">
        <v>306</v>
      </c>
      <c r="AO290" t="s">
        <v>5586</v>
      </c>
      <c r="AP290" t="s">
        <v>5614</v>
      </c>
      <c r="AQ290" t="s">
        <v>74</v>
      </c>
      <c r="AR290" t="s">
        <v>5587</v>
      </c>
      <c r="AS290" t="s">
        <v>5588</v>
      </c>
      <c r="AT290" t="s">
        <v>4386</v>
      </c>
      <c r="AU290">
        <v>2009</v>
      </c>
      <c r="AV290">
        <v>78</v>
      </c>
      <c r="AW290">
        <v>4</v>
      </c>
      <c r="AX290" t="s">
        <v>74</v>
      </c>
      <c r="AY290" t="s">
        <v>74</v>
      </c>
      <c r="AZ290" t="s">
        <v>1546</v>
      </c>
      <c r="BA290" t="s">
        <v>74</v>
      </c>
      <c r="BB290">
        <v>547</v>
      </c>
      <c r="BC290">
        <v>556</v>
      </c>
      <c r="BD290" t="s">
        <v>74</v>
      </c>
      <c r="BE290" t="s">
        <v>5646</v>
      </c>
      <c r="BF290" t="str">
        <f>HYPERLINK("http://dx.doi.org/10.1016/j.jmarsys.2008.12.024","http://dx.doi.org/10.1016/j.jmarsys.2008.12.024")</f>
        <v>http://dx.doi.org/10.1016/j.jmarsys.2008.12.024</v>
      </c>
      <c r="BG290" t="s">
        <v>74</v>
      </c>
      <c r="BH290" t="s">
        <v>74</v>
      </c>
      <c r="BI290">
        <v>10</v>
      </c>
      <c r="BJ290" t="s">
        <v>5590</v>
      </c>
      <c r="BK290" t="s">
        <v>98</v>
      </c>
      <c r="BL290" t="s">
        <v>5591</v>
      </c>
      <c r="BM290" t="s">
        <v>5592</v>
      </c>
      <c r="BN290" t="s">
        <v>74</v>
      </c>
      <c r="BO290" t="s">
        <v>74</v>
      </c>
      <c r="BP290" t="s">
        <v>74</v>
      </c>
      <c r="BQ290" t="s">
        <v>74</v>
      </c>
      <c r="BR290" t="s">
        <v>101</v>
      </c>
      <c r="BS290" t="s">
        <v>5647</v>
      </c>
      <c r="BT290" t="str">
        <f>HYPERLINK("https%3A%2F%2Fwww.webofscience.com%2Fwos%2Fwoscc%2Ffull-record%2FWOS:000271984100008","View Full Record in Web of Science")</f>
        <v>View Full Record in Web of Science</v>
      </c>
    </row>
    <row r="291" spans="1:72" x14ac:dyDescent="0.15">
      <c r="A291" t="s">
        <v>72</v>
      </c>
      <c r="B291" t="s">
        <v>5648</v>
      </c>
      <c r="C291" t="s">
        <v>74</v>
      </c>
      <c r="D291" t="s">
        <v>74</v>
      </c>
      <c r="E291" t="s">
        <v>74</v>
      </c>
      <c r="F291" t="s">
        <v>5649</v>
      </c>
      <c r="G291" t="s">
        <v>74</v>
      </c>
      <c r="H291" t="s">
        <v>74</v>
      </c>
      <c r="I291" t="s">
        <v>5650</v>
      </c>
      <c r="J291" t="s">
        <v>5651</v>
      </c>
      <c r="K291" t="s">
        <v>74</v>
      </c>
      <c r="L291" t="s">
        <v>74</v>
      </c>
      <c r="M291" t="s">
        <v>78</v>
      </c>
      <c r="N291" t="s">
        <v>79</v>
      </c>
      <c r="O291" t="s">
        <v>74</v>
      </c>
      <c r="P291" t="s">
        <v>74</v>
      </c>
      <c r="Q291" t="s">
        <v>74</v>
      </c>
      <c r="R291" t="s">
        <v>74</v>
      </c>
      <c r="S291" t="s">
        <v>74</v>
      </c>
      <c r="T291" t="s">
        <v>5652</v>
      </c>
      <c r="U291" t="s">
        <v>5653</v>
      </c>
      <c r="V291" t="s">
        <v>5654</v>
      </c>
      <c r="W291" t="s">
        <v>5655</v>
      </c>
      <c r="X291" t="s">
        <v>5656</v>
      </c>
      <c r="Y291" t="s">
        <v>5657</v>
      </c>
      <c r="Z291" t="s">
        <v>5658</v>
      </c>
      <c r="AA291" t="s">
        <v>5659</v>
      </c>
      <c r="AB291" t="s">
        <v>5660</v>
      </c>
      <c r="AC291" t="s">
        <v>5661</v>
      </c>
      <c r="AD291" t="s">
        <v>5662</v>
      </c>
      <c r="AE291" t="s">
        <v>5663</v>
      </c>
      <c r="AF291" t="s">
        <v>74</v>
      </c>
      <c r="AG291">
        <v>81</v>
      </c>
      <c r="AH291">
        <v>39</v>
      </c>
      <c r="AI291">
        <v>45</v>
      </c>
      <c r="AJ291">
        <v>0</v>
      </c>
      <c r="AK291">
        <v>11</v>
      </c>
      <c r="AL291" t="s">
        <v>2171</v>
      </c>
      <c r="AM291" t="s">
        <v>1895</v>
      </c>
      <c r="AN291" t="s">
        <v>2172</v>
      </c>
      <c r="AO291" t="s">
        <v>5664</v>
      </c>
      <c r="AP291" t="s">
        <v>5665</v>
      </c>
      <c r="AQ291" t="s">
        <v>74</v>
      </c>
      <c r="AR291" t="s">
        <v>5666</v>
      </c>
      <c r="AS291" t="s">
        <v>5667</v>
      </c>
      <c r="AT291" t="s">
        <v>4386</v>
      </c>
      <c r="AU291">
        <v>2009</v>
      </c>
      <c r="AV291">
        <v>50</v>
      </c>
      <c r="AW291">
        <v>11</v>
      </c>
      <c r="AX291" t="s">
        <v>74</v>
      </c>
      <c r="AY291" t="s">
        <v>74</v>
      </c>
      <c r="AZ291" t="s">
        <v>74</v>
      </c>
      <c r="BA291" t="s">
        <v>74</v>
      </c>
      <c r="BB291">
        <v>2017</v>
      </c>
      <c r="BC291">
        <v>2041</v>
      </c>
      <c r="BD291" t="s">
        <v>74</v>
      </c>
      <c r="BE291" t="s">
        <v>5668</v>
      </c>
      <c r="BF291" t="str">
        <f>HYPERLINK("http://dx.doi.org/10.1093/petrology/egp065","http://dx.doi.org/10.1093/petrology/egp065")</f>
        <v>http://dx.doi.org/10.1093/petrology/egp065</v>
      </c>
      <c r="BG291" t="s">
        <v>74</v>
      </c>
      <c r="BH291" t="s">
        <v>74</v>
      </c>
      <c r="BI291">
        <v>25</v>
      </c>
      <c r="BJ291" t="s">
        <v>261</v>
      </c>
      <c r="BK291" t="s">
        <v>98</v>
      </c>
      <c r="BL291" t="s">
        <v>261</v>
      </c>
      <c r="BM291" t="s">
        <v>5669</v>
      </c>
      <c r="BN291" t="s">
        <v>74</v>
      </c>
      <c r="BO291" t="s">
        <v>263</v>
      </c>
      <c r="BP291" t="s">
        <v>74</v>
      </c>
      <c r="BQ291" t="s">
        <v>74</v>
      </c>
      <c r="BR291" t="s">
        <v>101</v>
      </c>
      <c r="BS291" t="s">
        <v>5670</v>
      </c>
      <c r="BT291" t="str">
        <f>HYPERLINK("https%3A%2F%2Fwww.webofscience.com%2Fwos%2Fwoscc%2Ffull-record%2FWOS:000272086500002","View Full Record in Web of Science")</f>
        <v>View Full Record in Web of Science</v>
      </c>
    </row>
    <row r="292" spans="1:72" x14ac:dyDescent="0.15">
      <c r="A292" t="s">
        <v>72</v>
      </c>
      <c r="B292" t="s">
        <v>5671</v>
      </c>
      <c r="C292" t="s">
        <v>74</v>
      </c>
      <c r="D292" t="s">
        <v>74</v>
      </c>
      <c r="E292" t="s">
        <v>74</v>
      </c>
      <c r="F292" t="s">
        <v>5672</v>
      </c>
      <c r="G292" t="s">
        <v>74</v>
      </c>
      <c r="H292" t="s">
        <v>74</v>
      </c>
      <c r="I292" t="s">
        <v>5673</v>
      </c>
      <c r="J292" t="s">
        <v>2553</v>
      </c>
      <c r="K292" t="s">
        <v>74</v>
      </c>
      <c r="L292" t="s">
        <v>74</v>
      </c>
      <c r="M292" t="s">
        <v>78</v>
      </c>
      <c r="N292" t="s">
        <v>79</v>
      </c>
      <c r="O292" t="s">
        <v>74</v>
      </c>
      <c r="P292" t="s">
        <v>74</v>
      </c>
      <c r="Q292" t="s">
        <v>74</v>
      </c>
      <c r="R292" t="s">
        <v>74</v>
      </c>
      <c r="S292" t="s">
        <v>74</v>
      </c>
      <c r="T292" t="s">
        <v>74</v>
      </c>
      <c r="U292" t="s">
        <v>5674</v>
      </c>
      <c r="V292" t="s">
        <v>5675</v>
      </c>
      <c r="W292" t="s">
        <v>5676</v>
      </c>
      <c r="X292" t="s">
        <v>5677</v>
      </c>
      <c r="Y292" t="s">
        <v>5678</v>
      </c>
      <c r="Z292" t="s">
        <v>5679</v>
      </c>
      <c r="AA292" t="s">
        <v>5680</v>
      </c>
      <c r="AB292" t="s">
        <v>5681</v>
      </c>
      <c r="AC292" t="s">
        <v>5682</v>
      </c>
      <c r="AD292" t="s">
        <v>5683</v>
      </c>
      <c r="AE292" t="s">
        <v>5684</v>
      </c>
      <c r="AF292" t="s">
        <v>74</v>
      </c>
      <c r="AG292">
        <v>78</v>
      </c>
      <c r="AH292">
        <v>43</v>
      </c>
      <c r="AI292">
        <v>46</v>
      </c>
      <c r="AJ292">
        <v>0</v>
      </c>
      <c r="AK292">
        <v>17</v>
      </c>
      <c r="AL292" t="s">
        <v>2397</v>
      </c>
      <c r="AM292" t="s">
        <v>2398</v>
      </c>
      <c r="AN292" t="s">
        <v>2399</v>
      </c>
      <c r="AO292" t="s">
        <v>2565</v>
      </c>
      <c r="AP292" t="s">
        <v>2566</v>
      </c>
      <c r="AQ292" t="s">
        <v>74</v>
      </c>
      <c r="AR292" t="s">
        <v>2567</v>
      </c>
      <c r="AS292" t="s">
        <v>2568</v>
      </c>
      <c r="AT292" t="s">
        <v>4386</v>
      </c>
      <c r="AU292">
        <v>2009</v>
      </c>
      <c r="AV292">
        <v>39</v>
      </c>
      <c r="AW292">
        <v>11</v>
      </c>
      <c r="AX292" t="s">
        <v>74</v>
      </c>
      <c r="AY292" t="s">
        <v>74</v>
      </c>
      <c r="AZ292" t="s">
        <v>74</v>
      </c>
      <c r="BA292" t="s">
        <v>74</v>
      </c>
      <c r="BB292">
        <v>2711</v>
      </c>
      <c r="BC292">
        <v>2734</v>
      </c>
      <c r="BD292" t="s">
        <v>74</v>
      </c>
      <c r="BE292" t="s">
        <v>5685</v>
      </c>
      <c r="BF292" t="str">
        <f>HYPERLINK("http://dx.doi.org/10.1175/2009JPO4093.1","http://dx.doi.org/10.1175/2009JPO4093.1")</f>
        <v>http://dx.doi.org/10.1175/2009JPO4093.1</v>
      </c>
      <c r="BG292" t="s">
        <v>74</v>
      </c>
      <c r="BH292" t="s">
        <v>74</v>
      </c>
      <c r="BI292">
        <v>24</v>
      </c>
      <c r="BJ292" t="s">
        <v>806</v>
      </c>
      <c r="BK292" t="s">
        <v>98</v>
      </c>
      <c r="BL292" t="s">
        <v>806</v>
      </c>
      <c r="BM292" t="s">
        <v>5686</v>
      </c>
      <c r="BN292" t="s">
        <v>74</v>
      </c>
      <c r="BO292" t="s">
        <v>4550</v>
      </c>
      <c r="BP292" t="s">
        <v>74</v>
      </c>
      <c r="BQ292" t="s">
        <v>74</v>
      </c>
      <c r="BR292" t="s">
        <v>101</v>
      </c>
      <c r="BS292" t="s">
        <v>5687</v>
      </c>
      <c r="BT292" t="str">
        <f>HYPERLINK("https%3A%2F%2Fwww.webofscience.com%2Fwos%2Fwoscc%2Ffull-record%2FWOS:000271912200002","View Full Record in Web of Science")</f>
        <v>View Full Record in Web of Science</v>
      </c>
    </row>
    <row r="293" spans="1:72" x14ac:dyDescent="0.15">
      <c r="A293" t="s">
        <v>72</v>
      </c>
      <c r="B293" t="s">
        <v>5688</v>
      </c>
      <c r="C293" t="s">
        <v>74</v>
      </c>
      <c r="D293" t="s">
        <v>74</v>
      </c>
      <c r="E293" t="s">
        <v>74</v>
      </c>
      <c r="F293" t="s">
        <v>5689</v>
      </c>
      <c r="G293" t="s">
        <v>74</v>
      </c>
      <c r="H293" t="s">
        <v>74</v>
      </c>
      <c r="I293" t="s">
        <v>5690</v>
      </c>
      <c r="J293" t="s">
        <v>2553</v>
      </c>
      <c r="K293" t="s">
        <v>74</v>
      </c>
      <c r="L293" t="s">
        <v>74</v>
      </c>
      <c r="M293" t="s">
        <v>78</v>
      </c>
      <c r="N293" t="s">
        <v>79</v>
      </c>
      <c r="O293" t="s">
        <v>74</v>
      </c>
      <c r="P293" t="s">
        <v>74</v>
      </c>
      <c r="Q293" t="s">
        <v>74</v>
      </c>
      <c r="R293" t="s">
        <v>74</v>
      </c>
      <c r="S293" t="s">
        <v>74</v>
      </c>
      <c r="T293" t="s">
        <v>74</v>
      </c>
      <c r="U293" t="s">
        <v>5691</v>
      </c>
      <c r="V293" t="s">
        <v>5692</v>
      </c>
      <c r="W293" t="s">
        <v>5693</v>
      </c>
      <c r="X293" t="s">
        <v>5694</v>
      </c>
      <c r="Y293" t="s">
        <v>5695</v>
      </c>
      <c r="Z293" t="s">
        <v>5696</v>
      </c>
      <c r="AA293" t="s">
        <v>5697</v>
      </c>
      <c r="AB293" t="s">
        <v>5698</v>
      </c>
      <c r="AC293" t="s">
        <v>5699</v>
      </c>
      <c r="AD293" t="s">
        <v>5700</v>
      </c>
      <c r="AE293" t="s">
        <v>5701</v>
      </c>
      <c r="AF293" t="s">
        <v>74</v>
      </c>
      <c r="AG293">
        <v>22</v>
      </c>
      <c r="AH293">
        <v>10</v>
      </c>
      <c r="AI293">
        <v>11</v>
      </c>
      <c r="AJ293">
        <v>0</v>
      </c>
      <c r="AK293">
        <v>6</v>
      </c>
      <c r="AL293" t="s">
        <v>2397</v>
      </c>
      <c r="AM293" t="s">
        <v>2398</v>
      </c>
      <c r="AN293" t="s">
        <v>2399</v>
      </c>
      <c r="AO293" t="s">
        <v>2565</v>
      </c>
      <c r="AP293" t="s">
        <v>74</v>
      </c>
      <c r="AQ293" t="s">
        <v>74</v>
      </c>
      <c r="AR293" t="s">
        <v>2567</v>
      </c>
      <c r="AS293" t="s">
        <v>2568</v>
      </c>
      <c r="AT293" t="s">
        <v>4386</v>
      </c>
      <c r="AU293">
        <v>2009</v>
      </c>
      <c r="AV293">
        <v>39</v>
      </c>
      <c r="AW293">
        <v>11</v>
      </c>
      <c r="AX293" t="s">
        <v>74</v>
      </c>
      <c r="AY293" t="s">
        <v>74</v>
      </c>
      <c r="AZ293" t="s">
        <v>74</v>
      </c>
      <c r="BA293" t="s">
        <v>74</v>
      </c>
      <c r="BB293">
        <v>2893</v>
      </c>
      <c r="BC293">
        <v>2909</v>
      </c>
      <c r="BD293" t="s">
        <v>74</v>
      </c>
      <c r="BE293" t="s">
        <v>5702</v>
      </c>
      <c r="BF293" t="str">
        <f>HYPERLINK("http://dx.doi.org/10.1175/2009JPO4209.1","http://dx.doi.org/10.1175/2009JPO4209.1")</f>
        <v>http://dx.doi.org/10.1175/2009JPO4209.1</v>
      </c>
      <c r="BG293" t="s">
        <v>74</v>
      </c>
      <c r="BH293" t="s">
        <v>74</v>
      </c>
      <c r="BI293">
        <v>17</v>
      </c>
      <c r="BJ293" t="s">
        <v>806</v>
      </c>
      <c r="BK293" t="s">
        <v>98</v>
      </c>
      <c r="BL293" t="s">
        <v>806</v>
      </c>
      <c r="BM293" t="s">
        <v>5686</v>
      </c>
      <c r="BN293" t="s">
        <v>74</v>
      </c>
      <c r="BO293" t="s">
        <v>4550</v>
      </c>
      <c r="BP293" t="s">
        <v>74</v>
      </c>
      <c r="BQ293" t="s">
        <v>74</v>
      </c>
      <c r="BR293" t="s">
        <v>101</v>
      </c>
      <c r="BS293" t="s">
        <v>5703</v>
      </c>
      <c r="BT293" t="str">
        <f>HYPERLINK("https%3A%2F%2Fwww.webofscience.com%2Fwos%2Fwoscc%2Ffull-record%2FWOS:000271912200011","View Full Record in Web of Science")</f>
        <v>View Full Record in Web of Science</v>
      </c>
    </row>
    <row r="294" spans="1:72" x14ac:dyDescent="0.15">
      <c r="A294" t="s">
        <v>72</v>
      </c>
      <c r="B294" t="s">
        <v>5704</v>
      </c>
      <c r="C294" t="s">
        <v>74</v>
      </c>
      <c r="D294" t="s">
        <v>74</v>
      </c>
      <c r="E294" t="s">
        <v>74</v>
      </c>
      <c r="F294" t="s">
        <v>5705</v>
      </c>
      <c r="G294" t="s">
        <v>74</v>
      </c>
      <c r="H294" t="s">
        <v>74</v>
      </c>
      <c r="I294" t="s">
        <v>5706</v>
      </c>
      <c r="J294" t="s">
        <v>2553</v>
      </c>
      <c r="K294" t="s">
        <v>74</v>
      </c>
      <c r="L294" t="s">
        <v>74</v>
      </c>
      <c r="M294" t="s">
        <v>78</v>
      </c>
      <c r="N294" t="s">
        <v>79</v>
      </c>
      <c r="O294" t="s">
        <v>74</v>
      </c>
      <c r="P294" t="s">
        <v>74</v>
      </c>
      <c r="Q294" t="s">
        <v>74</v>
      </c>
      <c r="R294" t="s">
        <v>74</v>
      </c>
      <c r="S294" t="s">
        <v>74</v>
      </c>
      <c r="T294" t="s">
        <v>74</v>
      </c>
      <c r="U294" t="s">
        <v>5707</v>
      </c>
      <c r="V294" t="s">
        <v>5708</v>
      </c>
      <c r="W294" t="s">
        <v>5709</v>
      </c>
      <c r="X294" t="s">
        <v>5710</v>
      </c>
      <c r="Y294" t="s">
        <v>5711</v>
      </c>
      <c r="Z294" t="s">
        <v>5712</v>
      </c>
      <c r="AA294" t="s">
        <v>5713</v>
      </c>
      <c r="AB294" t="s">
        <v>5714</v>
      </c>
      <c r="AC294" t="s">
        <v>5715</v>
      </c>
      <c r="AD294" t="s">
        <v>5716</v>
      </c>
      <c r="AE294" t="s">
        <v>5717</v>
      </c>
      <c r="AF294" t="s">
        <v>74</v>
      </c>
      <c r="AG294">
        <v>33</v>
      </c>
      <c r="AH294">
        <v>37</v>
      </c>
      <c r="AI294">
        <v>39</v>
      </c>
      <c r="AJ294">
        <v>0</v>
      </c>
      <c r="AK294">
        <v>11</v>
      </c>
      <c r="AL294" t="s">
        <v>2397</v>
      </c>
      <c r="AM294" t="s">
        <v>2398</v>
      </c>
      <c r="AN294" t="s">
        <v>2399</v>
      </c>
      <c r="AO294" t="s">
        <v>2565</v>
      </c>
      <c r="AP294" t="s">
        <v>2566</v>
      </c>
      <c r="AQ294" t="s">
        <v>74</v>
      </c>
      <c r="AR294" t="s">
        <v>2567</v>
      </c>
      <c r="AS294" t="s">
        <v>2568</v>
      </c>
      <c r="AT294" t="s">
        <v>4386</v>
      </c>
      <c r="AU294">
        <v>2009</v>
      </c>
      <c r="AV294">
        <v>39</v>
      </c>
      <c r="AW294">
        <v>11</v>
      </c>
      <c r="AX294" t="s">
        <v>74</v>
      </c>
      <c r="AY294" t="s">
        <v>74</v>
      </c>
      <c r="AZ294" t="s">
        <v>74</v>
      </c>
      <c r="BA294" t="s">
        <v>74</v>
      </c>
      <c r="BB294">
        <v>2926</v>
      </c>
      <c r="BC294">
        <v>2940</v>
      </c>
      <c r="BD294" t="s">
        <v>74</v>
      </c>
      <c r="BE294" t="s">
        <v>5718</v>
      </c>
      <c r="BF294" t="str">
        <f>HYPERLINK("http://dx.doi.org/10.1175/2009JPO4052.1","http://dx.doi.org/10.1175/2009JPO4052.1")</f>
        <v>http://dx.doi.org/10.1175/2009JPO4052.1</v>
      </c>
      <c r="BG294" t="s">
        <v>74</v>
      </c>
      <c r="BH294" t="s">
        <v>74</v>
      </c>
      <c r="BI294">
        <v>15</v>
      </c>
      <c r="BJ294" t="s">
        <v>806</v>
      </c>
      <c r="BK294" t="s">
        <v>98</v>
      </c>
      <c r="BL294" t="s">
        <v>806</v>
      </c>
      <c r="BM294" t="s">
        <v>5686</v>
      </c>
      <c r="BN294" t="s">
        <v>74</v>
      </c>
      <c r="BO294" t="s">
        <v>765</v>
      </c>
      <c r="BP294" t="s">
        <v>74</v>
      </c>
      <c r="BQ294" t="s">
        <v>74</v>
      </c>
      <c r="BR294" t="s">
        <v>101</v>
      </c>
      <c r="BS294" t="s">
        <v>5719</v>
      </c>
      <c r="BT294" t="str">
        <f>HYPERLINK("https%3A%2F%2Fwww.webofscience.com%2Fwos%2Fwoscc%2Ffull-record%2FWOS:000271912200013","View Full Record in Web of Science")</f>
        <v>View Full Record in Web of Science</v>
      </c>
    </row>
    <row r="295" spans="1:72" x14ac:dyDescent="0.15">
      <c r="A295" t="s">
        <v>72</v>
      </c>
      <c r="B295" t="s">
        <v>5720</v>
      </c>
      <c r="C295" t="s">
        <v>74</v>
      </c>
      <c r="D295" t="s">
        <v>74</v>
      </c>
      <c r="E295" t="s">
        <v>74</v>
      </c>
      <c r="F295" t="s">
        <v>5721</v>
      </c>
      <c r="G295" t="s">
        <v>74</v>
      </c>
      <c r="H295" t="s">
        <v>74</v>
      </c>
      <c r="I295" t="s">
        <v>5722</v>
      </c>
      <c r="J295" t="s">
        <v>5723</v>
      </c>
      <c r="K295" t="s">
        <v>74</v>
      </c>
      <c r="L295" t="s">
        <v>74</v>
      </c>
      <c r="M295" t="s">
        <v>78</v>
      </c>
      <c r="N295" t="s">
        <v>79</v>
      </c>
      <c r="O295" t="s">
        <v>74</v>
      </c>
      <c r="P295" t="s">
        <v>74</v>
      </c>
      <c r="Q295" t="s">
        <v>74</v>
      </c>
      <c r="R295" t="s">
        <v>74</v>
      </c>
      <c r="S295" t="s">
        <v>74</v>
      </c>
      <c r="T295" t="s">
        <v>74</v>
      </c>
      <c r="U295" t="s">
        <v>5724</v>
      </c>
      <c r="V295" t="s">
        <v>5725</v>
      </c>
      <c r="W295" t="s">
        <v>5726</v>
      </c>
      <c r="X295" t="s">
        <v>5727</v>
      </c>
      <c r="Y295" t="s">
        <v>5728</v>
      </c>
      <c r="Z295" t="s">
        <v>5729</v>
      </c>
      <c r="AA295" t="s">
        <v>5730</v>
      </c>
      <c r="AB295" t="s">
        <v>5731</v>
      </c>
      <c r="AC295" t="s">
        <v>5732</v>
      </c>
      <c r="AD295" t="s">
        <v>5733</v>
      </c>
      <c r="AE295" t="s">
        <v>5734</v>
      </c>
      <c r="AF295" t="s">
        <v>74</v>
      </c>
      <c r="AG295">
        <v>35</v>
      </c>
      <c r="AH295">
        <v>74</v>
      </c>
      <c r="AI295">
        <v>82</v>
      </c>
      <c r="AJ295">
        <v>1</v>
      </c>
      <c r="AK295">
        <v>36</v>
      </c>
      <c r="AL295" t="s">
        <v>1184</v>
      </c>
      <c r="AM295" t="s">
        <v>1185</v>
      </c>
      <c r="AN295" t="s">
        <v>1186</v>
      </c>
      <c r="AO295" t="s">
        <v>5735</v>
      </c>
      <c r="AP295" t="s">
        <v>5736</v>
      </c>
      <c r="AQ295" t="s">
        <v>74</v>
      </c>
      <c r="AR295" t="s">
        <v>5737</v>
      </c>
      <c r="AS295" t="s">
        <v>5738</v>
      </c>
      <c r="AT295" t="s">
        <v>4386</v>
      </c>
      <c r="AU295">
        <v>2009</v>
      </c>
      <c r="AV295">
        <v>54</v>
      </c>
      <c r="AW295">
        <v>6</v>
      </c>
      <c r="AX295" t="s">
        <v>74</v>
      </c>
      <c r="AY295" t="s">
        <v>74</v>
      </c>
      <c r="AZ295" t="s">
        <v>74</v>
      </c>
      <c r="BA295" t="s">
        <v>74</v>
      </c>
      <c r="BB295">
        <v>1941</v>
      </c>
      <c r="BC295">
        <v>1950</v>
      </c>
      <c r="BD295" t="s">
        <v>74</v>
      </c>
      <c r="BE295" t="s">
        <v>5739</v>
      </c>
      <c r="BF295" t="str">
        <f>HYPERLINK("http://dx.doi.org/10.4319/lo.2009.54.6.1941","http://dx.doi.org/10.4319/lo.2009.54.6.1941")</f>
        <v>http://dx.doi.org/10.4319/lo.2009.54.6.1941</v>
      </c>
      <c r="BG295" t="s">
        <v>74</v>
      </c>
      <c r="BH295" t="s">
        <v>74</v>
      </c>
      <c r="BI295">
        <v>10</v>
      </c>
      <c r="BJ295" t="s">
        <v>5740</v>
      </c>
      <c r="BK295" t="s">
        <v>98</v>
      </c>
      <c r="BL295" t="s">
        <v>5741</v>
      </c>
      <c r="BM295" t="s">
        <v>5742</v>
      </c>
      <c r="BN295" t="s">
        <v>74</v>
      </c>
      <c r="BO295" t="s">
        <v>1119</v>
      </c>
      <c r="BP295" t="s">
        <v>74</v>
      </c>
      <c r="BQ295" t="s">
        <v>74</v>
      </c>
      <c r="BR295" t="s">
        <v>101</v>
      </c>
      <c r="BS295" t="s">
        <v>5743</v>
      </c>
      <c r="BT295" t="str">
        <f>HYPERLINK("https%3A%2F%2Fwww.webofscience.com%2Fwos%2Fwoscc%2Ffull-record%2FWOS:000270390200011","View Full Record in Web of Science")</f>
        <v>View Full Record in Web of Science</v>
      </c>
    </row>
    <row r="296" spans="1:72" x14ac:dyDescent="0.15">
      <c r="A296" t="s">
        <v>72</v>
      </c>
      <c r="B296" t="s">
        <v>5744</v>
      </c>
      <c r="C296" t="s">
        <v>74</v>
      </c>
      <c r="D296" t="s">
        <v>74</v>
      </c>
      <c r="E296" t="s">
        <v>74</v>
      </c>
      <c r="F296" t="s">
        <v>5745</v>
      </c>
      <c r="G296" t="s">
        <v>74</v>
      </c>
      <c r="H296" t="s">
        <v>74</v>
      </c>
      <c r="I296" t="s">
        <v>5746</v>
      </c>
      <c r="J296" t="s">
        <v>5747</v>
      </c>
      <c r="K296" t="s">
        <v>74</v>
      </c>
      <c r="L296" t="s">
        <v>74</v>
      </c>
      <c r="M296" t="s">
        <v>78</v>
      </c>
      <c r="N296" t="s">
        <v>1965</v>
      </c>
      <c r="O296" t="s">
        <v>5748</v>
      </c>
      <c r="P296" t="s">
        <v>5749</v>
      </c>
      <c r="Q296" t="s">
        <v>5750</v>
      </c>
      <c r="R296" t="s">
        <v>74</v>
      </c>
      <c r="S296" t="s">
        <v>5751</v>
      </c>
      <c r="T296" t="s">
        <v>5752</v>
      </c>
      <c r="U296" t="s">
        <v>5753</v>
      </c>
      <c r="V296" t="s">
        <v>5754</v>
      </c>
      <c r="W296" t="s">
        <v>5755</v>
      </c>
      <c r="X296" t="s">
        <v>5756</v>
      </c>
      <c r="Y296" t="s">
        <v>5757</v>
      </c>
      <c r="Z296" t="s">
        <v>5758</v>
      </c>
      <c r="AA296" t="s">
        <v>5759</v>
      </c>
      <c r="AB296" t="s">
        <v>5760</v>
      </c>
      <c r="AC296" t="s">
        <v>74</v>
      </c>
      <c r="AD296" t="s">
        <v>74</v>
      </c>
      <c r="AE296" t="s">
        <v>74</v>
      </c>
      <c r="AF296" t="s">
        <v>74</v>
      </c>
      <c r="AG296">
        <v>63</v>
      </c>
      <c r="AH296">
        <v>19</v>
      </c>
      <c r="AI296">
        <v>23</v>
      </c>
      <c r="AJ296">
        <v>1</v>
      </c>
      <c r="AK296">
        <v>16</v>
      </c>
      <c r="AL296" t="s">
        <v>280</v>
      </c>
      <c r="AM296" t="s">
        <v>281</v>
      </c>
      <c r="AN296" t="s">
        <v>282</v>
      </c>
      <c r="AO296" t="s">
        <v>5761</v>
      </c>
      <c r="AP296" t="s">
        <v>74</v>
      </c>
      <c r="AQ296" t="s">
        <v>74</v>
      </c>
      <c r="AR296" t="s">
        <v>5747</v>
      </c>
      <c r="AS296" t="s">
        <v>5762</v>
      </c>
      <c r="AT296" t="s">
        <v>4386</v>
      </c>
      <c r="AU296">
        <v>2009</v>
      </c>
      <c r="AV296">
        <v>112</v>
      </c>
      <c r="AW296" t="s">
        <v>74</v>
      </c>
      <c r="AX296" t="s">
        <v>74</v>
      </c>
      <c r="AY296" t="s">
        <v>74</v>
      </c>
      <c r="AZ296" t="s">
        <v>74</v>
      </c>
      <c r="BA296" t="s">
        <v>74</v>
      </c>
      <c r="BB296">
        <v>806</v>
      </c>
      <c r="BC296">
        <v>821</v>
      </c>
      <c r="BD296" t="s">
        <v>74</v>
      </c>
      <c r="BE296" t="s">
        <v>5763</v>
      </c>
      <c r="BF296" t="str">
        <f>HYPERLINK("http://dx.doi.org/10.1016/j.lithos.2009.04.029","http://dx.doi.org/10.1016/j.lithos.2009.04.029")</f>
        <v>http://dx.doi.org/10.1016/j.lithos.2009.04.029</v>
      </c>
      <c r="BG296" t="s">
        <v>74</v>
      </c>
      <c r="BH296" t="s">
        <v>74</v>
      </c>
      <c r="BI296">
        <v>16</v>
      </c>
      <c r="BJ296" t="s">
        <v>5764</v>
      </c>
      <c r="BK296" t="s">
        <v>1986</v>
      </c>
      <c r="BL296" t="s">
        <v>5764</v>
      </c>
      <c r="BM296" t="s">
        <v>5765</v>
      </c>
      <c r="BN296" t="s">
        <v>74</v>
      </c>
      <c r="BO296" t="s">
        <v>74</v>
      </c>
      <c r="BP296" t="s">
        <v>74</v>
      </c>
      <c r="BQ296" t="s">
        <v>74</v>
      </c>
      <c r="BR296" t="s">
        <v>101</v>
      </c>
      <c r="BS296" t="s">
        <v>5766</v>
      </c>
      <c r="BT296" t="str">
        <f>HYPERLINK("https%3A%2F%2Fwww.webofscience.com%2Fwos%2Fwoscc%2Ffull-record%2FWOS:000273256800020","View Full Record in Web of Science")</f>
        <v>View Full Record in Web of Science</v>
      </c>
    </row>
    <row r="297" spans="1:72" x14ac:dyDescent="0.15">
      <c r="A297" t="s">
        <v>72</v>
      </c>
      <c r="B297" t="s">
        <v>5767</v>
      </c>
      <c r="C297" t="s">
        <v>74</v>
      </c>
      <c r="D297" t="s">
        <v>74</v>
      </c>
      <c r="E297" t="s">
        <v>74</v>
      </c>
      <c r="F297" t="s">
        <v>5768</v>
      </c>
      <c r="G297" t="s">
        <v>74</v>
      </c>
      <c r="H297" t="s">
        <v>74</v>
      </c>
      <c r="I297" t="s">
        <v>5769</v>
      </c>
      <c r="J297" t="s">
        <v>5770</v>
      </c>
      <c r="K297" t="s">
        <v>74</v>
      </c>
      <c r="L297" t="s">
        <v>74</v>
      </c>
      <c r="M297" t="s">
        <v>78</v>
      </c>
      <c r="N297" t="s">
        <v>79</v>
      </c>
      <c r="O297" t="s">
        <v>74</v>
      </c>
      <c r="P297" t="s">
        <v>74</v>
      </c>
      <c r="Q297" t="s">
        <v>74</v>
      </c>
      <c r="R297" t="s">
        <v>74</v>
      </c>
      <c r="S297" t="s">
        <v>74</v>
      </c>
      <c r="T297" t="s">
        <v>74</v>
      </c>
      <c r="U297" t="s">
        <v>5771</v>
      </c>
      <c r="V297" t="s">
        <v>5772</v>
      </c>
      <c r="W297" t="s">
        <v>5773</v>
      </c>
      <c r="X297" t="s">
        <v>5774</v>
      </c>
      <c r="Y297" t="s">
        <v>5775</v>
      </c>
      <c r="Z297" t="s">
        <v>5776</v>
      </c>
      <c r="AA297" t="s">
        <v>74</v>
      </c>
      <c r="AB297" t="s">
        <v>74</v>
      </c>
      <c r="AC297" t="s">
        <v>5777</v>
      </c>
      <c r="AD297" t="s">
        <v>5777</v>
      </c>
      <c r="AE297" t="s">
        <v>5778</v>
      </c>
      <c r="AF297" t="s">
        <v>74</v>
      </c>
      <c r="AG297">
        <v>43</v>
      </c>
      <c r="AH297">
        <v>69</v>
      </c>
      <c r="AI297">
        <v>78</v>
      </c>
      <c r="AJ297">
        <v>1</v>
      </c>
      <c r="AK297">
        <v>32</v>
      </c>
      <c r="AL297" t="s">
        <v>2588</v>
      </c>
      <c r="AM297" t="s">
        <v>2589</v>
      </c>
      <c r="AN297" t="s">
        <v>2590</v>
      </c>
      <c r="AO297" t="s">
        <v>5779</v>
      </c>
      <c r="AP297" t="s">
        <v>5780</v>
      </c>
      <c r="AQ297" t="s">
        <v>74</v>
      </c>
      <c r="AR297" t="s">
        <v>5781</v>
      </c>
      <c r="AS297" t="s">
        <v>5782</v>
      </c>
      <c r="AT297" t="s">
        <v>4386</v>
      </c>
      <c r="AU297">
        <v>2009</v>
      </c>
      <c r="AV297">
        <v>156</v>
      </c>
      <c r="AW297">
        <v>12</v>
      </c>
      <c r="AX297" t="s">
        <v>74</v>
      </c>
      <c r="AY297" t="s">
        <v>74</v>
      </c>
      <c r="AZ297" t="s">
        <v>74</v>
      </c>
      <c r="BA297" t="s">
        <v>74</v>
      </c>
      <c r="BB297">
        <v>2527</v>
      </c>
      <c r="BC297">
        <v>2537</v>
      </c>
      <c r="BD297" t="s">
        <v>74</v>
      </c>
      <c r="BE297" t="s">
        <v>5783</v>
      </c>
      <c r="BF297" t="str">
        <f>HYPERLINK("http://dx.doi.org/10.1007/s00227-009-1277-z","http://dx.doi.org/10.1007/s00227-009-1277-z")</f>
        <v>http://dx.doi.org/10.1007/s00227-009-1277-z</v>
      </c>
      <c r="BG297" t="s">
        <v>74</v>
      </c>
      <c r="BH297" t="s">
        <v>74</v>
      </c>
      <c r="BI297">
        <v>11</v>
      </c>
      <c r="BJ297" t="s">
        <v>1052</v>
      </c>
      <c r="BK297" t="s">
        <v>98</v>
      </c>
      <c r="BL297" t="s">
        <v>1052</v>
      </c>
      <c r="BM297" t="s">
        <v>5784</v>
      </c>
      <c r="BN297" t="s">
        <v>74</v>
      </c>
      <c r="BO297" t="s">
        <v>74</v>
      </c>
      <c r="BP297" t="s">
        <v>74</v>
      </c>
      <c r="BQ297" t="s">
        <v>74</v>
      </c>
      <c r="BR297" t="s">
        <v>101</v>
      </c>
      <c r="BS297" t="s">
        <v>5785</v>
      </c>
      <c r="BT297" t="str">
        <f>HYPERLINK("https%3A%2F%2Fwww.webofscience.com%2Fwos%2Fwoscc%2Ffull-record%2FWOS:000270721000010","View Full Record in Web of Science")</f>
        <v>View Full Record in Web of Science</v>
      </c>
    </row>
    <row r="298" spans="1:72" x14ac:dyDescent="0.15">
      <c r="A298" t="s">
        <v>72</v>
      </c>
      <c r="B298" t="s">
        <v>5786</v>
      </c>
      <c r="C298" t="s">
        <v>74</v>
      </c>
      <c r="D298" t="s">
        <v>74</v>
      </c>
      <c r="E298" t="s">
        <v>74</v>
      </c>
      <c r="F298" t="s">
        <v>5787</v>
      </c>
      <c r="G298" t="s">
        <v>74</v>
      </c>
      <c r="H298" t="s">
        <v>74</v>
      </c>
      <c r="I298" t="s">
        <v>5788</v>
      </c>
      <c r="J298" t="s">
        <v>5770</v>
      </c>
      <c r="K298" t="s">
        <v>74</v>
      </c>
      <c r="L298" t="s">
        <v>74</v>
      </c>
      <c r="M298" t="s">
        <v>78</v>
      </c>
      <c r="N298" t="s">
        <v>297</v>
      </c>
      <c r="O298" t="s">
        <v>74</v>
      </c>
      <c r="P298" t="s">
        <v>74</v>
      </c>
      <c r="Q298" t="s">
        <v>74</v>
      </c>
      <c r="R298" t="s">
        <v>74</v>
      </c>
      <c r="S298" t="s">
        <v>74</v>
      </c>
      <c r="T298" t="s">
        <v>74</v>
      </c>
      <c r="U298" t="s">
        <v>5789</v>
      </c>
      <c r="V298" t="s">
        <v>5790</v>
      </c>
      <c r="W298" t="s">
        <v>5791</v>
      </c>
      <c r="X298" t="s">
        <v>5792</v>
      </c>
      <c r="Y298" t="s">
        <v>5793</v>
      </c>
      <c r="Z298" t="s">
        <v>5794</v>
      </c>
      <c r="AA298" t="s">
        <v>5795</v>
      </c>
      <c r="AB298" t="s">
        <v>5796</v>
      </c>
      <c r="AC298" t="s">
        <v>5797</v>
      </c>
      <c r="AD298" t="s">
        <v>5798</v>
      </c>
      <c r="AE298" t="s">
        <v>5799</v>
      </c>
      <c r="AF298" t="s">
        <v>74</v>
      </c>
      <c r="AG298">
        <v>103</v>
      </c>
      <c r="AH298">
        <v>23</v>
      </c>
      <c r="AI298">
        <v>26</v>
      </c>
      <c r="AJ298">
        <v>5</v>
      </c>
      <c r="AK298">
        <v>24</v>
      </c>
      <c r="AL298" t="s">
        <v>2588</v>
      </c>
      <c r="AM298" t="s">
        <v>2589</v>
      </c>
      <c r="AN298" t="s">
        <v>2590</v>
      </c>
      <c r="AO298" t="s">
        <v>5779</v>
      </c>
      <c r="AP298" t="s">
        <v>5780</v>
      </c>
      <c r="AQ298" t="s">
        <v>74</v>
      </c>
      <c r="AR298" t="s">
        <v>5781</v>
      </c>
      <c r="AS298" t="s">
        <v>5782</v>
      </c>
      <c r="AT298" t="s">
        <v>4386</v>
      </c>
      <c r="AU298">
        <v>2009</v>
      </c>
      <c r="AV298">
        <v>156</v>
      </c>
      <c r="AW298">
        <v>12</v>
      </c>
      <c r="AX298" t="s">
        <v>74</v>
      </c>
      <c r="AY298" t="s">
        <v>74</v>
      </c>
      <c r="AZ298" t="s">
        <v>74</v>
      </c>
      <c r="BA298" t="s">
        <v>74</v>
      </c>
      <c r="BB298">
        <v>2539</v>
      </c>
      <c r="BC298">
        <v>2553</v>
      </c>
      <c r="BD298" t="s">
        <v>74</v>
      </c>
      <c r="BE298" t="s">
        <v>5800</v>
      </c>
      <c r="BF298" t="str">
        <f>HYPERLINK("http://dx.doi.org/10.1007/s00227-009-1278-y","http://dx.doi.org/10.1007/s00227-009-1278-y")</f>
        <v>http://dx.doi.org/10.1007/s00227-009-1278-y</v>
      </c>
      <c r="BG298" t="s">
        <v>74</v>
      </c>
      <c r="BH298" t="s">
        <v>74</v>
      </c>
      <c r="BI298">
        <v>15</v>
      </c>
      <c r="BJ298" t="s">
        <v>1052</v>
      </c>
      <c r="BK298" t="s">
        <v>98</v>
      </c>
      <c r="BL298" t="s">
        <v>1052</v>
      </c>
      <c r="BM298" t="s">
        <v>5784</v>
      </c>
      <c r="BN298" t="s">
        <v>74</v>
      </c>
      <c r="BO298" t="s">
        <v>74</v>
      </c>
      <c r="BP298" t="s">
        <v>74</v>
      </c>
      <c r="BQ298" t="s">
        <v>74</v>
      </c>
      <c r="BR298" t="s">
        <v>101</v>
      </c>
      <c r="BS298" t="s">
        <v>5801</v>
      </c>
      <c r="BT298" t="str">
        <f>HYPERLINK("https%3A%2F%2Fwww.webofscience.com%2Fwos%2Fwoscc%2Ffull-record%2FWOS:000270721000011","View Full Record in Web of Science")</f>
        <v>View Full Record in Web of Science</v>
      </c>
    </row>
    <row r="299" spans="1:72" x14ac:dyDescent="0.15">
      <c r="A299" t="s">
        <v>72</v>
      </c>
      <c r="B299" t="s">
        <v>5802</v>
      </c>
      <c r="C299" t="s">
        <v>74</v>
      </c>
      <c r="D299" t="s">
        <v>74</v>
      </c>
      <c r="E299" t="s">
        <v>74</v>
      </c>
      <c r="F299" t="s">
        <v>5803</v>
      </c>
      <c r="G299" t="s">
        <v>74</v>
      </c>
      <c r="H299" t="s">
        <v>74</v>
      </c>
      <c r="I299" t="s">
        <v>5804</v>
      </c>
      <c r="J299" t="s">
        <v>5805</v>
      </c>
      <c r="K299" t="s">
        <v>74</v>
      </c>
      <c r="L299" t="s">
        <v>74</v>
      </c>
      <c r="M299" t="s">
        <v>78</v>
      </c>
      <c r="N299" t="s">
        <v>79</v>
      </c>
      <c r="O299" t="s">
        <v>74</v>
      </c>
      <c r="P299" t="s">
        <v>74</v>
      </c>
      <c r="Q299" t="s">
        <v>74</v>
      </c>
      <c r="R299" t="s">
        <v>74</v>
      </c>
      <c r="S299" t="s">
        <v>74</v>
      </c>
      <c r="T299" t="s">
        <v>5806</v>
      </c>
      <c r="U299" t="s">
        <v>5807</v>
      </c>
      <c r="V299" t="s">
        <v>5808</v>
      </c>
      <c r="W299" t="s">
        <v>5809</v>
      </c>
      <c r="X299" t="s">
        <v>5810</v>
      </c>
      <c r="Y299" t="s">
        <v>5811</v>
      </c>
      <c r="Z299" t="s">
        <v>5812</v>
      </c>
      <c r="AA299" t="s">
        <v>74</v>
      </c>
      <c r="AB299" t="s">
        <v>5813</v>
      </c>
      <c r="AC299" t="s">
        <v>5814</v>
      </c>
      <c r="AD299" t="s">
        <v>5815</v>
      </c>
      <c r="AE299" t="s">
        <v>5816</v>
      </c>
      <c r="AF299" t="s">
        <v>74</v>
      </c>
      <c r="AG299">
        <v>18</v>
      </c>
      <c r="AH299">
        <v>9</v>
      </c>
      <c r="AI299">
        <v>9</v>
      </c>
      <c r="AJ299">
        <v>1</v>
      </c>
      <c r="AK299">
        <v>27</v>
      </c>
      <c r="AL299" t="s">
        <v>1184</v>
      </c>
      <c r="AM299" t="s">
        <v>1185</v>
      </c>
      <c r="AN299" t="s">
        <v>1186</v>
      </c>
      <c r="AO299" t="s">
        <v>5817</v>
      </c>
      <c r="AP299" t="s">
        <v>5818</v>
      </c>
      <c r="AQ299" t="s">
        <v>74</v>
      </c>
      <c r="AR299" t="s">
        <v>5819</v>
      </c>
      <c r="AS299" t="s">
        <v>5820</v>
      </c>
      <c r="AT299" t="s">
        <v>4386</v>
      </c>
      <c r="AU299">
        <v>2009</v>
      </c>
      <c r="AV299">
        <v>9</v>
      </c>
      <c r="AW299">
        <v>6</v>
      </c>
      <c r="AX299" t="s">
        <v>74</v>
      </c>
      <c r="AY299" t="s">
        <v>74</v>
      </c>
      <c r="AZ299" t="s">
        <v>74</v>
      </c>
      <c r="BA299" t="s">
        <v>74</v>
      </c>
      <c r="BB299">
        <v>1530</v>
      </c>
      <c r="BC299">
        <v>1535</v>
      </c>
      <c r="BD299" t="s">
        <v>74</v>
      </c>
      <c r="BE299" t="s">
        <v>5821</v>
      </c>
      <c r="BF299" t="str">
        <f>HYPERLINK("http://dx.doi.org/10.1111/j.1755-0998.2009.02710.x","http://dx.doi.org/10.1111/j.1755-0998.2009.02710.x")</f>
        <v>http://dx.doi.org/10.1111/j.1755-0998.2009.02710.x</v>
      </c>
      <c r="BG299" t="s">
        <v>74</v>
      </c>
      <c r="BH299" t="s">
        <v>74</v>
      </c>
      <c r="BI299">
        <v>6</v>
      </c>
      <c r="BJ299" t="s">
        <v>2829</v>
      </c>
      <c r="BK299" t="s">
        <v>98</v>
      </c>
      <c r="BL299" t="s">
        <v>2830</v>
      </c>
      <c r="BM299" t="s">
        <v>5822</v>
      </c>
      <c r="BN299">
        <v>21564950</v>
      </c>
      <c r="BO299" t="s">
        <v>74</v>
      </c>
      <c r="BP299" t="s">
        <v>74</v>
      </c>
      <c r="BQ299" t="s">
        <v>74</v>
      </c>
      <c r="BR299" t="s">
        <v>101</v>
      </c>
      <c r="BS299" t="s">
        <v>5823</v>
      </c>
      <c r="BT299" t="str">
        <f>HYPERLINK("https%3A%2F%2Fwww.webofscience.com%2Fwos%2Fwoscc%2Ffull-record%2FWOS:000270787500022","View Full Record in Web of Science")</f>
        <v>View Full Record in Web of Science</v>
      </c>
    </row>
    <row r="300" spans="1:72" x14ac:dyDescent="0.15">
      <c r="A300" t="s">
        <v>72</v>
      </c>
      <c r="B300" t="s">
        <v>5824</v>
      </c>
      <c r="C300" t="s">
        <v>74</v>
      </c>
      <c r="D300" t="s">
        <v>74</v>
      </c>
      <c r="E300" t="s">
        <v>74</v>
      </c>
      <c r="F300" t="s">
        <v>5825</v>
      </c>
      <c r="G300" t="s">
        <v>74</v>
      </c>
      <c r="H300" t="s">
        <v>74</v>
      </c>
      <c r="I300" t="s">
        <v>5826</v>
      </c>
      <c r="J300" t="s">
        <v>5827</v>
      </c>
      <c r="K300" t="s">
        <v>74</v>
      </c>
      <c r="L300" t="s">
        <v>74</v>
      </c>
      <c r="M300" t="s">
        <v>78</v>
      </c>
      <c r="N300" t="s">
        <v>79</v>
      </c>
      <c r="O300" t="s">
        <v>74</v>
      </c>
      <c r="P300" t="s">
        <v>74</v>
      </c>
      <c r="Q300" t="s">
        <v>74</v>
      </c>
      <c r="R300" t="s">
        <v>74</v>
      </c>
      <c r="S300" t="s">
        <v>74</v>
      </c>
      <c r="T300" t="s">
        <v>74</v>
      </c>
      <c r="U300" t="s">
        <v>5828</v>
      </c>
      <c r="V300" t="s">
        <v>5829</v>
      </c>
      <c r="W300" t="s">
        <v>5830</v>
      </c>
      <c r="X300" t="s">
        <v>5831</v>
      </c>
      <c r="Y300" t="s">
        <v>5832</v>
      </c>
      <c r="Z300" t="s">
        <v>5833</v>
      </c>
      <c r="AA300" t="s">
        <v>5834</v>
      </c>
      <c r="AB300" t="s">
        <v>5835</v>
      </c>
      <c r="AC300" t="s">
        <v>5836</v>
      </c>
      <c r="AD300" t="s">
        <v>1629</v>
      </c>
      <c r="AE300" t="s">
        <v>5837</v>
      </c>
      <c r="AF300" t="s">
        <v>74</v>
      </c>
      <c r="AG300">
        <v>52</v>
      </c>
      <c r="AH300">
        <v>32</v>
      </c>
      <c r="AI300">
        <v>35</v>
      </c>
      <c r="AJ300">
        <v>0</v>
      </c>
      <c r="AK300">
        <v>6</v>
      </c>
      <c r="AL300" t="s">
        <v>2397</v>
      </c>
      <c r="AM300" t="s">
        <v>2398</v>
      </c>
      <c r="AN300" t="s">
        <v>2399</v>
      </c>
      <c r="AO300" t="s">
        <v>5838</v>
      </c>
      <c r="AP300" t="s">
        <v>5839</v>
      </c>
      <c r="AQ300" t="s">
        <v>74</v>
      </c>
      <c r="AR300" t="s">
        <v>5840</v>
      </c>
      <c r="AS300" t="s">
        <v>5841</v>
      </c>
      <c r="AT300" t="s">
        <v>4386</v>
      </c>
      <c r="AU300">
        <v>2009</v>
      </c>
      <c r="AV300">
        <v>137</v>
      </c>
      <c r="AW300">
        <v>11</v>
      </c>
      <c r="AX300" t="s">
        <v>74</v>
      </c>
      <c r="AY300" t="s">
        <v>74</v>
      </c>
      <c r="AZ300" t="s">
        <v>74</v>
      </c>
      <c r="BA300" t="s">
        <v>74</v>
      </c>
      <c r="BB300">
        <v>4030</v>
      </c>
      <c r="BC300">
        <v>4046</v>
      </c>
      <c r="BD300" t="s">
        <v>74</v>
      </c>
      <c r="BE300" t="s">
        <v>5842</v>
      </c>
      <c r="BF300" t="str">
        <f>HYPERLINK("http://dx.doi.org/10.1175/2009MWR2880.1","http://dx.doi.org/10.1175/2009MWR2880.1")</f>
        <v>http://dx.doi.org/10.1175/2009MWR2880.1</v>
      </c>
      <c r="BG300" t="s">
        <v>74</v>
      </c>
      <c r="BH300" t="s">
        <v>74</v>
      </c>
      <c r="BI300">
        <v>17</v>
      </c>
      <c r="BJ300" t="s">
        <v>413</v>
      </c>
      <c r="BK300" t="s">
        <v>98</v>
      </c>
      <c r="BL300" t="s">
        <v>413</v>
      </c>
      <c r="BM300" t="s">
        <v>5843</v>
      </c>
      <c r="BN300" t="s">
        <v>74</v>
      </c>
      <c r="BO300" t="s">
        <v>263</v>
      </c>
      <c r="BP300" t="s">
        <v>74</v>
      </c>
      <c r="BQ300" t="s">
        <v>74</v>
      </c>
      <c r="BR300" t="s">
        <v>101</v>
      </c>
      <c r="BS300" t="s">
        <v>5844</v>
      </c>
      <c r="BT300" t="str">
        <f>HYPERLINK("https%3A%2F%2Fwww.webofscience.com%2Fwos%2Fwoscc%2Ffull-record%2FWOS:000272139500025","View Full Record in Web of Science")</f>
        <v>View Full Record in Web of Science</v>
      </c>
    </row>
    <row r="301" spans="1:72" x14ac:dyDescent="0.15">
      <c r="A301" t="s">
        <v>72</v>
      </c>
      <c r="B301" t="s">
        <v>5845</v>
      </c>
      <c r="C301" t="s">
        <v>74</v>
      </c>
      <c r="D301" t="s">
        <v>74</v>
      </c>
      <c r="E301" t="s">
        <v>74</v>
      </c>
      <c r="F301" t="s">
        <v>5846</v>
      </c>
      <c r="G301" t="s">
        <v>74</v>
      </c>
      <c r="H301" t="s">
        <v>74</v>
      </c>
      <c r="I301" t="s">
        <v>5847</v>
      </c>
      <c r="J301" t="s">
        <v>5848</v>
      </c>
      <c r="K301" t="s">
        <v>74</v>
      </c>
      <c r="L301" t="s">
        <v>74</v>
      </c>
      <c r="M301" t="s">
        <v>78</v>
      </c>
      <c r="N301" t="s">
        <v>79</v>
      </c>
      <c r="O301" t="s">
        <v>74</v>
      </c>
      <c r="P301" t="s">
        <v>74</v>
      </c>
      <c r="Q301" t="s">
        <v>74</v>
      </c>
      <c r="R301" t="s">
        <v>74</v>
      </c>
      <c r="S301" t="s">
        <v>74</v>
      </c>
      <c r="T301" t="s">
        <v>5849</v>
      </c>
      <c r="U301" t="s">
        <v>5850</v>
      </c>
      <c r="V301" t="s">
        <v>5851</v>
      </c>
      <c r="W301" t="s">
        <v>5852</v>
      </c>
      <c r="X301" t="s">
        <v>5119</v>
      </c>
      <c r="Y301" t="s">
        <v>5417</v>
      </c>
      <c r="Z301" t="s">
        <v>5121</v>
      </c>
      <c r="AA301" t="s">
        <v>5853</v>
      </c>
      <c r="AB301" t="s">
        <v>74</v>
      </c>
      <c r="AC301" t="s">
        <v>5854</v>
      </c>
      <c r="AD301" t="s">
        <v>2613</v>
      </c>
      <c r="AE301" t="s">
        <v>5855</v>
      </c>
      <c r="AF301" t="s">
        <v>74</v>
      </c>
      <c r="AG301">
        <v>39</v>
      </c>
      <c r="AH301">
        <v>120</v>
      </c>
      <c r="AI301">
        <v>139</v>
      </c>
      <c r="AJ301">
        <v>5</v>
      </c>
      <c r="AK301">
        <v>66</v>
      </c>
      <c r="AL301" t="s">
        <v>1850</v>
      </c>
      <c r="AM301" t="s">
        <v>684</v>
      </c>
      <c r="AN301" t="s">
        <v>3108</v>
      </c>
      <c r="AO301" t="s">
        <v>5856</v>
      </c>
      <c r="AP301" t="s">
        <v>5857</v>
      </c>
      <c r="AQ301" t="s">
        <v>74</v>
      </c>
      <c r="AR301" t="s">
        <v>5848</v>
      </c>
      <c r="AS301" t="s">
        <v>5858</v>
      </c>
      <c r="AT301" t="s">
        <v>4386</v>
      </c>
      <c r="AU301">
        <v>2009</v>
      </c>
      <c r="AV301">
        <v>20</v>
      </c>
      <c r="AW301">
        <v>1</v>
      </c>
      <c r="AX301" t="s">
        <v>74</v>
      </c>
      <c r="AY301" t="s">
        <v>74</v>
      </c>
      <c r="AZ301" t="s">
        <v>74</v>
      </c>
      <c r="BA301" t="s">
        <v>74</v>
      </c>
      <c r="BB301">
        <v>1</v>
      </c>
      <c r="BC301">
        <v>11</v>
      </c>
      <c r="BD301" t="s">
        <v>74</v>
      </c>
      <c r="BE301" t="s">
        <v>5859</v>
      </c>
      <c r="BF301" t="str">
        <f>HYPERLINK("http://dx.doi.org/10.1007/s00572-009-0260-3","http://dx.doi.org/10.1007/s00572-009-0260-3")</f>
        <v>http://dx.doi.org/10.1007/s00572-009-0260-3</v>
      </c>
      <c r="BG301" t="s">
        <v>74</v>
      </c>
      <c r="BH301" t="s">
        <v>74</v>
      </c>
      <c r="BI301">
        <v>11</v>
      </c>
      <c r="BJ301" t="s">
        <v>5860</v>
      </c>
      <c r="BK301" t="s">
        <v>98</v>
      </c>
      <c r="BL301" t="s">
        <v>5860</v>
      </c>
      <c r="BM301" t="s">
        <v>5861</v>
      </c>
      <c r="BN301">
        <v>19495811</v>
      </c>
      <c r="BO301" t="s">
        <v>74</v>
      </c>
      <c r="BP301" t="s">
        <v>74</v>
      </c>
      <c r="BQ301" t="s">
        <v>74</v>
      </c>
      <c r="BR301" t="s">
        <v>101</v>
      </c>
      <c r="BS301" t="s">
        <v>5862</v>
      </c>
      <c r="BT301" t="str">
        <f>HYPERLINK("https%3A%2F%2Fwww.webofscience.com%2Fwos%2Fwoscc%2Ffull-record%2FWOS:000270895900001","View Full Record in Web of Science")</f>
        <v>View Full Record in Web of Science</v>
      </c>
    </row>
    <row r="302" spans="1:72" x14ac:dyDescent="0.15">
      <c r="A302" t="s">
        <v>72</v>
      </c>
      <c r="B302" t="s">
        <v>5863</v>
      </c>
      <c r="C302" t="s">
        <v>74</v>
      </c>
      <c r="D302" t="s">
        <v>74</v>
      </c>
      <c r="E302" t="s">
        <v>74</v>
      </c>
      <c r="F302" t="s">
        <v>5864</v>
      </c>
      <c r="G302" t="s">
        <v>74</v>
      </c>
      <c r="H302" t="s">
        <v>74</v>
      </c>
      <c r="I302" t="s">
        <v>5865</v>
      </c>
      <c r="J302" t="s">
        <v>5866</v>
      </c>
      <c r="K302" t="s">
        <v>74</v>
      </c>
      <c r="L302" t="s">
        <v>74</v>
      </c>
      <c r="M302" t="s">
        <v>78</v>
      </c>
      <c r="N302" t="s">
        <v>79</v>
      </c>
      <c r="O302" t="s">
        <v>74</v>
      </c>
      <c r="P302" t="s">
        <v>74</v>
      </c>
      <c r="Q302" t="s">
        <v>74</v>
      </c>
      <c r="R302" t="s">
        <v>74</v>
      </c>
      <c r="S302" t="s">
        <v>74</v>
      </c>
      <c r="T302" t="s">
        <v>74</v>
      </c>
      <c r="U302" t="s">
        <v>5867</v>
      </c>
      <c r="V302" t="s">
        <v>5868</v>
      </c>
      <c r="W302" t="s">
        <v>5869</v>
      </c>
      <c r="X302" t="s">
        <v>5870</v>
      </c>
      <c r="Y302" t="s">
        <v>5871</v>
      </c>
      <c r="Z302" t="s">
        <v>5872</v>
      </c>
      <c r="AA302" t="s">
        <v>5873</v>
      </c>
      <c r="AB302" t="s">
        <v>5874</v>
      </c>
      <c r="AC302" t="s">
        <v>74</v>
      </c>
      <c r="AD302" t="s">
        <v>74</v>
      </c>
      <c r="AE302" t="s">
        <v>74</v>
      </c>
      <c r="AF302" t="s">
        <v>74</v>
      </c>
      <c r="AG302">
        <v>60</v>
      </c>
      <c r="AH302">
        <v>14</v>
      </c>
      <c r="AI302">
        <v>15</v>
      </c>
      <c r="AJ302">
        <v>0</v>
      </c>
      <c r="AK302">
        <v>20</v>
      </c>
      <c r="AL302" t="s">
        <v>1184</v>
      </c>
      <c r="AM302" t="s">
        <v>1185</v>
      </c>
      <c r="AN302" t="s">
        <v>1186</v>
      </c>
      <c r="AO302" t="s">
        <v>5875</v>
      </c>
      <c r="AP302" t="s">
        <v>5876</v>
      </c>
      <c r="AQ302" t="s">
        <v>74</v>
      </c>
      <c r="AR302" t="s">
        <v>5877</v>
      </c>
      <c r="AS302" t="s">
        <v>5878</v>
      </c>
      <c r="AT302" t="s">
        <v>5156</v>
      </c>
      <c r="AU302">
        <v>2009</v>
      </c>
      <c r="AV302">
        <v>85</v>
      </c>
      <c r="AW302">
        <v>6</v>
      </c>
      <c r="AX302" t="s">
        <v>74</v>
      </c>
      <c r="AY302" t="s">
        <v>74</v>
      </c>
      <c r="AZ302" t="s">
        <v>74</v>
      </c>
      <c r="BA302" t="s">
        <v>74</v>
      </c>
      <c r="BB302">
        <v>1336</v>
      </c>
      <c r="BC302">
        <v>1345</v>
      </c>
      <c r="BD302" t="s">
        <v>74</v>
      </c>
      <c r="BE302" t="s">
        <v>5879</v>
      </c>
      <c r="BF302" t="str">
        <f>HYPERLINK("http://dx.doi.org/10.1111/j.1751-1097.2009.00603.x","http://dx.doi.org/10.1111/j.1751-1097.2009.00603.x")</f>
        <v>http://dx.doi.org/10.1111/j.1751-1097.2009.00603.x</v>
      </c>
      <c r="BG302" t="s">
        <v>74</v>
      </c>
      <c r="BH302" t="s">
        <v>74</v>
      </c>
      <c r="BI302">
        <v>10</v>
      </c>
      <c r="BJ302" t="s">
        <v>1548</v>
      </c>
      <c r="BK302" t="s">
        <v>98</v>
      </c>
      <c r="BL302" t="s">
        <v>1548</v>
      </c>
      <c r="BM302" t="s">
        <v>5880</v>
      </c>
      <c r="BN302">
        <v>19709386</v>
      </c>
      <c r="BO302" t="s">
        <v>239</v>
      </c>
      <c r="BP302" t="s">
        <v>74</v>
      </c>
      <c r="BQ302" t="s">
        <v>74</v>
      </c>
      <c r="BR302" t="s">
        <v>101</v>
      </c>
      <c r="BS302" t="s">
        <v>5881</v>
      </c>
      <c r="BT302" t="str">
        <f>HYPERLINK("https%3A%2F%2Fwww.webofscience.com%2Fwos%2Fwoscc%2Ffull-record%2FWOS:000271045200008","View Full Record in Web of Science")</f>
        <v>View Full Record in Web of Science</v>
      </c>
    </row>
    <row r="303" spans="1:72" x14ac:dyDescent="0.15">
      <c r="A303" t="s">
        <v>72</v>
      </c>
      <c r="B303" t="s">
        <v>5882</v>
      </c>
      <c r="C303" t="s">
        <v>74</v>
      </c>
      <c r="D303" t="s">
        <v>74</v>
      </c>
      <c r="E303" t="s">
        <v>74</v>
      </c>
      <c r="F303" t="s">
        <v>5883</v>
      </c>
      <c r="G303" t="s">
        <v>74</v>
      </c>
      <c r="H303" t="s">
        <v>74</v>
      </c>
      <c r="I303" t="s">
        <v>5884</v>
      </c>
      <c r="J303" t="s">
        <v>5866</v>
      </c>
      <c r="K303" t="s">
        <v>74</v>
      </c>
      <c r="L303" t="s">
        <v>74</v>
      </c>
      <c r="M303" t="s">
        <v>78</v>
      </c>
      <c r="N303" t="s">
        <v>79</v>
      </c>
      <c r="O303" t="s">
        <v>74</v>
      </c>
      <c r="P303" t="s">
        <v>74</v>
      </c>
      <c r="Q303" t="s">
        <v>74</v>
      </c>
      <c r="R303" t="s">
        <v>74</v>
      </c>
      <c r="S303" t="s">
        <v>74</v>
      </c>
      <c r="T303" t="s">
        <v>74</v>
      </c>
      <c r="U303" t="s">
        <v>5885</v>
      </c>
      <c r="V303" t="s">
        <v>5886</v>
      </c>
      <c r="W303" t="s">
        <v>5887</v>
      </c>
      <c r="X303" t="s">
        <v>1309</v>
      </c>
      <c r="Y303" t="s">
        <v>5888</v>
      </c>
      <c r="Z303" t="s">
        <v>5889</v>
      </c>
      <c r="AA303" t="s">
        <v>74</v>
      </c>
      <c r="AB303" t="s">
        <v>5890</v>
      </c>
      <c r="AC303" t="s">
        <v>74</v>
      </c>
      <c r="AD303" t="s">
        <v>74</v>
      </c>
      <c r="AE303" t="s">
        <v>74</v>
      </c>
      <c r="AF303" t="s">
        <v>74</v>
      </c>
      <c r="AG303">
        <v>28</v>
      </c>
      <c r="AH303">
        <v>16</v>
      </c>
      <c r="AI303">
        <v>17</v>
      </c>
      <c r="AJ303">
        <v>0</v>
      </c>
      <c r="AK303">
        <v>4</v>
      </c>
      <c r="AL303" t="s">
        <v>1184</v>
      </c>
      <c r="AM303" t="s">
        <v>1185</v>
      </c>
      <c r="AN303" t="s">
        <v>1186</v>
      </c>
      <c r="AO303" t="s">
        <v>5875</v>
      </c>
      <c r="AP303" t="s">
        <v>5876</v>
      </c>
      <c r="AQ303" t="s">
        <v>74</v>
      </c>
      <c r="AR303" t="s">
        <v>5877</v>
      </c>
      <c r="AS303" t="s">
        <v>5878</v>
      </c>
      <c r="AT303" t="s">
        <v>5156</v>
      </c>
      <c r="AU303">
        <v>2009</v>
      </c>
      <c r="AV303">
        <v>85</v>
      </c>
      <c r="AW303">
        <v>6</v>
      </c>
      <c r="AX303" t="s">
        <v>74</v>
      </c>
      <c r="AY303" t="s">
        <v>74</v>
      </c>
      <c r="AZ303" t="s">
        <v>74</v>
      </c>
      <c r="BA303" t="s">
        <v>74</v>
      </c>
      <c r="BB303">
        <v>1485</v>
      </c>
      <c r="BC303">
        <v>1490</v>
      </c>
      <c r="BD303" t="s">
        <v>74</v>
      </c>
      <c r="BE303" t="s">
        <v>5891</v>
      </c>
      <c r="BF303" t="str">
        <f>HYPERLINK("http://dx.doi.org/10.1111/j.1751-1097.2009.00602.x","http://dx.doi.org/10.1111/j.1751-1097.2009.00602.x")</f>
        <v>http://dx.doi.org/10.1111/j.1751-1097.2009.00602.x</v>
      </c>
      <c r="BG303" t="s">
        <v>74</v>
      </c>
      <c r="BH303" t="s">
        <v>74</v>
      </c>
      <c r="BI303">
        <v>6</v>
      </c>
      <c r="BJ303" t="s">
        <v>1548</v>
      </c>
      <c r="BK303" t="s">
        <v>98</v>
      </c>
      <c r="BL303" t="s">
        <v>1548</v>
      </c>
      <c r="BM303" t="s">
        <v>5880</v>
      </c>
      <c r="BN303">
        <v>19706145</v>
      </c>
      <c r="BO303" t="s">
        <v>74</v>
      </c>
      <c r="BP303" t="s">
        <v>74</v>
      </c>
      <c r="BQ303" t="s">
        <v>74</v>
      </c>
      <c r="BR303" t="s">
        <v>101</v>
      </c>
      <c r="BS303" t="s">
        <v>5892</v>
      </c>
      <c r="BT303" t="str">
        <f>HYPERLINK("https%3A%2F%2Fwww.webofscience.com%2Fwos%2Fwoscc%2Ffull-record%2FWOS:000271045200026","View Full Record in Web of Science")</f>
        <v>View Full Record in Web of Science</v>
      </c>
    </row>
    <row r="304" spans="1:72" x14ac:dyDescent="0.15">
      <c r="A304" t="s">
        <v>72</v>
      </c>
      <c r="B304" t="s">
        <v>5893</v>
      </c>
      <c r="C304" t="s">
        <v>74</v>
      </c>
      <c r="D304" t="s">
        <v>74</v>
      </c>
      <c r="E304" t="s">
        <v>74</v>
      </c>
      <c r="F304" t="s">
        <v>5894</v>
      </c>
      <c r="G304" t="s">
        <v>74</v>
      </c>
      <c r="H304" t="s">
        <v>74</v>
      </c>
      <c r="I304" t="s">
        <v>5895</v>
      </c>
      <c r="J304" t="s">
        <v>5896</v>
      </c>
      <c r="K304" t="s">
        <v>74</v>
      </c>
      <c r="L304" t="s">
        <v>74</v>
      </c>
      <c r="M304" t="s">
        <v>78</v>
      </c>
      <c r="N304" t="s">
        <v>79</v>
      </c>
      <c r="O304" t="s">
        <v>74</v>
      </c>
      <c r="P304" t="s">
        <v>74</v>
      </c>
      <c r="Q304" t="s">
        <v>74</v>
      </c>
      <c r="R304" t="s">
        <v>74</v>
      </c>
      <c r="S304" t="s">
        <v>74</v>
      </c>
      <c r="T304" t="s">
        <v>74</v>
      </c>
      <c r="U304" t="s">
        <v>5897</v>
      </c>
      <c r="V304" t="s">
        <v>5898</v>
      </c>
      <c r="W304" t="s">
        <v>5899</v>
      </c>
      <c r="X304" t="s">
        <v>5900</v>
      </c>
      <c r="Y304" t="s">
        <v>5901</v>
      </c>
      <c r="Z304" t="s">
        <v>5902</v>
      </c>
      <c r="AA304" t="s">
        <v>74</v>
      </c>
      <c r="AB304" t="s">
        <v>74</v>
      </c>
      <c r="AC304" t="s">
        <v>5903</v>
      </c>
      <c r="AD304" t="s">
        <v>5904</v>
      </c>
      <c r="AE304" t="s">
        <v>5905</v>
      </c>
      <c r="AF304" t="s">
        <v>74</v>
      </c>
      <c r="AG304">
        <v>46</v>
      </c>
      <c r="AH304">
        <v>92</v>
      </c>
      <c r="AI304">
        <v>100</v>
      </c>
      <c r="AJ304">
        <v>2</v>
      </c>
      <c r="AK304">
        <v>70</v>
      </c>
      <c r="AL304" t="s">
        <v>4406</v>
      </c>
      <c r="AM304" t="s">
        <v>4407</v>
      </c>
      <c r="AN304" t="s">
        <v>4408</v>
      </c>
      <c r="AO304" t="s">
        <v>5906</v>
      </c>
      <c r="AP304" t="s">
        <v>74</v>
      </c>
      <c r="AQ304" t="s">
        <v>74</v>
      </c>
      <c r="AR304" t="s">
        <v>5907</v>
      </c>
      <c r="AS304" t="s">
        <v>5908</v>
      </c>
      <c r="AT304" t="s">
        <v>5156</v>
      </c>
      <c r="AU304">
        <v>2009</v>
      </c>
      <c r="AV304">
        <v>82</v>
      </c>
      <c r="AW304">
        <v>6</v>
      </c>
      <c r="AX304" t="s">
        <v>74</v>
      </c>
      <c r="AY304" t="s">
        <v>74</v>
      </c>
      <c r="AZ304" t="s">
        <v>74</v>
      </c>
      <c r="BA304" t="s">
        <v>74</v>
      </c>
      <c r="BB304">
        <v>749</v>
      </c>
      <c r="BC304">
        <v>755</v>
      </c>
      <c r="BD304" t="s">
        <v>74</v>
      </c>
      <c r="BE304" t="s">
        <v>5909</v>
      </c>
      <c r="BF304" t="str">
        <f>HYPERLINK("http://dx.doi.org/10.1086/605954","http://dx.doi.org/10.1086/605954")</f>
        <v>http://dx.doi.org/10.1086/605954</v>
      </c>
      <c r="BG304" t="s">
        <v>74</v>
      </c>
      <c r="BH304" t="s">
        <v>74</v>
      </c>
      <c r="BI304">
        <v>7</v>
      </c>
      <c r="BJ304" t="s">
        <v>5910</v>
      </c>
      <c r="BK304" t="s">
        <v>98</v>
      </c>
      <c r="BL304" t="s">
        <v>5910</v>
      </c>
      <c r="BM304" t="s">
        <v>5911</v>
      </c>
      <c r="BN304">
        <v>19732016</v>
      </c>
      <c r="BO304" t="s">
        <v>74</v>
      </c>
      <c r="BP304" t="s">
        <v>74</v>
      </c>
      <c r="BQ304" t="s">
        <v>74</v>
      </c>
      <c r="BR304" t="s">
        <v>101</v>
      </c>
      <c r="BS304" t="s">
        <v>5912</v>
      </c>
      <c r="BT304" t="str">
        <f>HYPERLINK("https%3A%2F%2Fwww.webofscience.com%2Fwos%2Fwoscc%2Ffull-record%2FWOS:000270695800013","View Full Record in Web of Science")</f>
        <v>View Full Record in Web of Science</v>
      </c>
    </row>
    <row r="305" spans="1:72" x14ac:dyDescent="0.15">
      <c r="A305" t="s">
        <v>72</v>
      </c>
      <c r="B305" t="s">
        <v>5913</v>
      </c>
      <c r="C305" t="s">
        <v>74</v>
      </c>
      <c r="D305" t="s">
        <v>74</v>
      </c>
      <c r="E305" t="s">
        <v>74</v>
      </c>
      <c r="F305" t="s">
        <v>5914</v>
      </c>
      <c r="G305" t="s">
        <v>74</v>
      </c>
      <c r="H305" t="s">
        <v>74</v>
      </c>
      <c r="I305" t="s">
        <v>5915</v>
      </c>
      <c r="J305" t="s">
        <v>3098</v>
      </c>
      <c r="K305" t="s">
        <v>74</v>
      </c>
      <c r="L305" t="s">
        <v>74</v>
      </c>
      <c r="M305" t="s">
        <v>78</v>
      </c>
      <c r="N305" t="s">
        <v>79</v>
      </c>
      <c r="O305" t="s">
        <v>74</v>
      </c>
      <c r="P305" t="s">
        <v>74</v>
      </c>
      <c r="Q305" t="s">
        <v>74</v>
      </c>
      <c r="R305" t="s">
        <v>74</v>
      </c>
      <c r="S305" t="s">
        <v>74</v>
      </c>
      <c r="T305" t="s">
        <v>5916</v>
      </c>
      <c r="U305" t="s">
        <v>5917</v>
      </c>
      <c r="V305" t="s">
        <v>5918</v>
      </c>
      <c r="W305" t="s">
        <v>5919</v>
      </c>
      <c r="X305" t="s">
        <v>5920</v>
      </c>
      <c r="Y305" t="s">
        <v>5921</v>
      </c>
      <c r="Z305" t="s">
        <v>5922</v>
      </c>
      <c r="AA305" t="s">
        <v>5923</v>
      </c>
      <c r="AB305" t="s">
        <v>5924</v>
      </c>
      <c r="AC305" t="s">
        <v>5925</v>
      </c>
      <c r="AD305" t="s">
        <v>5926</v>
      </c>
      <c r="AE305" t="s">
        <v>5927</v>
      </c>
      <c r="AF305" t="s">
        <v>74</v>
      </c>
      <c r="AG305">
        <v>54</v>
      </c>
      <c r="AH305">
        <v>15</v>
      </c>
      <c r="AI305">
        <v>20</v>
      </c>
      <c r="AJ305">
        <v>1</v>
      </c>
      <c r="AK305">
        <v>51</v>
      </c>
      <c r="AL305" t="s">
        <v>1850</v>
      </c>
      <c r="AM305" t="s">
        <v>684</v>
      </c>
      <c r="AN305" t="s">
        <v>3108</v>
      </c>
      <c r="AO305" t="s">
        <v>3109</v>
      </c>
      <c r="AP305" t="s">
        <v>3110</v>
      </c>
      <c r="AQ305" t="s">
        <v>74</v>
      </c>
      <c r="AR305" t="s">
        <v>3111</v>
      </c>
      <c r="AS305" t="s">
        <v>3112</v>
      </c>
      <c r="AT305" t="s">
        <v>4386</v>
      </c>
      <c r="AU305">
        <v>2009</v>
      </c>
      <c r="AV305">
        <v>32</v>
      </c>
      <c r="AW305">
        <v>11</v>
      </c>
      <c r="AX305" t="s">
        <v>74</v>
      </c>
      <c r="AY305" t="s">
        <v>74</v>
      </c>
      <c r="AZ305" t="s">
        <v>74</v>
      </c>
      <c r="BA305" t="s">
        <v>74</v>
      </c>
      <c r="BB305">
        <v>1549</v>
      </c>
      <c r="BC305">
        <v>1558</v>
      </c>
      <c r="BD305" t="s">
        <v>74</v>
      </c>
      <c r="BE305" t="s">
        <v>5928</v>
      </c>
      <c r="BF305" t="str">
        <f>HYPERLINK("http://dx.doi.org/10.1007/s00300-009-0639-9","http://dx.doi.org/10.1007/s00300-009-0639-9")</f>
        <v>http://dx.doi.org/10.1007/s00300-009-0639-9</v>
      </c>
      <c r="BG305" t="s">
        <v>74</v>
      </c>
      <c r="BH305" t="s">
        <v>74</v>
      </c>
      <c r="BI305">
        <v>10</v>
      </c>
      <c r="BJ305" t="s">
        <v>3114</v>
      </c>
      <c r="BK305" t="s">
        <v>98</v>
      </c>
      <c r="BL305" t="s">
        <v>3115</v>
      </c>
      <c r="BM305" t="s">
        <v>5929</v>
      </c>
      <c r="BN305" t="s">
        <v>74</v>
      </c>
      <c r="BO305" t="s">
        <v>74</v>
      </c>
      <c r="BP305" t="s">
        <v>74</v>
      </c>
      <c r="BQ305" t="s">
        <v>74</v>
      </c>
      <c r="BR305" t="s">
        <v>101</v>
      </c>
      <c r="BS305" t="s">
        <v>5930</v>
      </c>
      <c r="BT305" t="str">
        <f>HYPERLINK("https%3A%2F%2Fwww.webofscience.com%2Fwos%2Fwoscc%2Ffull-record%2FWOS:000271088200001","View Full Record in Web of Science")</f>
        <v>View Full Record in Web of Science</v>
      </c>
    </row>
    <row r="306" spans="1:72" x14ac:dyDescent="0.15">
      <c r="A306" t="s">
        <v>72</v>
      </c>
      <c r="B306" t="s">
        <v>5931</v>
      </c>
      <c r="C306" t="s">
        <v>74</v>
      </c>
      <c r="D306" t="s">
        <v>74</v>
      </c>
      <c r="E306" t="s">
        <v>74</v>
      </c>
      <c r="F306" t="s">
        <v>5932</v>
      </c>
      <c r="G306" t="s">
        <v>74</v>
      </c>
      <c r="H306" t="s">
        <v>74</v>
      </c>
      <c r="I306" t="s">
        <v>5933</v>
      </c>
      <c r="J306" t="s">
        <v>3098</v>
      </c>
      <c r="K306" t="s">
        <v>74</v>
      </c>
      <c r="L306" t="s">
        <v>74</v>
      </c>
      <c r="M306" t="s">
        <v>78</v>
      </c>
      <c r="N306" t="s">
        <v>79</v>
      </c>
      <c r="O306" t="s">
        <v>74</v>
      </c>
      <c r="P306" t="s">
        <v>74</v>
      </c>
      <c r="Q306" t="s">
        <v>74</v>
      </c>
      <c r="R306" t="s">
        <v>74</v>
      </c>
      <c r="S306" t="s">
        <v>74</v>
      </c>
      <c r="T306" t="s">
        <v>5934</v>
      </c>
      <c r="U306" t="s">
        <v>5935</v>
      </c>
      <c r="V306" t="s">
        <v>5936</v>
      </c>
      <c r="W306" t="s">
        <v>5937</v>
      </c>
      <c r="X306" t="s">
        <v>5938</v>
      </c>
      <c r="Y306" t="s">
        <v>5939</v>
      </c>
      <c r="Z306" t="s">
        <v>5940</v>
      </c>
      <c r="AA306" t="s">
        <v>5941</v>
      </c>
      <c r="AB306" t="s">
        <v>5942</v>
      </c>
      <c r="AC306" t="s">
        <v>5943</v>
      </c>
      <c r="AD306" t="s">
        <v>5944</v>
      </c>
      <c r="AE306" t="s">
        <v>5945</v>
      </c>
      <c r="AF306" t="s">
        <v>74</v>
      </c>
      <c r="AG306">
        <v>58</v>
      </c>
      <c r="AH306">
        <v>28</v>
      </c>
      <c r="AI306">
        <v>35</v>
      </c>
      <c r="AJ306">
        <v>1</v>
      </c>
      <c r="AK306">
        <v>30</v>
      </c>
      <c r="AL306" t="s">
        <v>1850</v>
      </c>
      <c r="AM306" t="s">
        <v>684</v>
      </c>
      <c r="AN306" t="s">
        <v>3108</v>
      </c>
      <c r="AO306" t="s">
        <v>3109</v>
      </c>
      <c r="AP306" t="s">
        <v>3110</v>
      </c>
      <c r="AQ306" t="s">
        <v>74</v>
      </c>
      <c r="AR306" t="s">
        <v>3111</v>
      </c>
      <c r="AS306" t="s">
        <v>3112</v>
      </c>
      <c r="AT306" t="s">
        <v>4386</v>
      </c>
      <c r="AU306">
        <v>2009</v>
      </c>
      <c r="AV306">
        <v>32</v>
      </c>
      <c r="AW306">
        <v>11</v>
      </c>
      <c r="AX306" t="s">
        <v>74</v>
      </c>
      <c r="AY306" t="s">
        <v>74</v>
      </c>
      <c r="AZ306" t="s">
        <v>74</v>
      </c>
      <c r="BA306" t="s">
        <v>74</v>
      </c>
      <c r="BB306">
        <v>1571</v>
      </c>
      <c r="BC306">
        <v>1582</v>
      </c>
      <c r="BD306" t="s">
        <v>74</v>
      </c>
      <c r="BE306" t="s">
        <v>5946</v>
      </c>
      <c r="BF306" t="str">
        <f>HYPERLINK("http://dx.doi.org/10.1007/s00300-009-0656-8","http://dx.doi.org/10.1007/s00300-009-0656-8")</f>
        <v>http://dx.doi.org/10.1007/s00300-009-0656-8</v>
      </c>
      <c r="BG306" t="s">
        <v>74</v>
      </c>
      <c r="BH306" t="s">
        <v>74</v>
      </c>
      <c r="BI306">
        <v>12</v>
      </c>
      <c r="BJ306" t="s">
        <v>3114</v>
      </c>
      <c r="BK306" t="s">
        <v>98</v>
      </c>
      <c r="BL306" t="s">
        <v>3115</v>
      </c>
      <c r="BM306" t="s">
        <v>5929</v>
      </c>
      <c r="BN306" t="s">
        <v>74</v>
      </c>
      <c r="BO306" t="s">
        <v>74</v>
      </c>
      <c r="BP306" t="s">
        <v>74</v>
      </c>
      <c r="BQ306" t="s">
        <v>74</v>
      </c>
      <c r="BR306" t="s">
        <v>101</v>
      </c>
      <c r="BS306" t="s">
        <v>5947</v>
      </c>
      <c r="BT306" t="str">
        <f>HYPERLINK("https%3A%2F%2Fwww.webofscience.com%2Fwos%2Fwoscc%2Ffull-record%2FWOS:000271088200003","View Full Record in Web of Science")</f>
        <v>View Full Record in Web of Science</v>
      </c>
    </row>
    <row r="307" spans="1:72" x14ac:dyDescent="0.15">
      <c r="A307" t="s">
        <v>72</v>
      </c>
      <c r="B307" t="s">
        <v>5948</v>
      </c>
      <c r="C307" t="s">
        <v>74</v>
      </c>
      <c r="D307" t="s">
        <v>74</v>
      </c>
      <c r="E307" t="s">
        <v>74</v>
      </c>
      <c r="F307" t="s">
        <v>5949</v>
      </c>
      <c r="G307" t="s">
        <v>74</v>
      </c>
      <c r="H307" t="s">
        <v>74</v>
      </c>
      <c r="I307" t="s">
        <v>5950</v>
      </c>
      <c r="J307" t="s">
        <v>3098</v>
      </c>
      <c r="K307" t="s">
        <v>74</v>
      </c>
      <c r="L307" t="s">
        <v>74</v>
      </c>
      <c r="M307" t="s">
        <v>78</v>
      </c>
      <c r="N307" t="s">
        <v>79</v>
      </c>
      <c r="O307" t="s">
        <v>74</v>
      </c>
      <c r="P307" t="s">
        <v>74</v>
      </c>
      <c r="Q307" t="s">
        <v>74</v>
      </c>
      <c r="R307" t="s">
        <v>74</v>
      </c>
      <c r="S307" t="s">
        <v>74</v>
      </c>
      <c r="T307" t="s">
        <v>5951</v>
      </c>
      <c r="U307" t="s">
        <v>5952</v>
      </c>
      <c r="V307" t="s">
        <v>5953</v>
      </c>
      <c r="W307" t="s">
        <v>5954</v>
      </c>
      <c r="X307" t="s">
        <v>5955</v>
      </c>
      <c r="Y307" t="s">
        <v>5956</v>
      </c>
      <c r="Z307" t="s">
        <v>5957</v>
      </c>
      <c r="AA307" t="s">
        <v>5958</v>
      </c>
      <c r="AB307" t="s">
        <v>5959</v>
      </c>
      <c r="AC307" t="s">
        <v>5960</v>
      </c>
      <c r="AD307" t="s">
        <v>5961</v>
      </c>
      <c r="AE307" t="s">
        <v>5962</v>
      </c>
      <c r="AF307" t="s">
        <v>74</v>
      </c>
      <c r="AG307">
        <v>30</v>
      </c>
      <c r="AH307">
        <v>10</v>
      </c>
      <c r="AI307">
        <v>12</v>
      </c>
      <c r="AJ307">
        <v>1</v>
      </c>
      <c r="AK307">
        <v>18</v>
      </c>
      <c r="AL307" t="s">
        <v>1850</v>
      </c>
      <c r="AM307" t="s">
        <v>684</v>
      </c>
      <c r="AN307" t="s">
        <v>2272</v>
      </c>
      <c r="AO307" t="s">
        <v>3109</v>
      </c>
      <c r="AP307" t="s">
        <v>3110</v>
      </c>
      <c r="AQ307" t="s">
        <v>74</v>
      </c>
      <c r="AR307" t="s">
        <v>3111</v>
      </c>
      <c r="AS307" t="s">
        <v>3112</v>
      </c>
      <c r="AT307" t="s">
        <v>4386</v>
      </c>
      <c r="AU307">
        <v>2009</v>
      </c>
      <c r="AV307">
        <v>32</v>
      </c>
      <c r="AW307">
        <v>11</v>
      </c>
      <c r="AX307" t="s">
        <v>74</v>
      </c>
      <c r="AY307" t="s">
        <v>74</v>
      </c>
      <c r="AZ307" t="s">
        <v>74</v>
      </c>
      <c r="BA307" t="s">
        <v>74</v>
      </c>
      <c r="BB307">
        <v>1597</v>
      </c>
      <c r="BC307">
        <v>1606</v>
      </c>
      <c r="BD307" t="s">
        <v>74</v>
      </c>
      <c r="BE307" t="s">
        <v>5963</v>
      </c>
      <c r="BF307" t="str">
        <f>HYPERLINK("http://dx.doi.org/10.1007/s00300-009-0658-6","http://dx.doi.org/10.1007/s00300-009-0658-6")</f>
        <v>http://dx.doi.org/10.1007/s00300-009-0658-6</v>
      </c>
      <c r="BG307" t="s">
        <v>74</v>
      </c>
      <c r="BH307" t="s">
        <v>74</v>
      </c>
      <c r="BI307">
        <v>10</v>
      </c>
      <c r="BJ307" t="s">
        <v>3114</v>
      </c>
      <c r="BK307" t="s">
        <v>98</v>
      </c>
      <c r="BL307" t="s">
        <v>3115</v>
      </c>
      <c r="BM307" t="s">
        <v>5929</v>
      </c>
      <c r="BN307" t="s">
        <v>74</v>
      </c>
      <c r="BO307" t="s">
        <v>74</v>
      </c>
      <c r="BP307" t="s">
        <v>74</v>
      </c>
      <c r="BQ307" t="s">
        <v>74</v>
      </c>
      <c r="BR307" t="s">
        <v>101</v>
      </c>
      <c r="BS307" t="s">
        <v>5964</v>
      </c>
      <c r="BT307" t="str">
        <f>HYPERLINK("https%3A%2F%2Fwww.webofscience.com%2Fwos%2Fwoscc%2Ffull-record%2FWOS:000271088200005","View Full Record in Web of Science")</f>
        <v>View Full Record in Web of Science</v>
      </c>
    </row>
    <row r="308" spans="1:72" x14ac:dyDescent="0.15">
      <c r="A308" t="s">
        <v>72</v>
      </c>
      <c r="B308" t="s">
        <v>5965</v>
      </c>
      <c r="C308" t="s">
        <v>74</v>
      </c>
      <c r="D308" t="s">
        <v>74</v>
      </c>
      <c r="E308" t="s">
        <v>74</v>
      </c>
      <c r="F308" t="s">
        <v>5966</v>
      </c>
      <c r="G308" t="s">
        <v>74</v>
      </c>
      <c r="H308" t="s">
        <v>74</v>
      </c>
      <c r="I308" t="s">
        <v>5967</v>
      </c>
      <c r="J308" t="s">
        <v>3098</v>
      </c>
      <c r="K308" t="s">
        <v>74</v>
      </c>
      <c r="L308" t="s">
        <v>74</v>
      </c>
      <c r="M308" t="s">
        <v>78</v>
      </c>
      <c r="N308" t="s">
        <v>79</v>
      </c>
      <c r="O308" t="s">
        <v>74</v>
      </c>
      <c r="P308" t="s">
        <v>74</v>
      </c>
      <c r="Q308" t="s">
        <v>74</v>
      </c>
      <c r="R308" t="s">
        <v>74</v>
      </c>
      <c r="S308" t="s">
        <v>74</v>
      </c>
      <c r="T308" t="s">
        <v>5968</v>
      </c>
      <c r="U308" t="s">
        <v>5969</v>
      </c>
      <c r="V308" t="s">
        <v>5970</v>
      </c>
      <c r="W308" t="s">
        <v>5971</v>
      </c>
      <c r="X308" t="s">
        <v>5972</v>
      </c>
      <c r="Y308" t="s">
        <v>5973</v>
      </c>
      <c r="Z308" t="s">
        <v>5974</v>
      </c>
      <c r="AA308" t="s">
        <v>5975</v>
      </c>
      <c r="AB308" t="s">
        <v>5976</v>
      </c>
      <c r="AC308" t="s">
        <v>5977</v>
      </c>
      <c r="AD308" t="s">
        <v>5978</v>
      </c>
      <c r="AE308" t="s">
        <v>5979</v>
      </c>
      <c r="AF308" t="s">
        <v>74</v>
      </c>
      <c r="AG308">
        <v>43</v>
      </c>
      <c r="AH308">
        <v>49</v>
      </c>
      <c r="AI308">
        <v>57</v>
      </c>
      <c r="AJ308">
        <v>0</v>
      </c>
      <c r="AK308">
        <v>37</v>
      </c>
      <c r="AL308" t="s">
        <v>1850</v>
      </c>
      <c r="AM308" t="s">
        <v>684</v>
      </c>
      <c r="AN308" t="s">
        <v>3108</v>
      </c>
      <c r="AO308" t="s">
        <v>3109</v>
      </c>
      <c r="AP308" t="s">
        <v>3110</v>
      </c>
      <c r="AQ308" t="s">
        <v>74</v>
      </c>
      <c r="AR308" t="s">
        <v>3111</v>
      </c>
      <c r="AS308" t="s">
        <v>3112</v>
      </c>
      <c r="AT308" t="s">
        <v>4386</v>
      </c>
      <c r="AU308">
        <v>2009</v>
      </c>
      <c r="AV308">
        <v>32</v>
      </c>
      <c r="AW308">
        <v>11</v>
      </c>
      <c r="AX308" t="s">
        <v>74</v>
      </c>
      <c r="AY308" t="s">
        <v>74</v>
      </c>
      <c r="AZ308" t="s">
        <v>74</v>
      </c>
      <c r="BA308" t="s">
        <v>74</v>
      </c>
      <c r="BB308">
        <v>1607</v>
      </c>
      <c r="BC308">
        <v>1615</v>
      </c>
      <c r="BD308" t="s">
        <v>74</v>
      </c>
      <c r="BE308" t="s">
        <v>5980</v>
      </c>
      <c r="BF308" t="str">
        <f>HYPERLINK("http://dx.doi.org/10.1007/s00300-009-0659-5","http://dx.doi.org/10.1007/s00300-009-0659-5")</f>
        <v>http://dx.doi.org/10.1007/s00300-009-0659-5</v>
      </c>
      <c r="BG308" t="s">
        <v>74</v>
      </c>
      <c r="BH308" t="s">
        <v>74</v>
      </c>
      <c r="BI308">
        <v>9</v>
      </c>
      <c r="BJ308" t="s">
        <v>3114</v>
      </c>
      <c r="BK308" t="s">
        <v>98</v>
      </c>
      <c r="BL308" t="s">
        <v>3115</v>
      </c>
      <c r="BM308" t="s">
        <v>5929</v>
      </c>
      <c r="BN308" t="s">
        <v>74</v>
      </c>
      <c r="BO308" t="s">
        <v>74</v>
      </c>
      <c r="BP308" t="s">
        <v>74</v>
      </c>
      <c r="BQ308" t="s">
        <v>74</v>
      </c>
      <c r="BR308" t="s">
        <v>101</v>
      </c>
      <c r="BS308" t="s">
        <v>5981</v>
      </c>
      <c r="BT308" t="str">
        <f>HYPERLINK("https%3A%2F%2Fwww.webofscience.com%2Fwos%2Fwoscc%2Ffull-record%2FWOS:000271088200006","View Full Record in Web of Science")</f>
        <v>View Full Record in Web of Science</v>
      </c>
    </row>
    <row r="309" spans="1:72" x14ac:dyDescent="0.15">
      <c r="A309" t="s">
        <v>72</v>
      </c>
      <c r="B309" t="s">
        <v>5982</v>
      </c>
      <c r="C309" t="s">
        <v>74</v>
      </c>
      <c r="D309" t="s">
        <v>74</v>
      </c>
      <c r="E309" t="s">
        <v>74</v>
      </c>
      <c r="F309" t="s">
        <v>5983</v>
      </c>
      <c r="G309" t="s">
        <v>74</v>
      </c>
      <c r="H309" t="s">
        <v>74</v>
      </c>
      <c r="I309" t="s">
        <v>5984</v>
      </c>
      <c r="J309" t="s">
        <v>3098</v>
      </c>
      <c r="K309" t="s">
        <v>74</v>
      </c>
      <c r="L309" t="s">
        <v>74</v>
      </c>
      <c r="M309" t="s">
        <v>78</v>
      </c>
      <c r="N309" t="s">
        <v>79</v>
      </c>
      <c r="O309" t="s">
        <v>74</v>
      </c>
      <c r="P309" t="s">
        <v>74</v>
      </c>
      <c r="Q309" t="s">
        <v>74</v>
      </c>
      <c r="R309" t="s">
        <v>74</v>
      </c>
      <c r="S309" t="s">
        <v>74</v>
      </c>
      <c r="T309" t="s">
        <v>5985</v>
      </c>
      <c r="U309" t="s">
        <v>5986</v>
      </c>
      <c r="V309" t="s">
        <v>5987</v>
      </c>
      <c r="W309" t="s">
        <v>5988</v>
      </c>
      <c r="X309" t="s">
        <v>5989</v>
      </c>
      <c r="Y309" t="s">
        <v>5990</v>
      </c>
      <c r="Z309" t="s">
        <v>5991</v>
      </c>
      <c r="AA309" t="s">
        <v>74</v>
      </c>
      <c r="AB309" t="s">
        <v>74</v>
      </c>
      <c r="AC309" t="s">
        <v>74</v>
      </c>
      <c r="AD309" t="s">
        <v>74</v>
      </c>
      <c r="AE309" t="s">
        <v>74</v>
      </c>
      <c r="AF309" t="s">
        <v>74</v>
      </c>
      <c r="AG309">
        <v>36</v>
      </c>
      <c r="AH309">
        <v>10</v>
      </c>
      <c r="AI309">
        <v>13</v>
      </c>
      <c r="AJ309">
        <v>0</v>
      </c>
      <c r="AK309">
        <v>11</v>
      </c>
      <c r="AL309" t="s">
        <v>1850</v>
      </c>
      <c r="AM309" t="s">
        <v>684</v>
      </c>
      <c r="AN309" t="s">
        <v>2272</v>
      </c>
      <c r="AO309" t="s">
        <v>3109</v>
      </c>
      <c r="AP309" t="s">
        <v>3110</v>
      </c>
      <c r="AQ309" t="s">
        <v>74</v>
      </c>
      <c r="AR309" t="s">
        <v>3111</v>
      </c>
      <c r="AS309" t="s">
        <v>3112</v>
      </c>
      <c r="AT309" t="s">
        <v>4386</v>
      </c>
      <c r="AU309">
        <v>2009</v>
      </c>
      <c r="AV309">
        <v>32</v>
      </c>
      <c r="AW309">
        <v>11</v>
      </c>
      <c r="AX309" t="s">
        <v>74</v>
      </c>
      <c r="AY309" t="s">
        <v>74</v>
      </c>
      <c r="AZ309" t="s">
        <v>74</v>
      </c>
      <c r="BA309" t="s">
        <v>74</v>
      </c>
      <c r="BB309">
        <v>1617</v>
      </c>
      <c r="BC309">
        <v>1627</v>
      </c>
      <c r="BD309" t="s">
        <v>74</v>
      </c>
      <c r="BE309" t="s">
        <v>5992</v>
      </c>
      <c r="BF309" t="str">
        <f>HYPERLINK("http://dx.doi.org/10.1007/s00300-009-0660-z","http://dx.doi.org/10.1007/s00300-009-0660-z")</f>
        <v>http://dx.doi.org/10.1007/s00300-009-0660-z</v>
      </c>
      <c r="BG309" t="s">
        <v>74</v>
      </c>
      <c r="BH309" t="s">
        <v>74</v>
      </c>
      <c r="BI309">
        <v>11</v>
      </c>
      <c r="BJ309" t="s">
        <v>3114</v>
      </c>
      <c r="BK309" t="s">
        <v>98</v>
      </c>
      <c r="BL309" t="s">
        <v>3115</v>
      </c>
      <c r="BM309" t="s">
        <v>5929</v>
      </c>
      <c r="BN309" t="s">
        <v>74</v>
      </c>
      <c r="BO309" t="s">
        <v>74</v>
      </c>
      <c r="BP309" t="s">
        <v>74</v>
      </c>
      <c r="BQ309" t="s">
        <v>74</v>
      </c>
      <c r="BR309" t="s">
        <v>101</v>
      </c>
      <c r="BS309" t="s">
        <v>5993</v>
      </c>
      <c r="BT309" t="str">
        <f>HYPERLINK("https%3A%2F%2Fwww.webofscience.com%2Fwos%2Fwoscc%2Ffull-record%2FWOS:000271088200007","View Full Record in Web of Science")</f>
        <v>View Full Record in Web of Science</v>
      </c>
    </row>
    <row r="310" spans="1:72" x14ac:dyDescent="0.15">
      <c r="A310" t="s">
        <v>72</v>
      </c>
      <c r="B310" t="s">
        <v>5994</v>
      </c>
      <c r="C310" t="s">
        <v>74</v>
      </c>
      <c r="D310" t="s">
        <v>74</v>
      </c>
      <c r="E310" t="s">
        <v>74</v>
      </c>
      <c r="F310" t="s">
        <v>5995</v>
      </c>
      <c r="G310" t="s">
        <v>74</v>
      </c>
      <c r="H310" t="s">
        <v>74</v>
      </c>
      <c r="I310" t="s">
        <v>5996</v>
      </c>
      <c r="J310" t="s">
        <v>3098</v>
      </c>
      <c r="K310" t="s">
        <v>74</v>
      </c>
      <c r="L310" t="s">
        <v>74</v>
      </c>
      <c r="M310" t="s">
        <v>78</v>
      </c>
      <c r="N310" t="s">
        <v>79</v>
      </c>
      <c r="O310" t="s">
        <v>74</v>
      </c>
      <c r="P310" t="s">
        <v>74</v>
      </c>
      <c r="Q310" t="s">
        <v>74</v>
      </c>
      <c r="R310" t="s">
        <v>74</v>
      </c>
      <c r="S310" t="s">
        <v>74</v>
      </c>
      <c r="T310" t="s">
        <v>5997</v>
      </c>
      <c r="U310" t="s">
        <v>5998</v>
      </c>
      <c r="V310" t="s">
        <v>5999</v>
      </c>
      <c r="W310" t="s">
        <v>6000</v>
      </c>
      <c r="X310" t="s">
        <v>6001</v>
      </c>
      <c r="Y310" t="s">
        <v>6002</v>
      </c>
      <c r="Z310" t="s">
        <v>6003</v>
      </c>
      <c r="AA310" t="s">
        <v>6004</v>
      </c>
      <c r="AB310" t="s">
        <v>4904</v>
      </c>
      <c r="AC310" t="s">
        <v>6005</v>
      </c>
      <c r="AD310" t="s">
        <v>6006</v>
      </c>
      <c r="AE310" t="s">
        <v>6007</v>
      </c>
      <c r="AF310" t="s">
        <v>74</v>
      </c>
      <c r="AG310">
        <v>61</v>
      </c>
      <c r="AH310">
        <v>37</v>
      </c>
      <c r="AI310">
        <v>41</v>
      </c>
      <c r="AJ310">
        <v>1</v>
      </c>
      <c r="AK310">
        <v>9</v>
      </c>
      <c r="AL310" t="s">
        <v>1850</v>
      </c>
      <c r="AM310" t="s">
        <v>684</v>
      </c>
      <c r="AN310" t="s">
        <v>3108</v>
      </c>
      <c r="AO310" t="s">
        <v>3109</v>
      </c>
      <c r="AP310" t="s">
        <v>3110</v>
      </c>
      <c r="AQ310" t="s">
        <v>74</v>
      </c>
      <c r="AR310" t="s">
        <v>3111</v>
      </c>
      <c r="AS310" t="s">
        <v>3112</v>
      </c>
      <c r="AT310" t="s">
        <v>4386</v>
      </c>
      <c r="AU310">
        <v>2009</v>
      </c>
      <c r="AV310">
        <v>32</v>
      </c>
      <c r="AW310">
        <v>11</v>
      </c>
      <c r="AX310" t="s">
        <v>74</v>
      </c>
      <c r="AY310" t="s">
        <v>74</v>
      </c>
      <c r="AZ310" t="s">
        <v>74</v>
      </c>
      <c r="BA310" t="s">
        <v>74</v>
      </c>
      <c r="BB310">
        <v>1629</v>
      </c>
      <c r="BC310">
        <v>1637</v>
      </c>
      <c r="BD310" t="s">
        <v>74</v>
      </c>
      <c r="BE310" t="s">
        <v>6008</v>
      </c>
      <c r="BF310" t="str">
        <f>HYPERLINK("http://dx.doi.org/10.1007/s00300-009-0662-x","http://dx.doi.org/10.1007/s00300-009-0662-x")</f>
        <v>http://dx.doi.org/10.1007/s00300-009-0662-x</v>
      </c>
      <c r="BG310" t="s">
        <v>74</v>
      </c>
      <c r="BH310" t="s">
        <v>74</v>
      </c>
      <c r="BI310">
        <v>9</v>
      </c>
      <c r="BJ310" t="s">
        <v>3114</v>
      </c>
      <c r="BK310" t="s">
        <v>98</v>
      </c>
      <c r="BL310" t="s">
        <v>3115</v>
      </c>
      <c r="BM310" t="s">
        <v>5929</v>
      </c>
      <c r="BN310" t="s">
        <v>74</v>
      </c>
      <c r="BO310" t="s">
        <v>74</v>
      </c>
      <c r="BP310" t="s">
        <v>74</v>
      </c>
      <c r="BQ310" t="s">
        <v>74</v>
      </c>
      <c r="BR310" t="s">
        <v>101</v>
      </c>
      <c r="BS310" t="s">
        <v>6009</v>
      </c>
      <c r="BT310" t="str">
        <f>HYPERLINK("https%3A%2F%2Fwww.webofscience.com%2Fwos%2Fwoscc%2Ffull-record%2FWOS:000271088200008","View Full Record in Web of Science")</f>
        <v>View Full Record in Web of Science</v>
      </c>
    </row>
    <row r="311" spans="1:72" x14ac:dyDescent="0.15">
      <c r="A311" t="s">
        <v>72</v>
      </c>
      <c r="B311" t="s">
        <v>6010</v>
      </c>
      <c r="C311" t="s">
        <v>74</v>
      </c>
      <c r="D311" t="s">
        <v>74</v>
      </c>
      <c r="E311" t="s">
        <v>74</v>
      </c>
      <c r="F311" t="s">
        <v>6011</v>
      </c>
      <c r="G311" t="s">
        <v>74</v>
      </c>
      <c r="H311" t="s">
        <v>74</v>
      </c>
      <c r="I311" t="s">
        <v>6012</v>
      </c>
      <c r="J311" t="s">
        <v>3098</v>
      </c>
      <c r="K311" t="s">
        <v>74</v>
      </c>
      <c r="L311" t="s">
        <v>74</v>
      </c>
      <c r="M311" t="s">
        <v>78</v>
      </c>
      <c r="N311" t="s">
        <v>79</v>
      </c>
      <c r="O311" t="s">
        <v>74</v>
      </c>
      <c r="P311" t="s">
        <v>74</v>
      </c>
      <c r="Q311" t="s">
        <v>74</v>
      </c>
      <c r="R311" t="s">
        <v>74</v>
      </c>
      <c r="S311" t="s">
        <v>74</v>
      </c>
      <c r="T311" t="s">
        <v>6013</v>
      </c>
      <c r="U311" t="s">
        <v>6014</v>
      </c>
      <c r="V311" t="s">
        <v>6015</v>
      </c>
      <c r="W311" t="s">
        <v>6016</v>
      </c>
      <c r="X311" t="s">
        <v>6017</v>
      </c>
      <c r="Y311" t="s">
        <v>6018</v>
      </c>
      <c r="Z311" t="s">
        <v>6019</v>
      </c>
      <c r="AA311" t="s">
        <v>6020</v>
      </c>
      <c r="AB311" t="s">
        <v>6021</v>
      </c>
      <c r="AC311" t="s">
        <v>6022</v>
      </c>
      <c r="AD311" t="s">
        <v>6023</v>
      </c>
      <c r="AE311" t="s">
        <v>6024</v>
      </c>
      <c r="AF311" t="s">
        <v>74</v>
      </c>
      <c r="AG311">
        <v>29</v>
      </c>
      <c r="AH311">
        <v>29</v>
      </c>
      <c r="AI311">
        <v>31</v>
      </c>
      <c r="AJ311">
        <v>0</v>
      </c>
      <c r="AK311">
        <v>13</v>
      </c>
      <c r="AL311" t="s">
        <v>1850</v>
      </c>
      <c r="AM311" t="s">
        <v>684</v>
      </c>
      <c r="AN311" t="s">
        <v>3108</v>
      </c>
      <c r="AO311" t="s">
        <v>3109</v>
      </c>
      <c r="AP311" t="s">
        <v>3110</v>
      </c>
      <c r="AQ311" t="s">
        <v>74</v>
      </c>
      <c r="AR311" t="s">
        <v>3111</v>
      </c>
      <c r="AS311" t="s">
        <v>3112</v>
      </c>
      <c r="AT311" t="s">
        <v>4386</v>
      </c>
      <c r="AU311">
        <v>2009</v>
      </c>
      <c r="AV311">
        <v>32</v>
      </c>
      <c r="AW311">
        <v>11</v>
      </c>
      <c r="AX311" t="s">
        <v>74</v>
      </c>
      <c r="AY311" t="s">
        <v>74</v>
      </c>
      <c r="AZ311" t="s">
        <v>74</v>
      </c>
      <c r="BA311" t="s">
        <v>74</v>
      </c>
      <c r="BB311">
        <v>1639</v>
      </c>
      <c r="BC311">
        <v>1647</v>
      </c>
      <c r="BD311" t="s">
        <v>74</v>
      </c>
      <c r="BE311" t="s">
        <v>6025</v>
      </c>
      <c r="BF311" t="str">
        <f>HYPERLINK("http://dx.doi.org/10.1007/s00300-009-0663-9","http://dx.doi.org/10.1007/s00300-009-0663-9")</f>
        <v>http://dx.doi.org/10.1007/s00300-009-0663-9</v>
      </c>
      <c r="BG311" t="s">
        <v>74</v>
      </c>
      <c r="BH311" t="s">
        <v>74</v>
      </c>
      <c r="BI311">
        <v>9</v>
      </c>
      <c r="BJ311" t="s">
        <v>3114</v>
      </c>
      <c r="BK311" t="s">
        <v>98</v>
      </c>
      <c r="BL311" t="s">
        <v>3115</v>
      </c>
      <c r="BM311" t="s">
        <v>5929</v>
      </c>
      <c r="BN311" t="s">
        <v>74</v>
      </c>
      <c r="BO311" t="s">
        <v>74</v>
      </c>
      <c r="BP311" t="s">
        <v>74</v>
      </c>
      <c r="BQ311" t="s">
        <v>74</v>
      </c>
      <c r="BR311" t="s">
        <v>101</v>
      </c>
      <c r="BS311" t="s">
        <v>6026</v>
      </c>
      <c r="BT311" t="str">
        <f>HYPERLINK("https%3A%2F%2Fwww.webofscience.com%2Fwos%2Fwoscc%2Ffull-record%2FWOS:000271088200009","View Full Record in Web of Science")</f>
        <v>View Full Record in Web of Science</v>
      </c>
    </row>
    <row r="312" spans="1:72" x14ac:dyDescent="0.15">
      <c r="A312" t="s">
        <v>72</v>
      </c>
      <c r="B312" t="s">
        <v>6027</v>
      </c>
      <c r="C312" t="s">
        <v>74</v>
      </c>
      <c r="D312" t="s">
        <v>74</v>
      </c>
      <c r="E312" t="s">
        <v>74</v>
      </c>
      <c r="F312" t="s">
        <v>6028</v>
      </c>
      <c r="G312" t="s">
        <v>74</v>
      </c>
      <c r="H312" t="s">
        <v>74</v>
      </c>
      <c r="I312" t="s">
        <v>6029</v>
      </c>
      <c r="J312" t="s">
        <v>6030</v>
      </c>
      <c r="K312" t="s">
        <v>74</v>
      </c>
      <c r="L312" t="s">
        <v>74</v>
      </c>
      <c r="M312" t="s">
        <v>78</v>
      </c>
      <c r="N312" t="s">
        <v>79</v>
      </c>
      <c r="O312" t="s">
        <v>74</v>
      </c>
      <c r="P312" t="s">
        <v>74</v>
      </c>
      <c r="Q312" t="s">
        <v>74</v>
      </c>
      <c r="R312" t="s">
        <v>74</v>
      </c>
      <c r="S312" t="s">
        <v>74</v>
      </c>
      <c r="T312" t="s">
        <v>6031</v>
      </c>
      <c r="U312" t="s">
        <v>6032</v>
      </c>
      <c r="V312" t="s">
        <v>6033</v>
      </c>
      <c r="W312" t="s">
        <v>6034</v>
      </c>
      <c r="X312" t="s">
        <v>6035</v>
      </c>
      <c r="Y312" t="s">
        <v>6036</v>
      </c>
      <c r="Z312" t="s">
        <v>6037</v>
      </c>
      <c r="AA312" t="s">
        <v>6038</v>
      </c>
      <c r="AB312" t="s">
        <v>6039</v>
      </c>
      <c r="AC312" t="s">
        <v>6040</v>
      </c>
      <c r="AD312" t="s">
        <v>6041</v>
      </c>
      <c r="AE312" t="s">
        <v>6042</v>
      </c>
      <c r="AF312" t="s">
        <v>74</v>
      </c>
      <c r="AG312">
        <v>75</v>
      </c>
      <c r="AH312">
        <v>3</v>
      </c>
      <c r="AI312">
        <v>3</v>
      </c>
      <c r="AJ312">
        <v>1</v>
      </c>
      <c r="AK312">
        <v>1</v>
      </c>
      <c r="AL312" t="s">
        <v>305</v>
      </c>
      <c r="AM312" t="s">
        <v>281</v>
      </c>
      <c r="AN312" t="s">
        <v>306</v>
      </c>
      <c r="AO312" t="s">
        <v>6043</v>
      </c>
      <c r="AP312" t="s">
        <v>6044</v>
      </c>
      <c r="AQ312" t="s">
        <v>74</v>
      </c>
      <c r="AR312" t="s">
        <v>6045</v>
      </c>
      <c r="AS312" t="s">
        <v>6046</v>
      </c>
      <c r="AT312" t="s">
        <v>4386</v>
      </c>
      <c r="AU312">
        <v>2009</v>
      </c>
      <c r="AV312">
        <v>3</v>
      </c>
      <c r="AW312">
        <v>3</v>
      </c>
      <c r="AX312" t="s">
        <v>74</v>
      </c>
      <c r="AY312" t="s">
        <v>74</v>
      </c>
      <c r="AZ312" t="s">
        <v>74</v>
      </c>
      <c r="BA312" t="s">
        <v>74</v>
      </c>
      <c r="BB312">
        <v>139</v>
      </c>
      <c r="BC312">
        <v>146</v>
      </c>
      <c r="BD312" t="s">
        <v>74</v>
      </c>
      <c r="BE312" t="s">
        <v>6047</v>
      </c>
      <c r="BF312" t="str">
        <f>HYPERLINK("http://dx.doi.org/10.1016/j.polar.2009.05.001","http://dx.doi.org/10.1016/j.polar.2009.05.001")</f>
        <v>http://dx.doi.org/10.1016/j.polar.2009.05.001</v>
      </c>
      <c r="BG312" t="s">
        <v>74</v>
      </c>
      <c r="BH312" t="s">
        <v>74</v>
      </c>
      <c r="BI312">
        <v>8</v>
      </c>
      <c r="BJ312" t="s">
        <v>6048</v>
      </c>
      <c r="BK312" t="s">
        <v>98</v>
      </c>
      <c r="BL312" t="s">
        <v>4308</v>
      </c>
      <c r="BM312" t="s">
        <v>6049</v>
      </c>
      <c r="BN312" t="s">
        <v>74</v>
      </c>
      <c r="BO312" t="s">
        <v>765</v>
      </c>
      <c r="BP312" t="s">
        <v>74</v>
      </c>
      <c r="BQ312" t="s">
        <v>74</v>
      </c>
      <c r="BR312" t="s">
        <v>101</v>
      </c>
      <c r="BS312" t="s">
        <v>6050</v>
      </c>
      <c r="BT312" t="str">
        <f>HYPERLINK("https%3A%2F%2Fwww.webofscience.com%2Fwos%2Fwoscc%2Ffull-record%2FWOS:000209028600001","View Full Record in Web of Science")</f>
        <v>View Full Record in Web of Science</v>
      </c>
    </row>
    <row r="313" spans="1:72" x14ac:dyDescent="0.15">
      <c r="A313" t="s">
        <v>72</v>
      </c>
      <c r="B313" t="s">
        <v>6051</v>
      </c>
      <c r="C313" t="s">
        <v>74</v>
      </c>
      <c r="D313" t="s">
        <v>74</v>
      </c>
      <c r="E313" t="s">
        <v>74</v>
      </c>
      <c r="F313" t="s">
        <v>6052</v>
      </c>
      <c r="G313" t="s">
        <v>74</v>
      </c>
      <c r="H313" t="s">
        <v>74</v>
      </c>
      <c r="I313" t="s">
        <v>6053</v>
      </c>
      <c r="J313" t="s">
        <v>6030</v>
      </c>
      <c r="K313" t="s">
        <v>74</v>
      </c>
      <c r="L313" t="s">
        <v>74</v>
      </c>
      <c r="M313" t="s">
        <v>78</v>
      </c>
      <c r="N313" t="s">
        <v>79</v>
      </c>
      <c r="O313" t="s">
        <v>74</v>
      </c>
      <c r="P313" t="s">
        <v>74</v>
      </c>
      <c r="Q313" t="s">
        <v>74</v>
      </c>
      <c r="R313" t="s">
        <v>74</v>
      </c>
      <c r="S313" t="s">
        <v>74</v>
      </c>
      <c r="T313" t="s">
        <v>6054</v>
      </c>
      <c r="U313" t="s">
        <v>6055</v>
      </c>
      <c r="V313" t="s">
        <v>6056</v>
      </c>
      <c r="W313" t="s">
        <v>6057</v>
      </c>
      <c r="X313" t="s">
        <v>6058</v>
      </c>
      <c r="Y313" t="s">
        <v>6059</v>
      </c>
      <c r="Z313" t="s">
        <v>6060</v>
      </c>
      <c r="AA313" t="s">
        <v>6061</v>
      </c>
      <c r="AB313" t="s">
        <v>6062</v>
      </c>
      <c r="AC313" t="s">
        <v>6063</v>
      </c>
      <c r="AD313" t="s">
        <v>6064</v>
      </c>
      <c r="AE313" t="s">
        <v>6065</v>
      </c>
      <c r="AF313" t="s">
        <v>74</v>
      </c>
      <c r="AG313">
        <v>25</v>
      </c>
      <c r="AH313">
        <v>46</v>
      </c>
      <c r="AI313">
        <v>49</v>
      </c>
      <c r="AJ313">
        <v>0</v>
      </c>
      <c r="AK313">
        <v>13</v>
      </c>
      <c r="AL313" t="s">
        <v>305</v>
      </c>
      <c r="AM313" t="s">
        <v>281</v>
      </c>
      <c r="AN313" t="s">
        <v>306</v>
      </c>
      <c r="AO313" t="s">
        <v>6043</v>
      </c>
      <c r="AP313" t="s">
        <v>6044</v>
      </c>
      <c r="AQ313" t="s">
        <v>74</v>
      </c>
      <c r="AR313" t="s">
        <v>6045</v>
      </c>
      <c r="AS313" t="s">
        <v>6046</v>
      </c>
      <c r="AT313" t="s">
        <v>4386</v>
      </c>
      <c r="AU313">
        <v>2009</v>
      </c>
      <c r="AV313">
        <v>3</v>
      </c>
      <c r="AW313">
        <v>3</v>
      </c>
      <c r="AX313" t="s">
        <v>74</v>
      </c>
      <c r="AY313" t="s">
        <v>74</v>
      </c>
      <c r="AZ313" t="s">
        <v>74</v>
      </c>
      <c r="BA313" t="s">
        <v>74</v>
      </c>
      <c r="BB313">
        <v>181</v>
      </c>
      <c r="BC313">
        <v>187</v>
      </c>
      <c r="BD313" t="s">
        <v>74</v>
      </c>
      <c r="BE313" t="s">
        <v>6066</v>
      </c>
      <c r="BF313" t="str">
        <f>HYPERLINK("http://dx.doi.org/10.1016/j.polar.2009.05.003","http://dx.doi.org/10.1016/j.polar.2009.05.003")</f>
        <v>http://dx.doi.org/10.1016/j.polar.2009.05.003</v>
      </c>
      <c r="BG313" t="s">
        <v>74</v>
      </c>
      <c r="BH313" t="s">
        <v>74</v>
      </c>
      <c r="BI313">
        <v>7</v>
      </c>
      <c r="BJ313" t="s">
        <v>6048</v>
      </c>
      <c r="BK313" t="s">
        <v>98</v>
      </c>
      <c r="BL313" t="s">
        <v>4308</v>
      </c>
      <c r="BM313" t="s">
        <v>6049</v>
      </c>
      <c r="BN313" t="s">
        <v>74</v>
      </c>
      <c r="BO313" t="s">
        <v>765</v>
      </c>
      <c r="BP313" t="s">
        <v>74</v>
      </c>
      <c r="BQ313" t="s">
        <v>74</v>
      </c>
      <c r="BR313" t="s">
        <v>101</v>
      </c>
      <c r="BS313" t="s">
        <v>6067</v>
      </c>
      <c r="BT313" t="str">
        <f>HYPERLINK("https%3A%2F%2Fwww.webofscience.com%2Fwos%2Fwoscc%2Ffull-record%2FWOS:000209028600005","View Full Record in Web of Science")</f>
        <v>View Full Record in Web of Science</v>
      </c>
    </row>
    <row r="314" spans="1:72" x14ac:dyDescent="0.15">
      <c r="A314" t="s">
        <v>72</v>
      </c>
      <c r="B314" t="s">
        <v>6068</v>
      </c>
      <c r="C314" t="s">
        <v>74</v>
      </c>
      <c r="D314" t="s">
        <v>74</v>
      </c>
      <c r="E314" t="s">
        <v>74</v>
      </c>
      <c r="F314" t="s">
        <v>6069</v>
      </c>
      <c r="G314" t="s">
        <v>74</v>
      </c>
      <c r="H314" t="s">
        <v>74</v>
      </c>
      <c r="I314" t="s">
        <v>6070</v>
      </c>
      <c r="J314" t="s">
        <v>6030</v>
      </c>
      <c r="K314" t="s">
        <v>74</v>
      </c>
      <c r="L314" t="s">
        <v>74</v>
      </c>
      <c r="M314" t="s">
        <v>78</v>
      </c>
      <c r="N314" t="s">
        <v>79</v>
      </c>
      <c r="O314" t="s">
        <v>74</v>
      </c>
      <c r="P314" t="s">
        <v>74</v>
      </c>
      <c r="Q314" t="s">
        <v>74</v>
      </c>
      <c r="R314" t="s">
        <v>74</v>
      </c>
      <c r="S314" t="s">
        <v>74</v>
      </c>
      <c r="T314" t="s">
        <v>6071</v>
      </c>
      <c r="U314" t="s">
        <v>6072</v>
      </c>
      <c r="V314" t="s">
        <v>6073</v>
      </c>
      <c r="W314" t="s">
        <v>6074</v>
      </c>
      <c r="X314" t="s">
        <v>6075</v>
      </c>
      <c r="Y314" t="s">
        <v>6076</v>
      </c>
      <c r="Z314" t="s">
        <v>6077</v>
      </c>
      <c r="AA314" t="s">
        <v>74</v>
      </c>
      <c r="AB314" t="s">
        <v>74</v>
      </c>
      <c r="AC314" t="s">
        <v>6078</v>
      </c>
      <c r="AD314" t="s">
        <v>6079</v>
      </c>
      <c r="AE314" t="s">
        <v>6080</v>
      </c>
      <c r="AF314" t="s">
        <v>74</v>
      </c>
      <c r="AG314">
        <v>30</v>
      </c>
      <c r="AH314">
        <v>16</v>
      </c>
      <c r="AI314">
        <v>17</v>
      </c>
      <c r="AJ314">
        <v>0</v>
      </c>
      <c r="AK314">
        <v>20</v>
      </c>
      <c r="AL314" t="s">
        <v>305</v>
      </c>
      <c r="AM314" t="s">
        <v>281</v>
      </c>
      <c r="AN314" t="s">
        <v>306</v>
      </c>
      <c r="AO314" t="s">
        <v>6043</v>
      </c>
      <c r="AP314" t="s">
        <v>6044</v>
      </c>
      <c r="AQ314" t="s">
        <v>74</v>
      </c>
      <c r="AR314" t="s">
        <v>6045</v>
      </c>
      <c r="AS314" t="s">
        <v>6046</v>
      </c>
      <c r="AT314" t="s">
        <v>4386</v>
      </c>
      <c r="AU314">
        <v>2009</v>
      </c>
      <c r="AV314">
        <v>3</v>
      </c>
      <c r="AW314">
        <v>3</v>
      </c>
      <c r="AX314" t="s">
        <v>74</v>
      </c>
      <c r="AY314" t="s">
        <v>74</v>
      </c>
      <c r="AZ314" t="s">
        <v>74</v>
      </c>
      <c r="BA314" t="s">
        <v>74</v>
      </c>
      <c r="BB314">
        <v>197</v>
      </c>
      <c r="BC314">
        <v>201</v>
      </c>
      <c r="BD314" t="s">
        <v>74</v>
      </c>
      <c r="BE314" t="s">
        <v>6081</v>
      </c>
      <c r="BF314" t="str">
        <f>HYPERLINK("http://dx.doi.org/10.1016/j.polar.2009.06.002","http://dx.doi.org/10.1016/j.polar.2009.06.002")</f>
        <v>http://dx.doi.org/10.1016/j.polar.2009.06.002</v>
      </c>
      <c r="BG314" t="s">
        <v>74</v>
      </c>
      <c r="BH314" t="s">
        <v>74</v>
      </c>
      <c r="BI314">
        <v>5</v>
      </c>
      <c r="BJ314" t="s">
        <v>6048</v>
      </c>
      <c r="BK314" t="s">
        <v>98</v>
      </c>
      <c r="BL314" t="s">
        <v>4308</v>
      </c>
      <c r="BM314" t="s">
        <v>6049</v>
      </c>
      <c r="BN314" t="s">
        <v>74</v>
      </c>
      <c r="BO314" t="s">
        <v>765</v>
      </c>
      <c r="BP314" t="s">
        <v>74</v>
      </c>
      <c r="BQ314" t="s">
        <v>74</v>
      </c>
      <c r="BR314" t="s">
        <v>101</v>
      </c>
      <c r="BS314" t="s">
        <v>6082</v>
      </c>
      <c r="BT314" t="str">
        <f>HYPERLINK("https%3A%2F%2Fwww.webofscience.com%2Fwos%2Fwoscc%2Ffull-record%2FWOS:000209028600007","View Full Record in Web of Science")</f>
        <v>View Full Record in Web of Science</v>
      </c>
    </row>
    <row r="315" spans="1:72" x14ac:dyDescent="0.15">
      <c r="A315" t="s">
        <v>72</v>
      </c>
      <c r="B315" t="s">
        <v>6083</v>
      </c>
      <c r="C315" t="s">
        <v>74</v>
      </c>
      <c r="D315" t="s">
        <v>74</v>
      </c>
      <c r="E315" t="s">
        <v>74</v>
      </c>
      <c r="F315" t="s">
        <v>6084</v>
      </c>
      <c r="G315" t="s">
        <v>74</v>
      </c>
      <c r="H315" t="s">
        <v>74</v>
      </c>
      <c r="I315" t="s">
        <v>6085</v>
      </c>
      <c r="J315" t="s">
        <v>6030</v>
      </c>
      <c r="K315" t="s">
        <v>74</v>
      </c>
      <c r="L315" t="s">
        <v>74</v>
      </c>
      <c r="M315" t="s">
        <v>78</v>
      </c>
      <c r="N315" t="s">
        <v>79</v>
      </c>
      <c r="O315" t="s">
        <v>74</v>
      </c>
      <c r="P315" t="s">
        <v>74</v>
      </c>
      <c r="Q315" t="s">
        <v>74</v>
      </c>
      <c r="R315" t="s">
        <v>74</v>
      </c>
      <c r="S315" t="s">
        <v>74</v>
      </c>
      <c r="T315" t="s">
        <v>6086</v>
      </c>
      <c r="U315" t="s">
        <v>74</v>
      </c>
      <c r="V315" t="s">
        <v>6087</v>
      </c>
      <c r="W315" t="s">
        <v>6088</v>
      </c>
      <c r="X315" t="s">
        <v>6075</v>
      </c>
      <c r="Y315" t="s">
        <v>6089</v>
      </c>
      <c r="Z315" t="s">
        <v>6090</v>
      </c>
      <c r="AA315" t="s">
        <v>74</v>
      </c>
      <c r="AB315" t="s">
        <v>74</v>
      </c>
      <c r="AC315" t="s">
        <v>6091</v>
      </c>
      <c r="AD315" t="s">
        <v>6092</v>
      </c>
      <c r="AE315" t="s">
        <v>6093</v>
      </c>
      <c r="AF315" t="s">
        <v>74</v>
      </c>
      <c r="AG315">
        <v>15</v>
      </c>
      <c r="AH315">
        <v>3</v>
      </c>
      <c r="AI315">
        <v>4</v>
      </c>
      <c r="AJ315">
        <v>0</v>
      </c>
      <c r="AK315">
        <v>4</v>
      </c>
      <c r="AL315" t="s">
        <v>280</v>
      </c>
      <c r="AM315" t="s">
        <v>281</v>
      </c>
      <c r="AN315" t="s">
        <v>282</v>
      </c>
      <c r="AO315" t="s">
        <v>6043</v>
      </c>
      <c r="AP315" t="s">
        <v>6044</v>
      </c>
      <c r="AQ315" t="s">
        <v>74</v>
      </c>
      <c r="AR315" t="s">
        <v>6045</v>
      </c>
      <c r="AS315" t="s">
        <v>6046</v>
      </c>
      <c r="AT315" t="s">
        <v>4386</v>
      </c>
      <c r="AU315">
        <v>2009</v>
      </c>
      <c r="AV315">
        <v>3</v>
      </c>
      <c r="AW315">
        <v>3</v>
      </c>
      <c r="AX315" t="s">
        <v>74</v>
      </c>
      <c r="AY315" t="s">
        <v>74</v>
      </c>
      <c r="AZ315" t="s">
        <v>74</v>
      </c>
      <c r="BA315" t="s">
        <v>74</v>
      </c>
      <c r="BB315">
        <v>203</v>
      </c>
      <c r="BC315">
        <v>206</v>
      </c>
      <c r="BD315" t="s">
        <v>74</v>
      </c>
      <c r="BE315" t="s">
        <v>6094</v>
      </c>
      <c r="BF315" t="str">
        <f>HYPERLINK("http://dx.doi.org/10.1016/j.polar.2009.07.001","http://dx.doi.org/10.1016/j.polar.2009.07.001")</f>
        <v>http://dx.doi.org/10.1016/j.polar.2009.07.001</v>
      </c>
      <c r="BG315" t="s">
        <v>74</v>
      </c>
      <c r="BH315" t="s">
        <v>74</v>
      </c>
      <c r="BI315">
        <v>4</v>
      </c>
      <c r="BJ315" t="s">
        <v>6048</v>
      </c>
      <c r="BK315" t="s">
        <v>98</v>
      </c>
      <c r="BL315" t="s">
        <v>4308</v>
      </c>
      <c r="BM315" t="s">
        <v>6049</v>
      </c>
      <c r="BN315" t="s">
        <v>74</v>
      </c>
      <c r="BO315" t="s">
        <v>765</v>
      </c>
      <c r="BP315" t="s">
        <v>74</v>
      </c>
      <c r="BQ315" t="s">
        <v>74</v>
      </c>
      <c r="BR315" t="s">
        <v>101</v>
      </c>
      <c r="BS315" t="s">
        <v>6095</v>
      </c>
      <c r="BT315" t="str">
        <f>HYPERLINK("https%3A%2F%2Fwww.webofscience.com%2Fwos%2Fwoscc%2Ffull-record%2FWOS:000209028600008","View Full Record in Web of Science")</f>
        <v>View Full Record in Web of Science</v>
      </c>
    </row>
    <row r="316" spans="1:72" x14ac:dyDescent="0.15">
      <c r="A316" t="s">
        <v>72</v>
      </c>
      <c r="B316" t="s">
        <v>6096</v>
      </c>
      <c r="C316" t="s">
        <v>74</v>
      </c>
      <c r="D316" t="s">
        <v>74</v>
      </c>
      <c r="E316" t="s">
        <v>74</v>
      </c>
      <c r="F316" t="s">
        <v>6097</v>
      </c>
      <c r="G316" t="s">
        <v>74</v>
      </c>
      <c r="H316" t="s">
        <v>74</v>
      </c>
      <c r="I316" t="s">
        <v>6098</v>
      </c>
      <c r="J316" t="s">
        <v>6030</v>
      </c>
      <c r="K316" t="s">
        <v>74</v>
      </c>
      <c r="L316" t="s">
        <v>74</v>
      </c>
      <c r="M316" t="s">
        <v>78</v>
      </c>
      <c r="N316" t="s">
        <v>79</v>
      </c>
      <c r="O316" t="s">
        <v>74</v>
      </c>
      <c r="P316" t="s">
        <v>74</v>
      </c>
      <c r="Q316" t="s">
        <v>74</v>
      </c>
      <c r="R316" t="s">
        <v>74</v>
      </c>
      <c r="S316" t="s">
        <v>74</v>
      </c>
      <c r="T316" t="s">
        <v>6099</v>
      </c>
      <c r="U316" t="s">
        <v>6100</v>
      </c>
      <c r="V316" t="s">
        <v>6101</v>
      </c>
      <c r="W316" t="s">
        <v>6102</v>
      </c>
      <c r="X316" t="s">
        <v>6103</v>
      </c>
      <c r="Y316" t="s">
        <v>6104</v>
      </c>
      <c r="Z316" t="s">
        <v>6077</v>
      </c>
      <c r="AA316" t="s">
        <v>6105</v>
      </c>
      <c r="AB316" t="s">
        <v>6106</v>
      </c>
      <c r="AC316" t="s">
        <v>6107</v>
      </c>
      <c r="AD316" t="s">
        <v>6108</v>
      </c>
      <c r="AE316" t="s">
        <v>6109</v>
      </c>
      <c r="AF316" t="s">
        <v>74</v>
      </c>
      <c r="AG316">
        <v>21</v>
      </c>
      <c r="AH316">
        <v>7</v>
      </c>
      <c r="AI316">
        <v>9</v>
      </c>
      <c r="AJ316">
        <v>1</v>
      </c>
      <c r="AK316">
        <v>9</v>
      </c>
      <c r="AL316" t="s">
        <v>305</v>
      </c>
      <c r="AM316" t="s">
        <v>281</v>
      </c>
      <c r="AN316" t="s">
        <v>306</v>
      </c>
      <c r="AO316" t="s">
        <v>6043</v>
      </c>
      <c r="AP316" t="s">
        <v>6044</v>
      </c>
      <c r="AQ316" t="s">
        <v>74</v>
      </c>
      <c r="AR316" t="s">
        <v>6045</v>
      </c>
      <c r="AS316" t="s">
        <v>6046</v>
      </c>
      <c r="AT316" t="s">
        <v>4386</v>
      </c>
      <c r="AU316">
        <v>2009</v>
      </c>
      <c r="AV316">
        <v>3</v>
      </c>
      <c r="AW316">
        <v>3</v>
      </c>
      <c r="AX316" t="s">
        <v>74</v>
      </c>
      <c r="AY316" t="s">
        <v>74</v>
      </c>
      <c r="AZ316" t="s">
        <v>74</v>
      </c>
      <c r="BA316" t="s">
        <v>74</v>
      </c>
      <c r="BB316">
        <v>207</v>
      </c>
      <c r="BC316">
        <v>211</v>
      </c>
      <c r="BD316" t="s">
        <v>74</v>
      </c>
      <c r="BE316" t="s">
        <v>6110</v>
      </c>
      <c r="BF316" t="str">
        <f>HYPERLINK("http://dx.doi.org/10.1016/j.polar.2009.08.003","http://dx.doi.org/10.1016/j.polar.2009.08.003")</f>
        <v>http://dx.doi.org/10.1016/j.polar.2009.08.003</v>
      </c>
      <c r="BG316" t="s">
        <v>74</v>
      </c>
      <c r="BH316" t="s">
        <v>74</v>
      </c>
      <c r="BI316">
        <v>5</v>
      </c>
      <c r="BJ316" t="s">
        <v>6048</v>
      </c>
      <c r="BK316" t="s">
        <v>98</v>
      </c>
      <c r="BL316" t="s">
        <v>4308</v>
      </c>
      <c r="BM316" t="s">
        <v>6049</v>
      </c>
      <c r="BN316" t="s">
        <v>74</v>
      </c>
      <c r="BO316" t="s">
        <v>765</v>
      </c>
      <c r="BP316" t="s">
        <v>74</v>
      </c>
      <c r="BQ316" t="s">
        <v>74</v>
      </c>
      <c r="BR316" t="s">
        <v>101</v>
      </c>
      <c r="BS316" t="s">
        <v>6111</v>
      </c>
      <c r="BT316" t="str">
        <f>HYPERLINK("https%3A%2F%2Fwww.webofscience.com%2Fwos%2Fwoscc%2Ffull-record%2FWOS:000209028600009","View Full Record in Web of Science")</f>
        <v>View Full Record in Web of Science</v>
      </c>
    </row>
    <row r="317" spans="1:72" x14ac:dyDescent="0.15">
      <c r="A317" t="s">
        <v>72</v>
      </c>
      <c r="B317" t="s">
        <v>6112</v>
      </c>
      <c r="C317" t="s">
        <v>74</v>
      </c>
      <c r="D317" t="s">
        <v>74</v>
      </c>
      <c r="E317" t="s">
        <v>74</v>
      </c>
      <c r="F317" t="s">
        <v>6113</v>
      </c>
      <c r="G317" t="s">
        <v>74</v>
      </c>
      <c r="H317" t="s">
        <v>74</v>
      </c>
      <c r="I317" t="s">
        <v>6114</v>
      </c>
      <c r="J317" t="s">
        <v>3295</v>
      </c>
      <c r="K317" t="s">
        <v>74</v>
      </c>
      <c r="L317" t="s">
        <v>74</v>
      </c>
      <c r="M317" t="s">
        <v>78</v>
      </c>
      <c r="N317" t="s">
        <v>79</v>
      </c>
      <c r="O317" t="s">
        <v>74</v>
      </c>
      <c r="P317" t="s">
        <v>74</v>
      </c>
      <c r="Q317" t="s">
        <v>74</v>
      </c>
      <c r="R317" t="s">
        <v>74</v>
      </c>
      <c r="S317" t="s">
        <v>74</v>
      </c>
      <c r="T317" t="s">
        <v>74</v>
      </c>
      <c r="U317" t="s">
        <v>6115</v>
      </c>
      <c r="V317" t="s">
        <v>6116</v>
      </c>
      <c r="W317" t="s">
        <v>6117</v>
      </c>
      <c r="X317" t="s">
        <v>6118</v>
      </c>
      <c r="Y317" t="s">
        <v>3321</v>
      </c>
      <c r="Z317" t="s">
        <v>3322</v>
      </c>
      <c r="AA317" t="s">
        <v>6119</v>
      </c>
      <c r="AB317" t="s">
        <v>6120</v>
      </c>
      <c r="AC317" t="s">
        <v>6121</v>
      </c>
      <c r="AD317" t="s">
        <v>6122</v>
      </c>
      <c r="AE317" t="s">
        <v>6123</v>
      </c>
      <c r="AF317" t="s">
        <v>74</v>
      </c>
      <c r="AG317">
        <v>70</v>
      </c>
      <c r="AH317">
        <v>29</v>
      </c>
      <c r="AI317">
        <v>29</v>
      </c>
      <c r="AJ317">
        <v>0</v>
      </c>
      <c r="AK317">
        <v>25</v>
      </c>
      <c r="AL317" t="s">
        <v>1894</v>
      </c>
      <c r="AM317" t="s">
        <v>1895</v>
      </c>
      <c r="AN317" t="s">
        <v>1896</v>
      </c>
      <c r="AO317" t="s">
        <v>3307</v>
      </c>
      <c r="AP317" t="s">
        <v>74</v>
      </c>
      <c r="AQ317" t="s">
        <v>74</v>
      </c>
      <c r="AR317" t="s">
        <v>3308</v>
      </c>
      <c r="AS317" t="s">
        <v>3309</v>
      </c>
      <c r="AT317" t="s">
        <v>4386</v>
      </c>
      <c r="AU317">
        <v>2009</v>
      </c>
      <c r="AV317">
        <v>28</v>
      </c>
      <c r="AW317" t="s">
        <v>6124</v>
      </c>
      <c r="AX317" t="s">
        <v>74</v>
      </c>
      <c r="AY317" t="s">
        <v>74</v>
      </c>
      <c r="AZ317" t="s">
        <v>74</v>
      </c>
      <c r="BA317" t="s">
        <v>74</v>
      </c>
      <c r="BB317">
        <v>2295</v>
      </c>
      <c r="BC317">
        <v>2309</v>
      </c>
      <c r="BD317" t="s">
        <v>74</v>
      </c>
      <c r="BE317" t="s">
        <v>6125</v>
      </c>
      <c r="BF317" t="str">
        <f>HYPERLINK("http://dx.doi.org/10.1016/j.quascirev.2009.04.011","http://dx.doi.org/10.1016/j.quascirev.2009.04.011")</f>
        <v>http://dx.doi.org/10.1016/j.quascirev.2009.04.011</v>
      </c>
      <c r="BG317" t="s">
        <v>74</v>
      </c>
      <c r="BH317" t="s">
        <v>74</v>
      </c>
      <c r="BI317">
        <v>15</v>
      </c>
      <c r="BJ317" t="s">
        <v>2121</v>
      </c>
      <c r="BK317" t="s">
        <v>98</v>
      </c>
      <c r="BL317" t="s">
        <v>2122</v>
      </c>
      <c r="BM317" t="s">
        <v>6126</v>
      </c>
      <c r="BN317" t="s">
        <v>74</v>
      </c>
      <c r="BO317" t="s">
        <v>239</v>
      </c>
      <c r="BP317" t="s">
        <v>74</v>
      </c>
      <c r="BQ317" t="s">
        <v>74</v>
      </c>
      <c r="BR317" t="s">
        <v>101</v>
      </c>
      <c r="BS317" t="s">
        <v>6127</v>
      </c>
      <c r="BT317" t="str">
        <f>HYPERLINK("https%3A%2F%2Fwww.webofscience.com%2Fwos%2Fwoscc%2Ffull-record%2FWOS:000271335400004","View Full Record in Web of Science")</f>
        <v>View Full Record in Web of Science</v>
      </c>
    </row>
    <row r="318" spans="1:72" x14ac:dyDescent="0.15">
      <c r="A318" t="s">
        <v>72</v>
      </c>
      <c r="B318" t="s">
        <v>6128</v>
      </c>
      <c r="C318" t="s">
        <v>74</v>
      </c>
      <c r="D318" t="s">
        <v>74</v>
      </c>
      <c r="E318" t="s">
        <v>74</v>
      </c>
      <c r="F318" t="s">
        <v>6129</v>
      </c>
      <c r="G318" t="s">
        <v>74</v>
      </c>
      <c r="H318" t="s">
        <v>74</v>
      </c>
      <c r="I318" t="s">
        <v>6130</v>
      </c>
      <c r="J318" t="s">
        <v>3295</v>
      </c>
      <c r="K318" t="s">
        <v>74</v>
      </c>
      <c r="L318" t="s">
        <v>74</v>
      </c>
      <c r="M318" t="s">
        <v>78</v>
      </c>
      <c r="N318" t="s">
        <v>79</v>
      </c>
      <c r="O318" t="s">
        <v>74</v>
      </c>
      <c r="P318" t="s">
        <v>74</v>
      </c>
      <c r="Q318" t="s">
        <v>74</v>
      </c>
      <c r="R318" t="s">
        <v>74</v>
      </c>
      <c r="S318" t="s">
        <v>74</v>
      </c>
      <c r="T318" t="s">
        <v>74</v>
      </c>
      <c r="U318" t="s">
        <v>6131</v>
      </c>
      <c r="V318" t="s">
        <v>6132</v>
      </c>
      <c r="W318" t="s">
        <v>6133</v>
      </c>
      <c r="X318" t="s">
        <v>6134</v>
      </c>
      <c r="Y318" t="s">
        <v>3321</v>
      </c>
      <c r="Z318" t="s">
        <v>3322</v>
      </c>
      <c r="AA318" t="s">
        <v>6135</v>
      </c>
      <c r="AB318" t="s">
        <v>6136</v>
      </c>
      <c r="AC318" t="s">
        <v>6137</v>
      </c>
      <c r="AD318" t="s">
        <v>6138</v>
      </c>
      <c r="AE318" t="s">
        <v>6139</v>
      </c>
      <c r="AF318" t="s">
        <v>74</v>
      </c>
      <c r="AG318">
        <v>88</v>
      </c>
      <c r="AH318">
        <v>33</v>
      </c>
      <c r="AI318">
        <v>33</v>
      </c>
      <c r="AJ318">
        <v>0</v>
      </c>
      <c r="AK318">
        <v>27</v>
      </c>
      <c r="AL318" t="s">
        <v>1894</v>
      </c>
      <c r="AM318" t="s">
        <v>1895</v>
      </c>
      <c r="AN318" t="s">
        <v>1896</v>
      </c>
      <c r="AO318" t="s">
        <v>3307</v>
      </c>
      <c r="AP318" t="s">
        <v>3344</v>
      </c>
      <c r="AQ318" t="s">
        <v>74</v>
      </c>
      <c r="AR318" t="s">
        <v>3308</v>
      </c>
      <c r="AS318" t="s">
        <v>3309</v>
      </c>
      <c r="AT318" t="s">
        <v>4386</v>
      </c>
      <c r="AU318">
        <v>2009</v>
      </c>
      <c r="AV318">
        <v>28</v>
      </c>
      <c r="AW318" t="s">
        <v>6124</v>
      </c>
      <c r="AX318" t="s">
        <v>74</v>
      </c>
      <c r="AY318" t="s">
        <v>74</v>
      </c>
      <c r="AZ318" t="s">
        <v>74</v>
      </c>
      <c r="BA318" t="s">
        <v>74</v>
      </c>
      <c r="BB318">
        <v>2310</v>
      </c>
      <c r="BC318">
        <v>2325</v>
      </c>
      <c r="BD318" t="s">
        <v>74</v>
      </c>
      <c r="BE318" t="s">
        <v>6140</v>
      </c>
      <c r="BF318" t="str">
        <f>HYPERLINK("http://dx.doi.org/10.1016/j.quascirev.2009.04.014","http://dx.doi.org/10.1016/j.quascirev.2009.04.014")</f>
        <v>http://dx.doi.org/10.1016/j.quascirev.2009.04.014</v>
      </c>
      <c r="BG318" t="s">
        <v>74</v>
      </c>
      <c r="BH318" t="s">
        <v>74</v>
      </c>
      <c r="BI318">
        <v>16</v>
      </c>
      <c r="BJ318" t="s">
        <v>2121</v>
      </c>
      <c r="BK318" t="s">
        <v>98</v>
      </c>
      <c r="BL318" t="s">
        <v>2122</v>
      </c>
      <c r="BM318" t="s">
        <v>6126</v>
      </c>
      <c r="BN318" t="s">
        <v>74</v>
      </c>
      <c r="BO318" t="s">
        <v>239</v>
      </c>
      <c r="BP318" t="s">
        <v>74</v>
      </c>
      <c r="BQ318" t="s">
        <v>74</v>
      </c>
      <c r="BR318" t="s">
        <v>101</v>
      </c>
      <c r="BS318" t="s">
        <v>6141</v>
      </c>
      <c r="BT318" t="str">
        <f>HYPERLINK("https%3A%2F%2Fwww.webofscience.com%2Fwos%2Fwoscc%2Ffull-record%2FWOS:000271335400005","View Full Record in Web of Science")</f>
        <v>View Full Record in Web of Science</v>
      </c>
    </row>
    <row r="319" spans="1:72" x14ac:dyDescent="0.15">
      <c r="A319" t="s">
        <v>72</v>
      </c>
      <c r="B319" t="s">
        <v>6142</v>
      </c>
      <c r="C319" t="s">
        <v>74</v>
      </c>
      <c r="D319" t="s">
        <v>74</v>
      </c>
      <c r="E319" t="s">
        <v>74</v>
      </c>
      <c r="F319" t="s">
        <v>6143</v>
      </c>
      <c r="G319" t="s">
        <v>74</v>
      </c>
      <c r="H319" t="s">
        <v>74</v>
      </c>
      <c r="I319" t="s">
        <v>6144</v>
      </c>
      <c r="J319" t="s">
        <v>3295</v>
      </c>
      <c r="K319" t="s">
        <v>74</v>
      </c>
      <c r="L319" t="s">
        <v>74</v>
      </c>
      <c r="M319" t="s">
        <v>78</v>
      </c>
      <c r="N319" t="s">
        <v>79</v>
      </c>
      <c r="O319" t="s">
        <v>74</v>
      </c>
      <c r="P319" t="s">
        <v>74</v>
      </c>
      <c r="Q319" t="s">
        <v>74</v>
      </c>
      <c r="R319" t="s">
        <v>74</v>
      </c>
      <c r="S319" t="s">
        <v>74</v>
      </c>
      <c r="T319" t="s">
        <v>74</v>
      </c>
      <c r="U319" t="s">
        <v>6145</v>
      </c>
      <c r="V319" t="s">
        <v>6146</v>
      </c>
      <c r="W319" t="s">
        <v>6147</v>
      </c>
      <c r="X319" t="s">
        <v>6148</v>
      </c>
      <c r="Y319" t="s">
        <v>6149</v>
      </c>
      <c r="Z319" t="s">
        <v>6150</v>
      </c>
      <c r="AA319" t="s">
        <v>74</v>
      </c>
      <c r="AB319" t="s">
        <v>74</v>
      </c>
      <c r="AC319" t="s">
        <v>74</v>
      </c>
      <c r="AD319" t="s">
        <v>74</v>
      </c>
      <c r="AE319" t="s">
        <v>74</v>
      </c>
      <c r="AF319" t="s">
        <v>74</v>
      </c>
      <c r="AG319">
        <v>87</v>
      </c>
      <c r="AH319">
        <v>31</v>
      </c>
      <c r="AI319">
        <v>40</v>
      </c>
      <c r="AJ319">
        <v>1</v>
      </c>
      <c r="AK319">
        <v>27</v>
      </c>
      <c r="AL319" t="s">
        <v>1894</v>
      </c>
      <c r="AM319" t="s">
        <v>1895</v>
      </c>
      <c r="AN319" t="s">
        <v>1896</v>
      </c>
      <c r="AO319" t="s">
        <v>3307</v>
      </c>
      <c r="AP319" t="s">
        <v>74</v>
      </c>
      <c r="AQ319" t="s">
        <v>74</v>
      </c>
      <c r="AR319" t="s">
        <v>3308</v>
      </c>
      <c r="AS319" t="s">
        <v>3309</v>
      </c>
      <c r="AT319" t="s">
        <v>4386</v>
      </c>
      <c r="AU319">
        <v>2009</v>
      </c>
      <c r="AV319">
        <v>28</v>
      </c>
      <c r="AW319" t="s">
        <v>6124</v>
      </c>
      <c r="AX319" t="s">
        <v>74</v>
      </c>
      <c r="AY319" t="s">
        <v>74</v>
      </c>
      <c r="AZ319" t="s">
        <v>74</v>
      </c>
      <c r="BA319" t="s">
        <v>74</v>
      </c>
      <c r="BB319">
        <v>2374</v>
      </c>
      <c r="BC319">
        <v>2385</v>
      </c>
      <c r="BD319" t="s">
        <v>74</v>
      </c>
      <c r="BE319" t="s">
        <v>6151</v>
      </c>
      <c r="BF319" t="str">
        <f>HYPERLINK("http://dx.doi.org/10.1016/j.quascirev.2009.05.007","http://dx.doi.org/10.1016/j.quascirev.2009.05.007")</f>
        <v>http://dx.doi.org/10.1016/j.quascirev.2009.05.007</v>
      </c>
      <c r="BG319" t="s">
        <v>74</v>
      </c>
      <c r="BH319" t="s">
        <v>74</v>
      </c>
      <c r="BI319">
        <v>12</v>
      </c>
      <c r="BJ319" t="s">
        <v>2121</v>
      </c>
      <c r="BK319" t="s">
        <v>98</v>
      </c>
      <c r="BL319" t="s">
        <v>2122</v>
      </c>
      <c r="BM319" t="s">
        <v>6126</v>
      </c>
      <c r="BN319" t="s">
        <v>74</v>
      </c>
      <c r="BO319" t="s">
        <v>74</v>
      </c>
      <c r="BP319" t="s">
        <v>74</v>
      </c>
      <c r="BQ319" t="s">
        <v>74</v>
      </c>
      <c r="BR319" t="s">
        <v>101</v>
      </c>
      <c r="BS319" t="s">
        <v>6152</v>
      </c>
      <c r="BT319" t="str">
        <f>HYPERLINK("https%3A%2F%2Fwww.webofscience.com%2Fwos%2Fwoscc%2Ffull-record%2FWOS:000271335400008","View Full Record in Web of Science")</f>
        <v>View Full Record in Web of Science</v>
      </c>
    </row>
    <row r="320" spans="1:72" x14ac:dyDescent="0.15">
      <c r="A320" t="s">
        <v>72</v>
      </c>
      <c r="B320" t="s">
        <v>6153</v>
      </c>
      <c r="C320" t="s">
        <v>74</v>
      </c>
      <c r="D320" t="s">
        <v>74</v>
      </c>
      <c r="E320" t="s">
        <v>74</v>
      </c>
      <c r="F320" t="s">
        <v>6154</v>
      </c>
      <c r="G320" t="s">
        <v>74</v>
      </c>
      <c r="H320" t="s">
        <v>74</v>
      </c>
      <c r="I320" t="s">
        <v>6155</v>
      </c>
      <c r="J320" t="s">
        <v>3295</v>
      </c>
      <c r="K320" t="s">
        <v>74</v>
      </c>
      <c r="L320" t="s">
        <v>74</v>
      </c>
      <c r="M320" t="s">
        <v>78</v>
      </c>
      <c r="N320" t="s">
        <v>297</v>
      </c>
      <c r="O320" t="s">
        <v>74</v>
      </c>
      <c r="P320" t="s">
        <v>74</v>
      </c>
      <c r="Q320" t="s">
        <v>74</v>
      </c>
      <c r="R320" t="s">
        <v>74</v>
      </c>
      <c r="S320" t="s">
        <v>74</v>
      </c>
      <c r="T320" t="s">
        <v>74</v>
      </c>
      <c r="U320" t="s">
        <v>6156</v>
      </c>
      <c r="V320" t="s">
        <v>6157</v>
      </c>
      <c r="W320" t="s">
        <v>6158</v>
      </c>
      <c r="X320" t="s">
        <v>6159</v>
      </c>
      <c r="Y320" t="s">
        <v>6160</v>
      </c>
      <c r="Z320" t="s">
        <v>6161</v>
      </c>
      <c r="AA320" t="s">
        <v>6162</v>
      </c>
      <c r="AB320" t="s">
        <v>6163</v>
      </c>
      <c r="AC320" t="s">
        <v>74</v>
      </c>
      <c r="AD320" t="s">
        <v>74</v>
      </c>
      <c r="AE320" t="s">
        <v>74</v>
      </c>
      <c r="AF320" t="s">
        <v>74</v>
      </c>
      <c r="AG320">
        <v>190</v>
      </c>
      <c r="AH320">
        <v>117</v>
      </c>
      <c r="AI320">
        <v>124</v>
      </c>
      <c r="AJ320">
        <v>3</v>
      </c>
      <c r="AK320">
        <v>70</v>
      </c>
      <c r="AL320" t="s">
        <v>1894</v>
      </c>
      <c r="AM320" t="s">
        <v>1895</v>
      </c>
      <c r="AN320" t="s">
        <v>1896</v>
      </c>
      <c r="AO320" t="s">
        <v>3307</v>
      </c>
      <c r="AP320" t="s">
        <v>74</v>
      </c>
      <c r="AQ320" t="s">
        <v>74</v>
      </c>
      <c r="AR320" t="s">
        <v>3308</v>
      </c>
      <c r="AS320" t="s">
        <v>3309</v>
      </c>
      <c r="AT320" t="s">
        <v>4386</v>
      </c>
      <c r="AU320">
        <v>2009</v>
      </c>
      <c r="AV320">
        <v>28</v>
      </c>
      <c r="AW320" t="s">
        <v>6124</v>
      </c>
      <c r="AX320" t="s">
        <v>74</v>
      </c>
      <c r="AY320" t="s">
        <v>74</v>
      </c>
      <c r="AZ320" t="s">
        <v>74</v>
      </c>
      <c r="BA320" t="s">
        <v>74</v>
      </c>
      <c r="BB320">
        <v>2398</v>
      </c>
      <c r="BC320">
        <v>2419</v>
      </c>
      <c r="BD320" t="s">
        <v>74</v>
      </c>
      <c r="BE320" t="s">
        <v>6164</v>
      </c>
      <c r="BF320" t="str">
        <f>HYPERLINK("http://dx.doi.org/10.1016/j.quascirev.2009.04.020","http://dx.doi.org/10.1016/j.quascirev.2009.04.020")</f>
        <v>http://dx.doi.org/10.1016/j.quascirev.2009.04.020</v>
      </c>
      <c r="BG320" t="s">
        <v>74</v>
      </c>
      <c r="BH320" t="s">
        <v>74</v>
      </c>
      <c r="BI320">
        <v>22</v>
      </c>
      <c r="BJ320" t="s">
        <v>2121</v>
      </c>
      <c r="BK320" t="s">
        <v>98</v>
      </c>
      <c r="BL320" t="s">
        <v>2122</v>
      </c>
      <c r="BM320" t="s">
        <v>6126</v>
      </c>
      <c r="BN320" t="s">
        <v>74</v>
      </c>
      <c r="BO320" t="s">
        <v>74</v>
      </c>
      <c r="BP320" t="s">
        <v>74</v>
      </c>
      <c r="BQ320" t="s">
        <v>74</v>
      </c>
      <c r="BR320" t="s">
        <v>101</v>
      </c>
      <c r="BS320" t="s">
        <v>6165</v>
      </c>
      <c r="BT320" t="str">
        <f>HYPERLINK("https%3A%2F%2Fwww.webofscience.com%2Fwos%2Fwoscc%2Ffull-record%2FWOS:000271335400010","View Full Record in Web of Science")</f>
        <v>View Full Record in Web of Science</v>
      </c>
    </row>
    <row r="321" spans="1:72" x14ac:dyDescent="0.15">
      <c r="A321" t="s">
        <v>72</v>
      </c>
      <c r="B321" t="s">
        <v>6166</v>
      </c>
      <c r="C321" t="s">
        <v>74</v>
      </c>
      <c r="D321" t="s">
        <v>74</v>
      </c>
      <c r="E321" t="s">
        <v>74</v>
      </c>
      <c r="F321" t="s">
        <v>6167</v>
      </c>
      <c r="G321" t="s">
        <v>74</v>
      </c>
      <c r="H321" t="s">
        <v>74</v>
      </c>
      <c r="I321" t="s">
        <v>6168</v>
      </c>
      <c r="J321" t="s">
        <v>6169</v>
      </c>
      <c r="K321" t="s">
        <v>74</v>
      </c>
      <c r="L321" t="s">
        <v>74</v>
      </c>
      <c r="M321" t="s">
        <v>78</v>
      </c>
      <c r="N321" t="s">
        <v>79</v>
      </c>
      <c r="O321" t="s">
        <v>74</v>
      </c>
      <c r="P321" t="s">
        <v>74</v>
      </c>
      <c r="Q321" t="s">
        <v>74</v>
      </c>
      <c r="R321" t="s">
        <v>74</v>
      </c>
      <c r="S321" t="s">
        <v>74</v>
      </c>
      <c r="T321" t="s">
        <v>6170</v>
      </c>
      <c r="U321" t="s">
        <v>6171</v>
      </c>
      <c r="V321" t="s">
        <v>6172</v>
      </c>
      <c r="W321" t="s">
        <v>6173</v>
      </c>
      <c r="X321" t="s">
        <v>6174</v>
      </c>
      <c r="Y321" t="s">
        <v>6175</v>
      </c>
      <c r="Z321" t="s">
        <v>6176</v>
      </c>
      <c r="AA321" t="s">
        <v>74</v>
      </c>
      <c r="AB321" t="s">
        <v>74</v>
      </c>
      <c r="AC321" t="s">
        <v>6177</v>
      </c>
      <c r="AD321" t="s">
        <v>6178</v>
      </c>
      <c r="AE321" t="s">
        <v>6179</v>
      </c>
      <c r="AF321" t="s">
        <v>74</v>
      </c>
      <c r="AG321">
        <v>53</v>
      </c>
      <c r="AH321">
        <v>9</v>
      </c>
      <c r="AI321">
        <v>11</v>
      </c>
      <c r="AJ321">
        <v>0</v>
      </c>
      <c r="AK321">
        <v>15</v>
      </c>
      <c r="AL321" t="s">
        <v>1931</v>
      </c>
      <c r="AM321" t="s">
        <v>684</v>
      </c>
      <c r="AN321" t="s">
        <v>1932</v>
      </c>
      <c r="AO321" t="s">
        <v>6180</v>
      </c>
      <c r="AP321" t="s">
        <v>6181</v>
      </c>
      <c r="AQ321" t="s">
        <v>74</v>
      </c>
      <c r="AR321" t="s">
        <v>6182</v>
      </c>
      <c r="AS321" t="s">
        <v>6183</v>
      </c>
      <c r="AT321" t="s">
        <v>4386</v>
      </c>
      <c r="AU321">
        <v>2009</v>
      </c>
      <c r="AV321">
        <v>35</v>
      </c>
      <c r="AW321">
        <v>6</v>
      </c>
      <c r="AX321" t="s">
        <v>74</v>
      </c>
      <c r="AY321" t="s">
        <v>74</v>
      </c>
      <c r="AZ321" t="s">
        <v>74</v>
      </c>
      <c r="BA321" t="s">
        <v>74</v>
      </c>
      <c r="BB321">
        <v>445</v>
      </c>
      <c r="BC321">
        <v>453</v>
      </c>
      <c r="BD321" t="s">
        <v>74</v>
      </c>
      <c r="BE321" t="s">
        <v>6184</v>
      </c>
      <c r="BF321" t="str">
        <f>HYPERLINK("http://dx.doi.org/10.1134/S1063074009060017","http://dx.doi.org/10.1134/S1063074009060017")</f>
        <v>http://dx.doi.org/10.1134/S1063074009060017</v>
      </c>
      <c r="BG321" t="s">
        <v>74</v>
      </c>
      <c r="BH321" t="s">
        <v>74</v>
      </c>
      <c r="BI321">
        <v>9</v>
      </c>
      <c r="BJ321" t="s">
        <v>1052</v>
      </c>
      <c r="BK321" t="s">
        <v>98</v>
      </c>
      <c r="BL321" t="s">
        <v>1052</v>
      </c>
      <c r="BM321" t="s">
        <v>6185</v>
      </c>
      <c r="BN321" t="s">
        <v>74</v>
      </c>
      <c r="BO321" t="s">
        <v>74</v>
      </c>
      <c r="BP321" t="s">
        <v>74</v>
      </c>
      <c r="BQ321" t="s">
        <v>74</v>
      </c>
      <c r="BR321" t="s">
        <v>101</v>
      </c>
      <c r="BS321" t="s">
        <v>6186</v>
      </c>
      <c r="BT321" t="str">
        <f>HYPERLINK("https%3A%2F%2Fwww.webofscience.com%2Fwos%2Fwoscc%2Ffull-record%2FWOS:000273685800001","View Full Record in Web of Science")</f>
        <v>View Full Record in Web of Science</v>
      </c>
    </row>
    <row r="322" spans="1:72" x14ac:dyDescent="0.15">
      <c r="A322" t="s">
        <v>72</v>
      </c>
      <c r="B322" t="s">
        <v>6187</v>
      </c>
      <c r="C322" t="s">
        <v>74</v>
      </c>
      <c r="D322" t="s">
        <v>74</v>
      </c>
      <c r="E322" t="s">
        <v>74</v>
      </c>
      <c r="F322" t="s">
        <v>6188</v>
      </c>
      <c r="G322" t="s">
        <v>74</v>
      </c>
      <c r="H322" t="s">
        <v>74</v>
      </c>
      <c r="I322" t="s">
        <v>6189</v>
      </c>
      <c r="J322" t="s">
        <v>6190</v>
      </c>
      <c r="K322" t="s">
        <v>74</v>
      </c>
      <c r="L322" t="s">
        <v>74</v>
      </c>
      <c r="M322" t="s">
        <v>78</v>
      </c>
      <c r="N322" t="s">
        <v>297</v>
      </c>
      <c r="O322" t="s">
        <v>74</v>
      </c>
      <c r="P322" t="s">
        <v>74</v>
      </c>
      <c r="Q322" t="s">
        <v>74</v>
      </c>
      <c r="R322" t="s">
        <v>74</v>
      </c>
      <c r="S322" t="s">
        <v>74</v>
      </c>
      <c r="T322" t="s">
        <v>6191</v>
      </c>
      <c r="U322" t="s">
        <v>6192</v>
      </c>
      <c r="V322" t="s">
        <v>6193</v>
      </c>
      <c r="W322" t="s">
        <v>6194</v>
      </c>
      <c r="X322" t="s">
        <v>6195</v>
      </c>
      <c r="Y322" t="s">
        <v>6196</v>
      </c>
      <c r="Z322" t="s">
        <v>6197</v>
      </c>
      <c r="AA322" t="s">
        <v>6198</v>
      </c>
      <c r="AB322" t="s">
        <v>6199</v>
      </c>
      <c r="AC322" t="s">
        <v>6200</v>
      </c>
      <c r="AD322" t="s">
        <v>6201</v>
      </c>
      <c r="AE322" t="s">
        <v>6202</v>
      </c>
      <c r="AF322" t="s">
        <v>74</v>
      </c>
      <c r="AG322">
        <v>330</v>
      </c>
      <c r="AH322">
        <v>159</v>
      </c>
      <c r="AI322">
        <v>160</v>
      </c>
      <c r="AJ322">
        <v>3</v>
      </c>
      <c r="AK322">
        <v>39</v>
      </c>
      <c r="AL322" t="s">
        <v>1850</v>
      </c>
      <c r="AM322" t="s">
        <v>1851</v>
      </c>
      <c r="AN322" t="s">
        <v>1852</v>
      </c>
      <c r="AO322" t="s">
        <v>6203</v>
      </c>
      <c r="AP322" t="s">
        <v>6204</v>
      </c>
      <c r="AQ322" t="s">
        <v>74</v>
      </c>
      <c r="AR322" t="s">
        <v>6205</v>
      </c>
      <c r="AS322" t="s">
        <v>6206</v>
      </c>
      <c r="AT322" t="s">
        <v>4386</v>
      </c>
      <c r="AU322">
        <v>2009</v>
      </c>
      <c r="AV322">
        <v>147</v>
      </c>
      <c r="AW322" t="s">
        <v>288</v>
      </c>
      <c r="AX322" t="s">
        <v>74</v>
      </c>
      <c r="AY322" t="s">
        <v>74</v>
      </c>
      <c r="AZ322" t="s">
        <v>74</v>
      </c>
      <c r="BA322" t="s">
        <v>74</v>
      </c>
      <c r="BB322">
        <v>187</v>
      </c>
      <c r="BC322">
        <v>231</v>
      </c>
      <c r="BD322" t="s">
        <v>74</v>
      </c>
      <c r="BE322" t="s">
        <v>6207</v>
      </c>
      <c r="BF322" t="str">
        <f>HYPERLINK("http://dx.doi.org/10.1007/s11214-009-9496-7","http://dx.doi.org/10.1007/s11214-009-9496-7")</f>
        <v>http://dx.doi.org/10.1007/s11214-009-9496-7</v>
      </c>
      <c r="BG322" t="s">
        <v>74</v>
      </c>
      <c r="BH322" t="s">
        <v>74</v>
      </c>
      <c r="BI322">
        <v>45</v>
      </c>
      <c r="BJ322" t="s">
        <v>1003</v>
      </c>
      <c r="BK322" t="s">
        <v>98</v>
      </c>
      <c r="BL322" t="s">
        <v>1003</v>
      </c>
      <c r="BM322" t="s">
        <v>6208</v>
      </c>
      <c r="BN322" t="s">
        <v>74</v>
      </c>
      <c r="BO322" t="s">
        <v>239</v>
      </c>
      <c r="BP322" t="s">
        <v>74</v>
      </c>
      <c r="BQ322" t="s">
        <v>74</v>
      </c>
      <c r="BR322" t="s">
        <v>101</v>
      </c>
      <c r="BS322" t="s">
        <v>6209</v>
      </c>
      <c r="BT322" t="str">
        <f>HYPERLINK("https%3A%2F%2Fwww.webofscience.com%2Fwos%2Fwoscc%2Ffull-record%2FWOS:000272618600003","View Full Record in Web of Science")</f>
        <v>View Full Record in Web of Science</v>
      </c>
    </row>
    <row r="323" spans="1:72" x14ac:dyDescent="0.15">
      <c r="A323" t="s">
        <v>72</v>
      </c>
      <c r="B323" t="s">
        <v>6210</v>
      </c>
      <c r="C323" t="s">
        <v>74</v>
      </c>
      <c r="D323" t="s">
        <v>74</v>
      </c>
      <c r="E323" t="s">
        <v>74</v>
      </c>
      <c r="F323" t="s">
        <v>6211</v>
      </c>
      <c r="G323" t="s">
        <v>74</v>
      </c>
      <c r="H323" t="s">
        <v>74</v>
      </c>
      <c r="I323" t="s">
        <v>6212</v>
      </c>
      <c r="J323" t="s">
        <v>6213</v>
      </c>
      <c r="K323" t="s">
        <v>74</v>
      </c>
      <c r="L323" t="s">
        <v>74</v>
      </c>
      <c r="M323" t="s">
        <v>78</v>
      </c>
      <c r="N323" t="s">
        <v>79</v>
      </c>
      <c r="O323" t="s">
        <v>74</v>
      </c>
      <c r="P323" t="s">
        <v>74</v>
      </c>
      <c r="Q323" t="s">
        <v>74</v>
      </c>
      <c r="R323" t="s">
        <v>74</v>
      </c>
      <c r="S323" t="s">
        <v>74</v>
      </c>
      <c r="T323" t="s">
        <v>74</v>
      </c>
      <c r="U323" t="s">
        <v>6214</v>
      </c>
      <c r="V323" t="s">
        <v>6215</v>
      </c>
      <c r="W323" t="s">
        <v>6216</v>
      </c>
      <c r="X323" t="s">
        <v>6217</v>
      </c>
      <c r="Y323" t="s">
        <v>6218</v>
      </c>
      <c r="Z323" t="s">
        <v>6219</v>
      </c>
      <c r="AA323" t="s">
        <v>6220</v>
      </c>
      <c r="AB323" t="s">
        <v>6221</v>
      </c>
      <c r="AC323" t="s">
        <v>6222</v>
      </c>
      <c r="AD323" t="s">
        <v>6223</v>
      </c>
      <c r="AE323" t="s">
        <v>6224</v>
      </c>
      <c r="AF323" t="s">
        <v>74</v>
      </c>
      <c r="AG323">
        <v>95</v>
      </c>
      <c r="AH323">
        <v>37</v>
      </c>
      <c r="AI323">
        <v>40</v>
      </c>
      <c r="AJ323">
        <v>0</v>
      </c>
      <c r="AK323">
        <v>14</v>
      </c>
      <c r="AL323" t="s">
        <v>6225</v>
      </c>
      <c r="AM323" t="s">
        <v>6226</v>
      </c>
      <c r="AN323" t="s">
        <v>6227</v>
      </c>
      <c r="AO323" t="s">
        <v>6228</v>
      </c>
      <c r="AP323" t="s">
        <v>74</v>
      </c>
      <c r="AQ323" t="s">
        <v>74</v>
      </c>
      <c r="AR323" t="s">
        <v>6229</v>
      </c>
      <c r="AS323" t="s">
        <v>6230</v>
      </c>
      <c r="AT323" t="s">
        <v>4386</v>
      </c>
      <c r="AU323">
        <v>2009</v>
      </c>
      <c r="AV323">
        <v>61</v>
      </c>
      <c r="AW323">
        <v>5</v>
      </c>
      <c r="AX323" t="s">
        <v>74</v>
      </c>
      <c r="AY323" t="s">
        <v>74</v>
      </c>
      <c r="AZ323" t="s">
        <v>74</v>
      </c>
      <c r="BA323" t="s">
        <v>74</v>
      </c>
      <c r="BB323">
        <v>768</v>
      </c>
      <c r="BC323">
        <v>790</v>
      </c>
      <c r="BD323" t="s">
        <v>74</v>
      </c>
      <c r="BE323" t="s">
        <v>6231</v>
      </c>
      <c r="BF323" t="str">
        <f>HYPERLINK("http://dx.doi.org/10.1111/j.1600-0889.2009.00437.x","http://dx.doi.org/10.1111/j.1600-0889.2009.00437.x")</f>
        <v>http://dx.doi.org/10.1111/j.1600-0889.2009.00437.x</v>
      </c>
      <c r="BG323" t="s">
        <v>74</v>
      </c>
      <c r="BH323" t="s">
        <v>74</v>
      </c>
      <c r="BI323">
        <v>23</v>
      </c>
      <c r="BJ323" t="s">
        <v>413</v>
      </c>
      <c r="BK323" t="s">
        <v>98</v>
      </c>
      <c r="BL323" t="s">
        <v>413</v>
      </c>
      <c r="BM323" t="s">
        <v>6232</v>
      </c>
      <c r="BN323" t="s">
        <v>74</v>
      </c>
      <c r="BO323" t="s">
        <v>6233</v>
      </c>
      <c r="BP323" t="s">
        <v>74</v>
      </c>
      <c r="BQ323" t="s">
        <v>74</v>
      </c>
      <c r="BR323" t="s">
        <v>101</v>
      </c>
      <c r="BS323" t="s">
        <v>6234</v>
      </c>
      <c r="BT323" t="str">
        <f>HYPERLINK("https%3A%2F%2Fwww.webofscience.com%2Fwos%2Fwoscc%2Ffull-record%2FWOS:000270902600006","View Full Record in Web of Science")</f>
        <v>View Full Record in Web of Science</v>
      </c>
    </row>
    <row r="324" spans="1:72" x14ac:dyDescent="0.15">
      <c r="A324" t="s">
        <v>72</v>
      </c>
      <c r="B324" t="s">
        <v>6235</v>
      </c>
      <c r="C324" t="s">
        <v>74</v>
      </c>
      <c r="D324" t="s">
        <v>74</v>
      </c>
      <c r="E324" t="s">
        <v>74</v>
      </c>
      <c r="F324" t="s">
        <v>6236</v>
      </c>
      <c r="G324" t="s">
        <v>74</v>
      </c>
      <c r="H324" t="s">
        <v>74</v>
      </c>
      <c r="I324" t="s">
        <v>6237</v>
      </c>
      <c r="J324" t="s">
        <v>6238</v>
      </c>
      <c r="K324" t="s">
        <v>74</v>
      </c>
      <c r="L324" t="s">
        <v>74</v>
      </c>
      <c r="M324" t="s">
        <v>78</v>
      </c>
      <c r="N324" t="s">
        <v>79</v>
      </c>
      <c r="O324" t="s">
        <v>74</v>
      </c>
      <c r="P324" t="s">
        <v>74</v>
      </c>
      <c r="Q324" t="s">
        <v>74</v>
      </c>
      <c r="R324" t="s">
        <v>74</v>
      </c>
      <c r="S324" t="s">
        <v>74</v>
      </c>
      <c r="T324" t="s">
        <v>6239</v>
      </c>
      <c r="U324" t="s">
        <v>6240</v>
      </c>
      <c r="V324" t="s">
        <v>6241</v>
      </c>
      <c r="W324" t="s">
        <v>6242</v>
      </c>
      <c r="X324" t="s">
        <v>6243</v>
      </c>
      <c r="Y324" t="s">
        <v>6244</v>
      </c>
      <c r="Z324" t="s">
        <v>6245</v>
      </c>
      <c r="AA324" t="s">
        <v>74</v>
      </c>
      <c r="AB324" t="s">
        <v>74</v>
      </c>
      <c r="AC324" t="s">
        <v>74</v>
      </c>
      <c r="AD324" t="s">
        <v>74</v>
      </c>
      <c r="AE324" t="s">
        <v>74</v>
      </c>
      <c r="AF324" t="s">
        <v>74</v>
      </c>
      <c r="AG324">
        <v>55</v>
      </c>
      <c r="AH324">
        <v>1</v>
      </c>
      <c r="AI324">
        <v>1</v>
      </c>
      <c r="AJ324">
        <v>0</v>
      </c>
      <c r="AK324">
        <v>2</v>
      </c>
      <c r="AL324" t="s">
        <v>2614</v>
      </c>
      <c r="AM324" t="s">
        <v>2615</v>
      </c>
      <c r="AN324" t="s">
        <v>2910</v>
      </c>
      <c r="AO324" t="s">
        <v>6246</v>
      </c>
      <c r="AP324" t="s">
        <v>6247</v>
      </c>
      <c r="AQ324" t="s">
        <v>74</v>
      </c>
      <c r="AR324" t="s">
        <v>6248</v>
      </c>
      <c r="AS324" t="s">
        <v>6249</v>
      </c>
      <c r="AT324" t="s">
        <v>4386</v>
      </c>
      <c r="AU324">
        <v>2009</v>
      </c>
      <c r="AV324">
        <v>133</v>
      </c>
      <c r="AW324" t="s">
        <v>74</v>
      </c>
      <c r="AX324">
        <v>2</v>
      </c>
      <c r="AY324" t="s">
        <v>74</v>
      </c>
      <c r="AZ324" t="s">
        <v>74</v>
      </c>
      <c r="BA324" t="s">
        <v>74</v>
      </c>
      <c r="BB324">
        <v>199</v>
      </c>
      <c r="BC324">
        <v>218</v>
      </c>
      <c r="BD324" t="s">
        <v>74</v>
      </c>
      <c r="BE324" t="s">
        <v>6250</v>
      </c>
      <c r="BF324" t="str">
        <f>HYPERLINK("http://dx.doi.org/10.1080/03721426.2009.10887120","http://dx.doi.org/10.1080/03721426.2009.10887120")</f>
        <v>http://dx.doi.org/10.1080/03721426.2009.10887120</v>
      </c>
      <c r="BG324" t="s">
        <v>74</v>
      </c>
      <c r="BH324" t="s">
        <v>74</v>
      </c>
      <c r="BI324">
        <v>20</v>
      </c>
      <c r="BJ324" t="s">
        <v>388</v>
      </c>
      <c r="BK324" t="s">
        <v>98</v>
      </c>
      <c r="BL324" t="s">
        <v>389</v>
      </c>
      <c r="BM324" t="s">
        <v>6251</v>
      </c>
      <c r="BN324" t="s">
        <v>74</v>
      </c>
      <c r="BO324" t="s">
        <v>74</v>
      </c>
      <c r="BP324" t="s">
        <v>74</v>
      </c>
      <c r="BQ324" t="s">
        <v>74</v>
      </c>
      <c r="BR324" t="s">
        <v>101</v>
      </c>
      <c r="BS324" t="s">
        <v>6252</v>
      </c>
      <c r="BT324" t="str">
        <f>HYPERLINK("https%3A%2F%2Fwww.webofscience.com%2Fwos%2Fwoscc%2Ffull-record%2FWOS:000207857200003","View Full Record in Web of Science")</f>
        <v>View Full Record in Web of Science</v>
      </c>
    </row>
    <row r="325" spans="1:72" x14ac:dyDescent="0.15">
      <c r="A325" t="s">
        <v>72</v>
      </c>
      <c r="B325" t="s">
        <v>6253</v>
      </c>
      <c r="C325" t="s">
        <v>74</v>
      </c>
      <c r="D325" t="s">
        <v>74</v>
      </c>
      <c r="E325" t="s">
        <v>74</v>
      </c>
      <c r="F325" t="s">
        <v>6254</v>
      </c>
      <c r="G325" t="s">
        <v>74</v>
      </c>
      <c r="H325" t="s">
        <v>74</v>
      </c>
      <c r="I325" t="s">
        <v>6255</v>
      </c>
      <c r="J325" t="s">
        <v>6256</v>
      </c>
      <c r="K325" t="s">
        <v>74</v>
      </c>
      <c r="L325" t="s">
        <v>74</v>
      </c>
      <c r="M325" t="s">
        <v>78</v>
      </c>
      <c r="N325" t="s">
        <v>79</v>
      </c>
      <c r="O325" t="s">
        <v>74</v>
      </c>
      <c r="P325" t="s">
        <v>74</v>
      </c>
      <c r="Q325" t="s">
        <v>74</v>
      </c>
      <c r="R325" t="s">
        <v>74</v>
      </c>
      <c r="S325" t="s">
        <v>74</v>
      </c>
      <c r="T325" t="s">
        <v>74</v>
      </c>
      <c r="U325" t="s">
        <v>6257</v>
      </c>
      <c r="V325" t="s">
        <v>6258</v>
      </c>
      <c r="W325" t="s">
        <v>6259</v>
      </c>
      <c r="X325" t="s">
        <v>6260</v>
      </c>
      <c r="Y325" t="s">
        <v>6261</v>
      </c>
      <c r="Z325" t="s">
        <v>6262</v>
      </c>
      <c r="AA325" t="s">
        <v>6263</v>
      </c>
      <c r="AB325" t="s">
        <v>6264</v>
      </c>
      <c r="AC325" t="s">
        <v>6265</v>
      </c>
      <c r="AD325" t="s">
        <v>6266</v>
      </c>
      <c r="AE325" t="s">
        <v>6267</v>
      </c>
      <c r="AF325" t="s">
        <v>74</v>
      </c>
      <c r="AG325">
        <v>27</v>
      </c>
      <c r="AH325">
        <v>82</v>
      </c>
      <c r="AI325">
        <v>84</v>
      </c>
      <c r="AJ325">
        <v>1</v>
      </c>
      <c r="AK325">
        <v>27</v>
      </c>
      <c r="AL325" t="s">
        <v>6268</v>
      </c>
      <c r="AM325" t="s">
        <v>433</v>
      </c>
      <c r="AN325" t="s">
        <v>6269</v>
      </c>
      <c r="AO325" t="s">
        <v>6270</v>
      </c>
      <c r="AP325" t="s">
        <v>6271</v>
      </c>
      <c r="AQ325" t="s">
        <v>74</v>
      </c>
      <c r="AR325" t="s">
        <v>6272</v>
      </c>
      <c r="AS325" t="s">
        <v>6273</v>
      </c>
      <c r="AT325" t="s">
        <v>4386</v>
      </c>
      <c r="AU325">
        <v>2009</v>
      </c>
      <c r="AV325">
        <v>25</v>
      </c>
      <c r="AW325">
        <v>11</v>
      </c>
      <c r="AX325" t="s">
        <v>74</v>
      </c>
      <c r="AY325" t="s">
        <v>74</v>
      </c>
      <c r="AZ325" t="s">
        <v>74</v>
      </c>
      <c r="BA325" t="s">
        <v>74</v>
      </c>
      <c r="BB325">
        <v>482</v>
      </c>
      <c r="BC325">
        <v>486</v>
      </c>
      <c r="BD325" t="s">
        <v>74</v>
      </c>
      <c r="BE325" t="s">
        <v>6274</v>
      </c>
      <c r="BF325" t="str">
        <f>HYPERLINK("http://dx.doi.org/10.1016/j.tig.2009.09.005","http://dx.doi.org/10.1016/j.tig.2009.09.005")</f>
        <v>http://dx.doi.org/10.1016/j.tig.2009.09.005</v>
      </c>
      <c r="BG325" t="s">
        <v>74</v>
      </c>
      <c r="BH325" t="s">
        <v>74</v>
      </c>
      <c r="BI325">
        <v>5</v>
      </c>
      <c r="BJ325" t="s">
        <v>6275</v>
      </c>
      <c r="BK325" t="s">
        <v>98</v>
      </c>
      <c r="BL325" t="s">
        <v>6275</v>
      </c>
      <c r="BM325" t="s">
        <v>6276</v>
      </c>
      <c r="BN325">
        <v>19836098</v>
      </c>
      <c r="BO325" t="s">
        <v>239</v>
      </c>
      <c r="BP325" t="s">
        <v>74</v>
      </c>
      <c r="BQ325" t="s">
        <v>74</v>
      </c>
      <c r="BR325" t="s">
        <v>101</v>
      </c>
      <c r="BS325" t="s">
        <v>6277</v>
      </c>
      <c r="BT325" t="str">
        <f>HYPERLINK("https%3A%2F%2Fwww.webofscience.com%2Fwos%2Fwoscc%2Ffull-record%2FWOS:000271717800004","View Full Record in Web of Science")</f>
        <v>View Full Record in Web of Science</v>
      </c>
    </row>
    <row r="326" spans="1:72" x14ac:dyDescent="0.15">
      <c r="A326" t="s">
        <v>72</v>
      </c>
      <c r="B326" t="s">
        <v>6278</v>
      </c>
      <c r="C326" t="s">
        <v>74</v>
      </c>
      <c r="D326" t="s">
        <v>74</v>
      </c>
      <c r="E326" t="s">
        <v>74</v>
      </c>
      <c r="F326" t="s">
        <v>6279</v>
      </c>
      <c r="G326" t="s">
        <v>74</v>
      </c>
      <c r="H326" t="s">
        <v>74</v>
      </c>
      <c r="I326" t="s">
        <v>6280</v>
      </c>
      <c r="J326" t="s">
        <v>6281</v>
      </c>
      <c r="K326" t="s">
        <v>74</v>
      </c>
      <c r="L326" t="s">
        <v>74</v>
      </c>
      <c r="M326" t="s">
        <v>6282</v>
      </c>
      <c r="N326" t="s">
        <v>297</v>
      </c>
      <c r="O326" t="s">
        <v>74</v>
      </c>
      <c r="P326" t="s">
        <v>74</v>
      </c>
      <c r="Q326" t="s">
        <v>74</v>
      </c>
      <c r="R326" t="s">
        <v>74</v>
      </c>
      <c r="S326" t="s">
        <v>74</v>
      </c>
      <c r="T326" t="s">
        <v>74</v>
      </c>
      <c r="U326" t="s">
        <v>6283</v>
      </c>
      <c r="V326" t="s">
        <v>6284</v>
      </c>
      <c r="W326" t="s">
        <v>6285</v>
      </c>
      <c r="X326" t="s">
        <v>6286</v>
      </c>
      <c r="Y326" t="s">
        <v>6287</v>
      </c>
      <c r="Z326" t="s">
        <v>6288</v>
      </c>
      <c r="AA326" t="s">
        <v>6289</v>
      </c>
      <c r="AB326" t="s">
        <v>6290</v>
      </c>
      <c r="AC326" t="s">
        <v>74</v>
      </c>
      <c r="AD326" t="s">
        <v>74</v>
      </c>
      <c r="AE326" t="s">
        <v>74</v>
      </c>
      <c r="AF326" t="s">
        <v>74</v>
      </c>
      <c r="AG326">
        <v>130</v>
      </c>
      <c r="AH326">
        <v>3</v>
      </c>
      <c r="AI326">
        <v>9</v>
      </c>
      <c r="AJ326">
        <v>0</v>
      </c>
      <c r="AK326">
        <v>8</v>
      </c>
      <c r="AL326" t="s">
        <v>6291</v>
      </c>
      <c r="AM326" t="s">
        <v>3008</v>
      </c>
      <c r="AN326" t="s">
        <v>6292</v>
      </c>
      <c r="AO326" t="s">
        <v>6293</v>
      </c>
      <c r="AP326" t="s">
        <v>74</v>
      </c>
      <c r="AQ326" t="s">
        <v>74</v>
      </c>
      <c r="AR326" t="s">
        <v>6294</v>
      </c>
      <c r="AS326" t="s">
        <v>6295</v>
      </c>
      <c r="AT326" t="s">
        <v>5156</v>
      </c>
      <c r="AU326">
        <v>2009</v>
      </c>
      <c r="AV326">
        <v>70</v>
      </c>
      <c r="AW326">
        <v>6</v>
      </c>
      <c r="AX326" t="s">
        <v>74</v>
      </c>
      <c r="AY326" t="s">
        <v>74</v>
      </c>
      <c r="AZ326" t="s">
        <v>74</v>
      </c>
      <c r="BA326" t="s">
        <v>74</v>
      </c>
      <c r="BB326">
        <v>459</v>
      </c>
      <c r="BC326">
        <v>483</v>
      </c>
      <c r="BD326" t="s">
        <v>74</v>
      </c>
      <c r="BE326" t="s">
        <v>74</v>
      </c>
      <c r="BF326" t="s">
        <v>74</v>
      </c>
      <c r="BG326" t="s">
        <v>74</v>
      </c>
      <c r="BH326" t="s">
        <v>74</v>
      </c>
      <c r="BI326">
        <v>25</v>
      </c>
      <c r="BJ326" t="s">
        <v>624</v>
      </c>
      <c r="BK326" t="s">
        <v>98</v>
      </c>
      <c r="BL326" t="s">
        <v>625</v>
      </c>
      <c r="BM326" t="s">
        <v>6296</v>
      </c>
      <c r="BN326">
        <v>20063769</v>
      </c>
      <c r="BO326" t="s">
        <v>74</v>
      </c>
      <c r="BP326" t="s">
        <v>74</v>
      </c>
      <c r="BQ326" t="s">
        <v>74</v>
      </c>
      <c r="BR326" t="s">
        <v>101</v>
      </c>
      <c r="BS326" t="s">
        <v>6297</v>
      </c>
      <c r="BT326" t="str">
        <f>HYPERLINK("https%3A%2F%2Fwww.webofscience.com%2Fwos%2Fwoscc%2Ffull-record%2FWOS:000273187500002","View Full Record in Web of Science")</f>
        <v>View Full Record in Web of Science</v>
      </c>
    </row>
    <row r="327" spans="1:72" x14ac:dyDescent="0.15">
      <c r="A327" t="s">
        <v>72</v>
      </c>
      <c r="B327" t="s">
        <v>6298</v>
      </c>
      <c r="C327" t="s">
        <v>74</v>
      </c>
      <c r="D327" t="s">
        <v>74</v>
      </c>
      <c r="E327" t="s">
        <v>74</v>
      </c>
      <c r="F327" t="s">
        <v>6299</v>
      </c>
      <c r="G327" t="s">
        <v>74</v>
      </c>
      <c r="H327" t="s">
        <v>74</v>
      </c>
      <c r="I327" t="s">
        <v>6300</v>
      </c>
      <c r="J327" t="s">
        <v>4020</v>
      </c>
      <c r="K327" t="s">
        <v>74</v>
      </c>
      <c r="L327" t="s">
        <v>74</v>
      </c>
      <c r="M327" t="s">
        <v>78</v>
      </c>
      <c r="N327" t="s">
        <v>79</v>
      </c>
      <c r="O327" t="s">
        <v>74</v>
      </c>
      <c r="P327" t="s">
        <v>74</v>
      </c>
      <c r="Q327" t="s">
        <v>74</v>
      </c>
      <c r="R327" t="s">
        <v>74</v>
      </c>
      <c r="S327" t="s">
        <v>74</v>
      </c>
      <c r="T327" t="s">
        <v>6301</v>
      </c>
      <c r="U327" t="s">
        <v>6302</v>
      </c>
      <c r="V327" t="s">
        <v>6303</v>
      </c>
      <c r="W327" t="s">
        <v>6304</v>
      </c>
      <c r="X327" t="s">
        <v>6305</v>
      </c>
      <c r="Y327" t="s">
        <v>6306</v>
      </c>
      <c r="Z327" t="s">
        <v>6307</v>
      </c>
      <c r="AA327" t="s">
        <v>74</v>
      </c>
      <c r="AB327" t="s">
        <v>6308</v>
      </c>
      <c r="AC327" t="s">
        <v>6309</v>
      </c>
      <c r="AD327" t="s">
        <v>6310</v>
      </c>
      <c r="AE327" t="s">
        <v>6311</v>
      </c>
      <c r="AF327" t="s">
        <v>74</v>
      </c>
      <c r="AG327">
        <v>47</v>
      </c>
      <c r="AH327">
        <v>70</v>
      </c>
      <c r="AI327">
        <v>80</v>
      </c>
      <c r="AJ327">
        <v>0</v>
      </c>
      <c r="AK327">
        <v>24</v>
      </c>
      <c r="AL327" t="s">
        <v>305</v>
      </c>
      <c r="AM327" t="s">
        <v>281</v>
      </c>
      <c r="AN327" t="s">
        <v>306</v>
      </c>
      <c r="AO327" t="s">
        <v>4033</v>
      </c>
      <c r="AP327" t="s">
        <v>4034</v>
      </c>
      <c r="AQ327" t="s">
        <v>74</v>
      </c>
      <c r="AR327" t="s">
        <v>4035</v>
      </c>
      <c r="AS327" t="s">
        <v>4036</v>
      </c>
      <c r="AT327" t="s">
        <v>6312</v>
      </c>
      <c r="AU327">
        <v>2009</v>
      </c>
      <c r="AV327">
        <v>288</v>
      </c>
      <c r="AW327" t="s">
        <v>180</v>
      </c>
      <c r="AX327" t="s">
        <v>74</v>
      </c>
      <c r="AY327" t="s">
        <v>74</v>
      </c>
      <c r="AZ327" t="s">
        <v>74</v>
      </c>
      <c r="BA327" t="s">
        <v>74</v>
      </c>
      <c r="BB327">
        <v>194</v>
      </c>
      <c r="BC327">
        <v>203</v>
      </c>
      <c r="BD327" t="s">
        <v>74</v>
      </c>
      <c r="BE327" t="s">
        <v>6313</v>
      </c>
      <c r="BF327" t="str">
        <f>HYPERLINK("http://dx.doi.org/10.1016/j.epsl.2009.09.022","http://dx.doi.org/10.1016/j.epsl.2009.09.022")</f>
        <v>http://dx.doi.org/10.1016/j.epsl.2009.09.022</v>
      </c>
      <c r="BG327" t="s">
        <v>74</v>
      </c>
      <c r="BH327" t="s">
        <v>74</v>
      </c>
      <c r="BI327">
        <v>10</v>
      </c>
      <c r="BJ327" t="s">
        <v>261</v>
      </c>
      <c r="BK327" t="s">
        <v>98</v>
      </c>
      <c r="BL327" t="s">
        <v>261</v>
      </c>
      <c r="BM327" t="s">
        <v>6314</v>
      </c>
      <c r="BN327" t="s">
        <v>74</v>
      </c>
      <c r="BO327" t="s">
        <v>74</v>
      </c>
      <c r="BP327" t="s">
        <v>74</v>
      </c>
      <c r="BQ327" t="s">
        <v>74</v>
      </c>
      <c r="BR327" t="s">
        <v>101</v>
      </c>
      <c r="BS327" t="s">
        <v>6315</v>
      </c>
      <c r="BT327" t="str">
        <f>HYPERLINK("https%3A%2F%2Fwww.webofscience.com%2Fwos%2Fwoscc%2Ffull-record%2FWOS:000272788500020","View Full Record in Web of Science")</f>
        <v>View Full Record in Web of Science</v>
      </c>
    </row>
    <row r="328" spans="1:72" x14ac:dyDescent="0.15">
      <c r="A328" t="s">
        <v>72</v>
      </c>
      <c r="B328" t="s">
        <v>6316</v>
      </c>
      <c r="C328" t="s">
        <v>74</v>
      </c>
      <c r="D328" t="s">
        <v>74</v>
      </c>
      <c r="E328" t="s">
        <v>74</v>
      </c>
      <c r="F328" t="s">
        <v>6317</v>
      </c>
      <c r="G328" t="s">
        <v>74</v>
      </c>
      <c r="H328" t="s">
        <v>74</v>
      </c>
      <c r="I328" t="s">
        <v>6318</v>
      </c>
      <c r="J328" t="s">
        <v>395</v>
      </c>
      <c r="K328" t="s">
        <v>74</v>
      </c>
      <c r="L328" t="s">
        <v>74</v>
      </c>
      <c r="M328" t="s">
        <v>78</v>
      </c>
      <c r="N328" t="s">
        <v>79</v>
      </c>
      <c r="O328" t="s">
        <v>74</v>
      </c>
      <c r="P328" t="s">
        <v>74</v>
      </c>
      <c r="Q328" t="s">
        <v>74</v>
      </c>
      <c r="R328" t="s">
        <v>74</v>
      </c>
      <c r="S328" t="s">
        <v>74</v>
      </c>
      <c r="T328" t="s">
        <v>74</v>
      </c>
      <c r="U328" t="s">
        <v>6319</v>
      </c>
      <c r="V328" t="s">
        <v>6320</v>
      </c>
      <c r="W328" t="s">
        <v>6321</v>
      </c>
      <c r="X328" t="s">
        <v>6322</v>
      </c>
      <c r="Y328" t="s">
        <v>6323</v>
      </c>
      <c r="Z328" t="s">
        <v>6324</v>
      </c>
      <c r="AA328" t="s">
        <v>6325</v>
      </c>
      <c r="AB328" t="s">
        <v>6326</v>
      </c>
      <c r="AC328" t="s">
        <v>6327</v>
      </c>
      <c r="AD328" t="s">
        <v>6328</v>
      </c>
      <c r="AE328" t="s">
        <v>6329</v>
      </c>
      <c r="AF328" t="s">
        <v>74</v>
      </c>
      <c r="AG328">
        <v>26</v>
      </c>
      <c r="AH328">
        <v>59</v>
      </c>
      <c r="AI328">
        <v>64</v>
      </c>
      <c r="AJ328">
        <v>2</v>
      </c>
      <c r="AK328">
        <v>13</v>
      </c>
      <c r="AL328" t="s">
        <v>226</v>
      </c>
      <c r="AM328" t="s">
        <v>227</v>
      </c>
      <c r="AN328" t="s">
        <v>228</v>
      </c>
      <c r="AO328" t="s">
        <v>407</v>
      </c>
      <c r="AP328" t="s">
        <v>408</v>
      </c>
      <c r="AQ328" t="s">
        <v>74</v>
      </c>
      <c r="AR328" t="s">
        <v>409</v>
      </c>
      <c r="AS328" t="s">
        <v>410</v>
      </c>
      <c r="AT328" t="s">
        <v>6312</v>
      </c>
      <c r="AU328">
        <v>2009</v>
      </c>
      <c r="AV328">
        <v>114</v>
      </c>
      <c r="AW328" t="s">
        <v>74</v>
      </c>
      <c r="AX328" t="s">
        <v>74</v>
      </c>
      <c r="AY328" t="s">
        <v>74</v>
      </c>
      <c r="AZ328" t="s">
        <v>74</v>
      </c>
      <c r="BA328" t="s">
        <v>74</v>
      </c>
      <c r="BB328" t="s">
        <v>74</v>
      </c>
      <c r="BC328" t="s">
        <v>74</v>
      </c>
      <c r="BD328" t="s">
        <v>6330</v>
      </c>
      <c r="BE328" t="s">
        <v>6331</v>
      </c>
      <c r="BF328" t="str">
        <f>HYPERLINK("http://dx.doi.org/10.1029/2008JD011667","http://dx.doi.org/10.1029/2008JD011667")</f>
        <v>http://dx.doi.org/10.1029/2008JD011667</v>
      </c>
      <c r="BG328" t="s">
        <v>74</v>
      </c>
      <c r="BH328" t="s">
        <v>74</v>
      </c>
      <c r="BI328">
        <v>12</v>
      </c>
      <c r="BJ328" t="s">
        <v>413</v>
      </c>
      <c r="BK328" t="s">
        <v>98</v>
      </c>
      <c r="BL328" t="s">
        <v>413</v>
      </c>
      <c r="BM328" t="s">
        <v>6332</v>
      </c>
      <c r="BN328" t="s">
        <v>74</v>
      </c>
      <c r="BO328" t="s">
        <v>6333</v>
      </c>
      <c r="BP328" t="s">
        <v>74</v>
      </c>
      <c r="BQ328" t="s">
        <v>74</v>
      </c>
      <c r="BR328" t="s">
        <v>101</v>
      </c>
      <c r="BS328" t="s">
        <v>6334</v>
      </c>
      <c r="BT328" t="str">
        <f>HYPERLINK("https%3A%2F%2Fwww.webofscience.com%2Fwos%2Fwoscc%2Ffull-record%2FWOS:000271318200003","View Full Record in Web of Science")</f>
        <v>View Full Record in Web of Science</v>
      </c>
    </row>
    <row r="329" spans="1:72" x14ac:dyDescent="0.15">
      <c r="A329" t="s">
        <v>72</v>
      </c>
      <c r="B329" t="s">
        <v>6335</v>
      </c>
      <c r="C329" t="s">
        <v>74</v>
      </c>
      <c r="D329" t="s">
        <v>74</v>
      </c>
      <c r="E329" t="s">
        <v>74</v>
      </c>
      <c r="F329" t="s">
        <v>6336</v>
      </c>
      <c r="G329" t="s">
        <v>74</v>
      </c>
      <c r="H329" t="s">
        <v>74</v>
      </c>
      <c r="I329" t="s">
        <v>6337</v>
      </c>
      <c r="J329" t="s">
        <v>395</v>
      </c>
      <c r="K329" t="s">
        <v>74</v>
      </c>
      <c r="L329" t="s">
        <v>74</v>
      </c>
      <c r="M329" t="s">
        <v>78</v>
      </c>
      <c r="N329" t="s">
        <v>79</v>
      </c>
      <c r="O329" t="s">
        <v>74</v>
      </c>
      <c r="P329" t="s">
        <v>74</v>
      </c>
      <c r="Q329" t="s">
        <v>74</v>
      </c>
      <c r="R329" t="s">
        <v>74</v>
      </c>
      <c r="S329" t="s">
        <v>74</v>
      </c>
      <c r="T329" t="s">
        <v>74</v>
      </c>
      <c r="U329" t="s">
        <v>6338</v>
      </c>
      <c r="V329" t="s">
        <v>6339</v>
      </c>
      <c r="W329" t="s">
        <v>6340</v>
      </c>
      <c r="X329" t="s">
        <v>725</v>
      </c>
      <c r="Y329" t="s">
        <v>6341</v>
      </c>
      <c r="Z329" t="s">
        <v>6342</v>
      </c>
      <c r="AA329" t="s">
        <v>6343</v>
      </c>
      <c r="AB329" t="s">
        <v>6344</v>
      </c>
      <c r="AC329" t="s">
        <v>6345</v>
      </c>
      <c r="AD329" t="s">
        <v>6346</v>
      </c>
      <c r="AE329" t="s">
        <v>6347</v>
      </c>
      <c r="AF329" t="s">
        <v>74</v>
      </c>
      <c r="AG329">
        <v>37</v>
      </c>
      <c r="AH329">
        <v>26</v>
      </c>
      <c r="AI329">
        <v>26</v>
      </c>
      <c r="AJ329">
        <v>0</v>
      </c>
      <c r="AK329">
        <v>6</v>
      </c>
      <c r="AL329" t="s">
        <v>226</v>
      </c>
      <c r="AM329" t="s">
        <v>227</v>
      </c>
      <c r="AN329" t="s">
        <v>228</v>
      </c>
      <c r="AO329" t="s">
        <v>407</v>
      </c>
      <c r="AP329" t="s">
        <v>408</v>
      </c>
      <c r="AQ329" t="s">
        <v>74</v>
      </c>
      <c r="AR329" t="s">
        <v>409</v>
      </c>
      <c r="AS329" t="s">
        <v>410</v>
      </c>
      <c r="AT329" t="s">
        <v>6348</v>
      </c>
      <c r="AU329">
        <v>2009</v>
      </c>
      <c r="AV329">
        <v>114</v>
      </c>
      <c r="AW329" t="s">
        <v>74</v>
      </c>
      <c r="AX329" t="s">
        <v>74</v>
      </c>
      <c r="AY329" t="s">
        <v>74</v>
      </c>
      <c r="AZ329" t="s">
        <v>74</v>
      </c>
      <c r="BA329" t="s">
        <v>74</v>
      </c>
      <c r="BB329" t="s">
        <v>74</v>
      </c>
      <c r="BC329" t="s">
        <v>74</v>
      </c>
      <c r="BD329" t="s">
        <v>6349</v>
      </c>
      <c r="BE329" t="s">
        <v>6350</v>
      </c>
      <c r="BF329" t="str">
        <f>HYPERLINK("http://dx.doi.org/10.1029/2009JD012263","http://dx.doi.org/10.1029/2009JD012263")</f>
        <v>http://dx.doi.org/10.1029/2009JD012263</v>
      </c>
      <c r="BG329" t="s">
        <v>74</v>
      </c>
      <c r="BH329" t="s">
        <v>74</v>
      </c>
      <c r="BI329">
        <v>8</v>
      </c>
      <c r="BJ329" t="s">
        <v>413</v>
      </c>
      <c r="BK329" t="s">
        <v>98</v>
      </c>
      <c r="BL329" t="s">
        <v>413</v>
      </c>
      <c r="BM329" t="s">
        <v>6351</v>
      </c>
      <c r="BN329" t="s">
        <v>74</v>
      </c>
      <c r="BO329" t="s">
        <v>3849</v>
      </c>
      <c r="BP329" t="s">
        <v>74</v>
      </c>
      <c r="BQ329" t="s">
        <v>74</v>
      </c>
      <c r="BR329" t="s">
        <v>101</v>
      </c>
      <c r="BS329" t="s">
        <v>6352</v>
      </c>
      <c r="BT329" t="str">
        <f>HYPERLINK("https%3A%2F%2Fwww.webofscience.com%2Fwos%2Fwoscc%2Ffull-record%2FWOS:000271316900004","View Full Record in Web of Science")</f>
        <v>View Full Record in Web of Science</v>
      </c>
    </row>
    <row r="330" spans="1:72" x14ac:dyDescent="0.15">
      <c r="A330" t="s">
        <v>72</v>
      </c>
      <c r="B330" t="s">
        <v>6353</v>
      </c>
      <c r="C330" t="s">
        <v>74</v>
      </c>
      <c r="D330" t="s">
        <v>74</v>
      </c>
      <c r="E330" t="s">
        <v>74</v>
      </c>
      <c r="F330" t="s">
        <v>6354</v>
      </c>
      <c r="G330" t="s">
        <v>74</v>
      </c>
      <c r="H330" t="s">
        <v>74</v>
      </c>
      <c r="I330" t="s">
        <v>6355</v>
      </c>
      <c r="J330" t="s">
        <v>214</v>
      </c>
      <c r="K330" t="s">
        <v>74</v>
      </c>
      <c r="L330" t="s">
        <v>74</v>
      </c>
      <c r="M330" t="s">
        <v>78</v>
      </c>
      <c r="N330" t="s">
        <v>79</v>
      </c>
      <c r="O330" t="s">
        <v>74</v>
      </c>
      <c r="P330" t="s">
        <v>74</v>
      </c>
      <c r="Q330" t="s">
        <v>74</v>
      </c>
      <c r="R330" t="s">
        <v>74</v>
      </c>
      <c r="S330" t="s">
        <v>74</v>
      </c>
      <c r="T330" t="s">
        <v>74</v>
      </c>
      <c r="U330" t="s">
        <v>6356</v>
      </c>
      <c r="V330" t="s">
        <v>6357</v>
      </c>
      <c r="W330" t="s">
        <v>6358</v>
      </c>
      <c r="X330" t="s">
        <v>6359</v>
      </c>
      <c r="Y330" t="s">
        <v>6360</v>
      </c>
      <c r="Z330" t="s">
        <v>6361</v>
      </c>
      <c r="AA330" t="s">
        <v>6362</v>
      </c>
      <c r="AB330" t="s">
        <v>6363</v>
      </c>
      <c r="AC330" t="s">
        <v>74</v>
      </c>
      <c r="AD330" t="s">
        <v>74</v>
      </c>
      <c r="AE330" t="s">
        <v>74</v>
      </c>
      <c r="AF330" t="s">
        <v>74</v>
      </c>
      <c r="AG330">
        <v>57</v>
      </c>
      <c r="AH330">
        <v>94</v>
      </c>
      <c r="AI330">
        <v>100</v>
      </c>
      <c r="AJ330">
        <v>0</v>
      </c>
      <c r="AK330">
        <v>31</v>
      </c>
      <c r="AL330" t="s">
        <v>226</v>
      </c>
      <c r="AM330" t="s">
        <v>227</v>
      </c>
      <c r="AN330" t="s">
        <v>228</v>
      </c>
      <c r="AO330" t="s">
        <v>229</v>
      </c>
      <c r="AP330" t="s">
        <v>230</v>
      </c>
      <c r="AQ330" t="s">
        <v>74</v>
      </c>
      <c r="AR330" t="s">
        <v>231</v>
      </c>
      <c r="AS330" t="s">
        <v>232</v>
      </c>
      <c r="AT330" t="s">
        <v>6364</v>
      </c>
      <c r="AU330">
        <v>2009</v>
      </c>
      <c r="AV330">
        <v>23</v>
      </c>
      <c r="AW330" t="s">
        <v>74</v>
      </c>
      <c r="AX330" t="s">
        <v>74</v>
      </c>
      <c r="AY330" t="s">
        <v>74</v>
      </c>
      <c r="AZ330" t="s">
        <v>74</v>
      </c>
      <c r="BA330" t="s">
        <v>74</v>
      </c>
      <c r="BB330" t="s">
        <v>74</v>
      </c>
      <c r="BC330" t="s">
        <v>74</v>
      </c>
      <c r="BD330" t="s">
        <v>6365</v>
      </c>
      <c r="BE330" t="s">
        <v>6366</v>
      </c>
      <c r="BF330" t="str">
        <f>HYPERLINK("http://dx.doi.org/10.1029/2008GB003406","http://dx.doi.org/10.1029/2008GB003406")</f>
        <v>http://dx.doi.org/10.1029/2008GB003406</v>
      </c>
      <c r="BG330" t="s">
        <v>74</v>
      </c>
      <c r="BH330" t="s">
        <v>74</v>
      </c>
      <c r="BI330">
        <v>14</v>
      </c>
      <c r="BJ330" t="s">
        <v>236</v>
      </c>
      <c r="BK330" t="s">
        <v>98</v>
      </c>
      <c r="BL330" t="s">
        <v>237</v>
      </c>
      <c r="BM330" t="s">
        <v>6367</v>
      </c>
      <c r="BN330" t="s">
        <v>74</v>
      </c>
      <c r="BO330" t="s">
        <v>467</v>
      </c>
      <c r="BP330" t="s">
        <v>74</v>
      </c>
      <c r="BQ330" t="s">
        <v>74</v>
      </c>
      <c r="BR330" t="s">
        <v>101</v>
      </c>
      <c r="BS330" t="s">
        <v>6368</v>
      </c>
      <c r="BT330" t="str">
        <f>HYPERLINK("https%3A%2F%2Fwww.webofscience.com%2Fwos%2Fwoscc%2Ffull-record%2FWOS:000271315000001","View Full Record in Web of Science")</f>
        <v>View Full Record in Web of Science</v>
      </c>
    </row>
    <row r="331" spans="1:72" x14ac:dyDescent="0.15">
      <c r="A331" t="s">
        <v>72</v>
      </c>
      <c r="B331" t="s">
        <v>6369</v>
      </c>
      <c r="C331" t="s">
        <v>74</v>
      </c>
      <c r="D331" t="s">
        <v>74</v>
      </c>
      <c r="E331" t="s">
        <v>74</v>
      </c>
      <c r="F331" t="s">
        <v>6370</v>
      </c>
      <c r="G331" t="s">
        <v>74</v>
      </c>
      <c r="H331" t="s">
        <v>74</v>
      </c>
      <c r="I331" t="s">
        <v>6371</v>
      </c>
      <c r="J331" t="s">
        <v>369</v>
      </c>
      <c r="K331" t="s">
        <v>74</v>
      </c>
      <c r="L331" t="s">
        <v>74</v>
      </c>
      <c r="M331" t="s">
        <v>78</v>
      </c>
      <c r="N331" t="s">
        <v>79</v>
      </c>
      <c r="O331" t="s">
        <v>74</v>
      </c>
      <c r="P331" t="s">
        <v>74</v>
      </c>
      <c r="Q331" t="s">
        <v>74</v>
      </c>
      <c r="R331" t="s">
        <v>74</v>
      </c>
      <c r="S331" t="s">
        <v>74</v>
      </c>
      <c r="T331" t="s">
        <v>6372</v>
      </c>
      <c r="U331" t="s">
        <v>6373</v>
      </c>
      <c r="V331" t="s">
        <v>6374</v>
      </c>
      <c r="W331" t="s">
        <v>6375</v>
      </c>
      <c r="X331" t="s">
        <v>6376</v>
      </c>
      <c r="Y331" t="s">
        <v>6377</v>
      </c>
      <c r="Z331" t="s">
        <v>6378</v>
      </c>
      <c r="AA331" t="s">
        <v>74</v>
      </c>
      <c r="AB331" t="s">
        <v>6379</v>
      </c>
      <c r="AC331" t="s">
        <v>6380</v>
      </c>
      <c r="AD331" t="s">
        <v>6381</v>
      </c>
      <c r="AE331" t="s">
        <v>6382</v>
      </c>
      <c r="AF331" t="s">
        <v>74</v>
      </c>
      <c r="AG331">
        <v>19</v>
      </c>
      <c r="AH331">
        <v>2</v>
      </c>
      <c r="AI331">
        <v>3</v>
      </c>
      <c r="AJ331">
        <v>0</v>
      </c>
      <c r="AK331">
        <v>3</v>
      </c>
      <c r="AL331" t="s">
        <v>381</v>
      </c>
      <c r="AM331" t="s">
        <v>382</v>
      </c>
      <c r="AN331" t="s">
        <v>383</v>
      </c>
      <c r="AO331" t="s">
        <v>384</v>
      </c>
      <c r="AP331" t="s">
        <v>74</v>
      </c>
      <c r="AQ331" t="s">
        <v>74</v>
      </c>
      <c r="AR331" t="s">
        <v>385</v>
      </c>
      <c r="AS331" t="s">
        <v>386</v>
      </c>
      <c r="AT331" t="s">
        <v>6383</v>
      </c>
      <c r="AU331">
        <v>2009</v>
      </c>
      <c r="AV331">
        <v>97</v>
      </c>
      <c r="AW331">
        <v>8</v>
      </c>
      <c r="AX331" t="s">
        <v>74</v>
      </c>
      <c r="AY331" t="s">
        <v>74</v>
      </c>
      <c r="AZ331" t="s">
        <v>74</v>
      </c>
      <c r="BA331" t="s">
        <v>74</v>
      </c>
      <c r="BB331">
        <v>1239</v>
      </c>
      <c r="BC331">
        <v>1243</v>
      </c>
      <c r="BD331" t="s">
        <v>74</v>
      </c>
      <c r="BE331" t="s">
        <v>74</v>
      </c>
      <c r="BF331" t="s">
        <v>74</v>
      </c>
      <c r="BG331" t="s">
        <v>74</v>
      </c>
      <c r="BH331" t="s">
        <v>74</v>
      </c>
      <c r="BI331">
        <v>6</v>
      </c>
      <c r="BJ331" t="s">
        <v>388</v>
      </c>
      <c r="BK331" t="s">
        <v>98</v>
      </c>
      <c r="BL331" t="s">
        <v>389</v>
      </c>
      <c r="BM331" t="s">
        <v>6384</v>
      </c>
      <c r="BN331" t="s">
        <v>74</v>
      </c>
      <c r="BO331" t="s">
        <v>74</v>
      </c>
      <c r="BP331" t="s">
        <v>74</v>
      </c>
      <c r="BQ331" t="s">
        <v>74</v>
      </c>
      <c r="BR331" t="s">
        <v>101</v>
      </c>
      <c r="BS331" t="s">
        <v>6385</v>
      </c>
      <c r="BT331" t="str">
        <f>HYPERLINK("https%3A%2F%2Fwww.webofscience.com%2Fwos%2Fwoscc%2Ffull-record%2FWOS:000271480700026","View Full Record in Web of Science")</f>
        <v>View Full Record in Web of Science</v>
      </c>
    </row>
    <row r="332" spans="1:72" x14ac:dyDescent="0.15">
      <c r="A332" t="s">
        <v>72</v>
      </c>
      <c r="B332" t="s">
        <v>6386</v>
      </c>
      <c r="C332" t="s">
        <v>74</v>
      </c>
      <c r="D332" t="s">
        <v>74</v>
      </c>
      <c r="E332" t="s">
        <v>74</v>
      </c>
      <c r="F332" t="s">
        <v>6387</v>
      </c>
      <c r="G332" t="s">
        <v>74</v>
      </c>
      <c r="H332" t="s">
        <v>74</v>
      </c>
      <c r="I332" t="s">
        <v>6388</v>
      </c>
      <c r="J332" t="s">
        <v>721</v>
      </c>
      <c r="K332" t="s">
        <v>74</v>
      </c>
      <c r="L332" t="s">
        <v>74</v>
      </c>
      <c r="M332" t="s">
        <v>78</v>
      </c>
      <c r="N332" t="s">
        <v>79</v>
      </c>
      <c r="O332" t="s">
        <v>74</v>
      </c>
      <c r="P332" t="s">
        <v>74</v>
      </c>
      <c r="Q332" t="s">
        <v>74</v>
      </c>
      <c r="R332" t="s">
        <v>74</v>
      </c>
      <c r="S332" t="s">
        <v>74</v>
      </c>
      <c r="T332" t="s">
        <v>74</v>
      </c>
      <c r="U332" t="s">
        <v>6389</v>
      </c>
      <c r="V332" t="s">
        <v>6390</v>
      </c>
      <c r="W332" t="s">
        <v>6391</v>
      </c>
      <c r="X332" t="s">
        <v>6392</v>
      </c>
      <c r="Y332" t="s">
        <v>6393</v>
      </c>
      <c r="Z332" t="s">
        <v>6394</v>
      </c>
      <c r="AA332" t="s">
        <v>6395</v>
      </c>
      <c r="AB332" t="s">
        <v>6396</v>
      </c>
      <c r="AC332" t="s">
        <v>6397</v>
      </c>
      <c r="AD332" t="s">
        <v>6398</v>
      </c>
      <c r="AE332" t="s">
        <v>6399</v>
      </c>
      <c r="AF332" t="s">
        <v>74</v>
      </c>
      <c r="AG332">
        <v>17</v>
      </c>
      <c r="AH332">
        <v>48</v>
      </c>
      <c r="AI332">
        <v>50</v>
      </c>
      <c r="AJ332">
        <v>1</v>
      </c>
      <c r="AK332">
        <v>7</v>
      </c>
      <c r="AL332" t="s">
        <v>226</v>
      </c>
      <c r="AM332" t="s">
        <v>227</v>
      </c>
      <c r="AN332" t="s">
        <v>228</v>
      </c>
      <c r="AO332" t="s">
        <v>731</v>
      </c>
      <c r="AP332" t="s">
        <v>74</v>
      </c>
      <c r="AQ332" t="s">
        <v>74</v>
      </c>
      <c r="AR332" t="s">
        <v>733</v>
      </c>
      <c r="AS332" t="s">
        <v>734</v>
      </c>
      <c r="AT332" t="s">
        <v>6400</v>
      </c>
      <c r="AU332">
        <v>2009</v>
      </c>
      <c r="AV332">
        <v>36</v>
      </c>
      <c r="AW332" t="s">
        <v>74</v>
      </c>
      <c r="AX332" t="s">
        <v>74</v>
      </c>
      <c r="AY332" t="s">
        <v>74</v>
      </c>
      <c r="AZ332" t="s">
        <v>74</v>
      </c>
      <c r="BA332" t="s">
        <v>74</v>
      </c>
      <c r="BB332" t="s">
        <v>74</v>
      </c>
      <c r="BC332" t="s">
        <v>74</v>
      </c>
      <c r="BD332" t="s">
        <v>6401</v>
      </c>
      <c r="BE332" t="s">
        <v>6402</v>
      </c>
      <c r="BF332" t="str">
        <f>HYPERLINK("http://dx.doi.org/10.1029/2009GL040348","http://dx.doi.org/10.1029/2009GL040348")</f>
        <v>http://dx.doi.org/10.1029/2009GL040348</v>
      </c>
      <c r="BG332" t="s">
        <v>74</v>
      </c>
      <c r="BH332" t="s">
        <v>74</v>
      </c>
      <c r="BI332">
        <v>5</v>
      </c>
      <c r="BJ332" t="s">
        <v>464</v>
      </c>
      <c r="BK332" t="s">
        <v>98</v>
      </c>
      <c r="BL332" t="s">
        <v>465</v>
      </c>
      <c r="BM332" t="s">
        <v>6403</v>
      </c>
      <c r="BN332" t="s">
        <v>74</v>
      </c>
      <c r="BO332" t="s">
        <v>263</v>
      </c>
      <c r="BP332" t="s">
        <v>74</v>
      </c>
      <c r="BQ332" t="s">
        <v>74</v>
      </c>
      <c r="BR332" t="s">
        <v>101</v>
      </c>
      <c r="BS332" t="s">
        <v>6404</v>
      </c>
      <c r="BT332" t="str">
        <f>HYPERLINK("https%3A%2F%2Fwww.webofscience.com%2Fwos%2Fwoscc%2Ffull-record%2FWOS:000271130200004","View Full Record in Web of Science")</f>
        <v>View Full Record in Web of Science</v>
      </c>
    </row>
    <row r="333" spans="1:72" x14ac:dyDescent="0.15">
      <c r="A333" t="s">
        <v>72</v>
      </c>
      <c r="B333" t="s">
        <v>6405</v>
      </c>
      <c r="C333" t="s">
        <v>74</v>
      </c>
      <c r="D333" t="s">
        <v>74</v>
      </c>
      <c r="E333" t="s">
        <v>74</v>
      </c>
      <c r="F333" t="s">
        <v>6406</v>
      </c>
      <c r="G333" t="s">
        <v>74</v>
      </c>
      <c r="H333" t="s">
        <v>74</v>
      </c>
      <c r="I333" t="s">
        <v>6407</v>
      </c>
      <c r="J333" t="s">
        <v>721</v>
      </c>
      <c r="K333" t="s">
        <v>74</v>
      </c>
      <c r="L333" t="s">
        <v>74</v>
      </c>
      <c r="M333" t="s">
        <v>78</v>
      </c>
      <c r="N333" t="s">
        <v>79</v>
      </c>
      <c r="O333" t="s">
        <v>74</v>
      </c>
      <c r="P333" t="s">
        <v>74</v>
      </c>
      <c r="Q333" t="s">
        <v>74</v>
      </c>
      <c r="R333" t="s">
        <v>74</v>
      </c>
      <c r="S333" t="s">
        <v>74</v>
      </c>
      <c r="T333" t="s">
        <v>74</v>
      </c>
      <c r="U333" t="s">
        <v>6408</v>
      </c>
      <c r="V333" t="s">
        <v>6409</v>
      </c>
      <c r="W333" t="s">
        <v>6410</v>
      </c>
      <c r="X333" t="s">
        <v>6411</v>
      </c>
      <c r="Y333" t="s">
        <v>6412</v>
      </c>
      <c r="Z333" t="s">
        <v>6342</v>
      </c>
      <c r="AA333" t="s">
        <v>6413</v>
      </c>
      <c r="AB333" t="s">
        <v>6414</v>
      </c>
      <c r="AC333" t="s">
        <v>6415</v>
      </c>
      <c r="AD333" t="s">
        <v>6416</v>
      </c>
      <c r="AE333" t="s">
        <v>6417</v>
      </c>
      <c r="AF333" t="s">
        <v>74</v>
      </c>
      <c r="AG333">
        <v>30</v>
      </c>
      <c r="AH333">
        <v>82</v>
      </c>
      <c r="AI333">
        <v>88</v>
      </c>
      <c r="AJ333">
        <v>0</v>
      </c>
      <c r="AK333">
        <v>12</v>
      </c>
      <c r="AL333" t="s">
        <v>226</v>
      </c>
      <c r="AM333" t="s">
        <v>227</v>
      </c>
      <c r="AN333" t="s">
        <v>228</v>
      </c>
      <c r="AO333" t="s">
        <v>731</v>
      </c>
      <c r="AP333" t="s">
        <v>732</v>
      </c>
      <c r="AQ333" t="s">
        <v>74</v>
      </c>
      <c r="AR333" t="s">
        <v>733</v>
      </c>
      <c r="AS333" t="s">
        <v>734</v>
      </c>
      <c r="AT333" t="s">
        <v>6400</v>
      </c>
      <c r="AU333">
        <v>2009</v>
      </c>
      <c r="AV333">
        <v>36</v>
      </c>
      <c r="AW333" t="s">
        <v>74</v>
      </c>
      <c r="AX333" t="s">
        <v>74</v>
      </c>
      <c r="AY333" t="s">
        <v>74</v>
      </c>
      <c r="AZ333" t="s">
        <v>74</v>
      </c>
      <c r="BA333" t="s">
        <v>74</v>
      </c>
      <c r="BB333" t="s">
        <v>74</v>
      </c>
      <c r="BC333" t="s">
        <v>74</v>
      </c>
      <c r="BD333" t="s">
        <v>6418</v>
      </c>
      <c r="BE333" t="s">
        <v>6419</v>
      </c>
      <c r="BF333" t="str">
        <f>HYPERLINK("http://dx.doi.org/10.1029/2009GL040104","http://dx.doi.org/10.1029/2009GL040104")</f>
        <v>http://dx.doi.org/10.1029/2009GL040104</v>
      </c>
      <c r="BG333" t="s">
        <v>74</v>
      </c>
      <c r="BH333" t="s">
        <v>74</v>
      </c>
      <c r="BI333">
        <v>5</v>
      </c>
      <c r="BJ333" t="s">
        <v>464</v>
      </c>
      <c r="BK333" t="s">
        <v>98</v>
      </c>
      <c r="BL333" t="s">
        <v>465</v>
      </c>
      <c r="BM333" t="s">
        <v>6403</v>
      </c>
      <c r="BN333" t="s">
        <v>74</v>
      </c>
      <c r="BO333" t="s">
        <v>1381</v>
      </c>
      <c r="BP333" t="s">
        <v>74</v>
      </c>
      <c r="BQ333" t="s">
        <v>74</v>
      </c>
      <c r="BR333" t="s">
        <v>101</v>
      </c>
      <c r="BS333" t="s">
        <v>6420</v>
      </c>
      <c r="BT333" t="str">
        <f>HYPERLINK("https%3A%2F%2Fwww.webofscience.com%2Fwos%2Fwoscc%2Ffull-record%2FWOS:000271130200003","View Full Record in Web of Science")</f>
        <v>View Full Record in Web of Science</v>
      </c>
    </row>
    <row r="334" spans="1:72" x14ac:dyDescent="0.15">
      <c r="A334" t="s">
        <v>72</v>
      </c>
      <c r="B334" t="s">
        <v>6421</v>
      </c>
      <c r="C334" t="s">
        <v>74</v>
      </c>
      <c r="D334" t="s">
        <v>74</v>
      </c>
      <c r="E334" t="s">
        <v>74</v>
      </c>
      <c r="F334" t="s">
        <v>6422</v>
      </c>
      <c r="G334" t="s">
        <v>74</v>
      </c>
      <c r="H334" t="s">
        <v>74</v>
      </c>
      <c r="I334" t="s">
        <v>6423</v>
      </c>
      <c r="J334" t="s">
        <v>395</v>
      </c>
      <c r="K334" t="s">
        <v>74</v>
      </c>
      <c r="L334" t="s">
        <v>74</v>
      </c>
      <c r="M334" t="s">
        <v>78</v>
      </c>
      <c r="N334" t="s">
        <v>79</v>
      </c>
      <c r="O334" t="s">
        <v>74</v>
      </c>
      <c r="P334" t="s">
        <v>74</v>
      </c>
      <c r="Q334" t="s">
        <v>74</v>
      </c>
      <c r="R334" t="s">
        <v>74</v>
      </c>
      <c r="S334" t="s">
        <v>74</v>
      </c>
      <c r="T334" t="s">
        <v>74</v>
      </c>
      <c r="U334" t="s">
        <v>6424</v>
      </c>
      <c r="V334" t="s">
        <v>6425</v>
      </c>
      <c r="W334" t="s">
        <v>6426</v>
      </c>
      <c r="X334" t="s">
        <v>6427</v>
      </c>
      <c r="Y334" t="s">
        <v>6428</v>
      </c>
      <c r="Z334" t="s">
        <v>6429</v>
      </c>
      <c r="AA334" t="s">
        <v>6430</v>
      </c>
      <c r="AB334" t="s">
        <v>6431</v>
      </c>
      <c r="AC334" t="s">
        <v>6432</v>
      </c>
      <c r="AD334" t="s">
        <v>6433</v>
      </c>
      <c r="AE334" t="s">
        <v>6434</v>
      </c>
      <c r="AF334" t="s">
        <v>74</v>
      </c>
      <c r="AG334">
        <v>54</v>
      </c>
      <c r="AH334">
        <v>29</v>
      </c>
      <c r="AI334">
        <v>29</v>
      </c>
      <c r="AJ334">
        <v>0</v>
      </c>
      <c r="AK334">
        <v>6</v>
      </c>
      <c r="AL334" t="s">
        <v>226</v>
      </c>
      <c r="AM334" t="s">
        <v>227</v>
      </c>
      <c r="AN334" t="s">
        <v>228</v>
      </c>
      <c r="AO334" t="s">
        <v>407</v>
      </c>
      <c r="AP334" t="s">
        <v>408</v>
      </c>
      <c r="AQ334" t="s">
        <v>74</v>
      </c>
      <c r="AR334" t="s">
        <v>409</v>
      </c>
      <c r="AS334" t="s">
        <v>410</v>
      </c>
      <c r="AT334" t="s">
        <v>6400</v>
      </c>
      <c r="AU334">
        <v>2009</v>
      </c>
      <c r="AV334">
        <v>114</v>
      </c>
      <c r="AW334" t="s">
        <v>74</v>
      </c>
      <c r="AX334" t="s">
        <v>74</v>
      </c>
      <c r="AY334" t="s">
        <v>74</v>
      </c>
      <c r="AZ334" t="s">
        <v>74</v>
      </c>
      <c r="BA334" t="s">
        <v>74</v>
      </c>
      <c r="BB334" t="s">
        <v>74</v>
      </c>
      <c r="BC334" t="s">
        <v>74</v>
      </c>
      <c r="BD334" t="s">
        <v>6435</v>
      </c>
      <c r="BE334" t="s">
        <v>6436</v>
      </c>
      <c r="BF334" t="str">
        <f>HYPERLINK("http://dx.doi.org/10.1029/2009JD012114","http://dx.doi.org/10.1029/2009JD012114")</f>
        <v>http://dx.doi.org/10.1029/2009JD012114</v>
      </c>
      <c r="BG334" t="s">
        <v>74</v>
      </c>
      <c r="BH334" t="s">
        <v>74</v>
      </c>
      <c r="BI334">
        <v>15</v>
      </c>
      <c r="BJ334" t="s">
        <v>413</v>
      </c>
      <c r="BK334" t="s">
        <v>98</v>
      </c>
      <c r="BL334" t="s">
        <v>413</v>
      </c>
      <c r="BM334" t="s">
        <v>6437</v>
      </c>
      <c r="BN334" t="s">
        <v>74</v>
      </c>
      <c r="BO334" t="s">
        <v>263</v>
      </c>
      <c r="BP334" t="s">
        <v>74</v>
      </c>
      <c r="BQ334" t="s">
        <v>74</v>
      </c>
      <c r="BR334" t="s">
        <v>101</v>
      </c>
      <c r="BS334" t="s">
        <v>6438</v>
      </c>
      <c r="BT334" t="str">
        <f>HYPERLINK("https%3A%2F%2Fwww.webofscience.com%2Fwos%2Fwoscc%2Ffull-record%2FWOS:000271131800001","View Full Record in Web of Science")</f>
        <v>View Full Record in Web of Science</v>
      </c>
    </row>
    <row r="335" spans="1:72" x14ac:dyDescent="0.15">
      <c r="A335" t="s">
        <v>72</v>
      </c>
      <c r="B335" t="s">
        <v>6439</v>
      </c>
      <c r="C335" t="s">
        <v>74</v>
      </c>
      <c r="D335" t="s">
        <v>74</v>
      </c>
      <c r="E335" t="s">
        <v>74</v>
      </c>
      <c r="F335" t="s">
        <v>6440</v>
      </c>
      <c r="G335" t="s">
        <v>74</v>
      </c>
      <c r="H335" t="s">
        <v>74</v>
      </c>
      <c r="I335" t="s">
        <v>6441</v>
      </c>
      <c r="J335" t="s">
        <v>395</v>
      </c>
      <c r="K335" t="s">
        <v>74</v>
      </c>
      <c r="L335" t="s">
        <v>74</v>
      </c>
      <c r="M335" t="s">
        <v>78</v>
      </c>
      <c r="N335" t="s">
        <v>79</v>
      </c>
      <c r="O335" t="s">
        <v>74</v>
      </c>
      <c r="P335" t="s">
        <v>74</v>
      </c>
      <c r="Q335" t="s">
        <v>74</v>
      </c>
      <c r="R335" t="s">
        <v>74</v>
      </c>
      <c r="S335" t="s">
        <v>74</v>
      </c>
      <c r="T335" t="s">
        <v>74</v>
      </c>
      <c r="U335" t="s">
        <v>6442</v>
      </c>
      <c r="V335" t="s">
        <v>6443</v>
      </c>
      <c r="W335" t="s">
        <v>6444</v>
      </c>
      <c r="X335" t="s">
        <v>725</v>
      </c>
      <c r="Y335" t="s">
        <v>6445</v>
      </c>
      <c r="Z335" t="s">
        <v>6446</v>
      </c>
      <c r="AA335" t="s">
        <v>6447</v>
      </c>
      <c r="AB335" t="s">
        <v>6448</v>
      </c>
      <c r="AC335" t="s">
        <v>6449</v>
      </c>
      <c r="AD335" t="s">
        <v>5584</v>
      </c>
      <c r="AE335" t="s">
        <v>6450</v>
      </c>
      <c r="AF335" t="s">
        <v>74</v>
      </c>
      <c r="AG335">
        <v>47</v>
      </c>
      <c r="AH335">
        <v>40</v>
      </c>
      <c r="AI335">
        <v>47</v>
      </c>
      <c r="AJ335">
        <v>0</v>
      </c>
      <c r="AK335">
        <v>17</v>
      </c>
      <c r="AL335" t="s">
        <v>226</v>
      </c>
      <c r="AM335" t="s">
        <v>227</v>
      </c>
      <c r="AN335" t="s">
        <v>228</v>
      </c>
      <c r="AO335" t="s">
        <v>407</v>
      </c>
      <c r="AP335" t="s">
        <v>408</v>
      </c>
      <c r="AQ335" t="s">
        <v>74</v>
      </c>
      <c r="AR335" t="s">
        <v>409</v>
      </c>
      <c r="AS335" t="s">
        <v>410</v>
      </c>
      <c r="AT335" t="s">
        <v>6400</v>
      </c>
      <c r="AU335">
        <v>2009</v>
      </c>
      <c r="AV335">
        <v>114</v>
      </c>
      <c r="AW335" t="s">
        <v>74</v>
      </c>
      <c r="AX335" t="s">
        <v>74</v>
      </c>
      <c r="AY335" t="s">
        <v>74</v>
      </c>
      <c r="AZ335" t="s">
        <v>74</v>
      </c>
      <c r="BA335" t="s">
        <v>74</v>
      </c>
      <c r="BB335" t="s">
        <v>74</v>
      </c>
      <c r="BC335" t="s">
        <v>74</v>
      </c>
      <c r="BD335" t="s">
        <v>6451</v>
      </c>
      <c r="BE335" t="s">
        <v>6452</v>
      </c>
      <c r="BF335" t="str">
        <f>HYPERLINK("http://dx.doi.org/10.1029/2009JD012481","http://dx.doi.org/10.1029/2009JD012481")</f>
        <v>http://dx.doi.org/10.1029/2009JD012481</v>
      </c>
      <c r="BG335" t="s">
        <v>74</v>
      </c>
      <c r="BH335" t="s">
        <v>74</v>
      </c>
      <c r="BI335">
        <v>14</v>
      </c>
      <c r="BJ335" t="s">
        <v>413</v>
      </c>
      <c r="BK335" t="s">
        <v>98</v>
      </c>
      <c r="BL335" t="s">
        <v>413</v>
      </c>
      <c r="BM335" t="s">
        <v>6437</v>
      </c>
      <c r="BN335" t="s">
        <v>74</v>
      </c>
      <c r="BO335" t="s">
        <v>1381</v>
      </c>
      <c r="BP335" t="s">
        <v>74</v>
      </c>
      <c r="BQ335" t="s">
        <v>74</v>
      </c>
      <c r="BR335" t="s">
        <v>101</v>
      </c>
      <c r="BS335" t="s">
        <v>6453</v>
      </c>
      <c r="BT335" t="str">
        <f>HYPERLINK("https%3A%2F%2Fwww.webofscience.com%2Fwos%2Fwoscc%2Ffull-record%2FWOS:000271131800003","View Full Record in Web of Science")</f>
        <v>View Full Record in Web of Science</v>
      </c>
    </row>
    <row r="336" spans="1:72" x14ac:dyDescent="0.15">
      <c r="A336" t="s">
        <v>72</v>
      </c>
      <c r="B336" t="s">
        <v>6454</v>
      </c>
      <c r="C336" t="s">
        <v>74</v>
      </c>
      <c r="D336" t="s">
        <v>74</v>
      </c>
      <c r="E336" t="s">
        <v>74</v>
      </c>
      <c r="F336" t="s">
        <v>6455</v>
      </c>
      <c r="G336" t="s">
        <v>74</v>
      </c>
      <c r="H336" t="s">
        <v>74</v>
      </c>
      <c r="I336" t="s">
        <v>6456</v>
      </c>
      <c r="J336" t="s">
        <v>721</v>
      </c>
      <c r="K336" t="s">
        <v>74</v>
      </c>
      <c r="L336" t="s">
        <v>74</v>
      </c>
      <c r="M336" t="s">
        <v>78</v>
      </c>
      <c r="N336" t="s">
        <v>79</v>
      </c>
      <c r="O336" t="s">
        <v>74</v>
      </c>
      <c r="P336" t="s">
        <v>74</v>
      </c>
      <c r="Q336" t="s">
        <v>74</v>
      </c>
      <c r="R336" t="s">
        <v>74</v>
      </c>
      <c r="S336" t="s">
        <v>74</v>
      </c>
      <c r="T336" t="s">
        <v>74</v>
      </c>
      <c r="U336" t="s">
        <v>6457</v>
      </c>
      <c r="V336" t="s">
        <v>6458</v>
      </c>
      <c r="W336" t="s">
        <v>6459</v>
      </c>
      <c r="X336" t="s">
        <v>725</v>
      </c>
      <c r="Y336" t="s">
        <v>6460</v>
      </c>
      <c r="Z336" t="s">
        <v>6461</v>
      </c>
      <c r="AA336" t="s">
        <v>74</v>
      </c>
      <c r="AB336" t="s">
        <v>6462</v>
      </c>
      <c r="AC336" t="s">
        <v>6463</v>
      </c>
      <c r="AD336" t="s">
        <v>6464</v>
      </c>
      <c r="AE336" t="s">
        <v>6465</v>
      </c>
      <c r="AF336" t="s">
        <v>74</v>
      </c>
      <c r="AG336">
        <v>22</v>
      </c>
      <c r="AH336">
        <v>14</v>
      </c>
      <c r="AI336">
        <v>14</v>
      </c>
      <c r="AJ336">
        <v>0</v>
      </c>
      <c r="AK336">
        <v>8</v>
      </c>
      <c r="AL336" t="s">
        <v>226</v>
      </c>
      <c r="AM336" t="s">
        <v>227</v>
      </c>
      <c r="AN336" t="s">
        <v>228</v>
      </c>
      <c r="AO336" t="s">
        <v>731</v>
      </c>
      <c r="AP336" t="s">
        <v>732</v>
      </c>
      <c r="AQ336" t="s">
        <v>74</v>
      </c>
      <c r="AR336" t="s">
        <v>733</v>
      </c>
      <c r="AS336" t="s">
        <v>734</v>
      </c>
      <c r="AT336" t="s">
        <v>6466</v>
      </c>
      <c r="AU336">
        <v>2009</v>
      </c>
      <c r="AV336">
        <v>36</v>
      </c>
      <c r="AW336" t="s">
        <v>74</v>
      </c>
      <c r="AX336" t="s">
        <v>74</v>
      </c>
      <c r="AY336" t="s">
        <v>74</v>
      </c>
      <c r="AZ336" t="s">
        <v>74</v>
      </c>
      <c r="BA336" t="s">
        <v>74</v>
      </c>
      <c r="BB336" t="s">
        <v>74</v>
      </c>
      <c r="BC336" t="s">
        <v>74</v>
      </c>
      <c r="BD336" t="s">
        <v>6467</v>
      </c>
      <c r="BE336" t="s">
        <v>6468</v>
      </c>
      <c r="BF336" t="str">
        <f>HYPERLINK("http://dx.doi.org/10.1029/2009GL039848","http://dx.doi.org/10.1029/2009GL039848")</f>
        <v>http://dx.doi.org/10.1029/2009GL039848</v>
      </c>
      <c r="BG336" t="s">
        <v>74</v>
      </c>
      <c r="BH336" t="s">
        <v>74</v>
      </c>
      <c r="BI336">
        <v>6</v>
      </c>
      <c r="BJ336" t="s">
        <v>464</v>
      </c>
      <c r="BK336" t="s">
        <v>98</v>
      </c>
      <c r="BL336" t="s">
        <v>465</v>
      </c>
      <c r="BM336" t="s">
        <v>6469</v>
      </c>
      <c r="BN336" t="s">
        <v>74</v>
      </c>
      <c r="BO336" t="s">
        <v>3849</v>
      </c>
      <c r="BP336" t="s">
        <v>74</v>
      </c>
      <c r="BQ336" t="s">
        <v>74</v>
      </c>
      <c r="BR336" t="s">
        <v>101</v>
      </c>
      <c r="BS336" t="s">
        <v>6470</v>
      </c>
      <c r="BT336" t="str">
        <f>HYPERLINK("https%3A%2F%2Fwww.webofscience.com%2Fwos%2Fwoscc%2Ffull-record%2FWOS:000271129900003","View Full Record in Web of Science")</f>
        <v>View Full Record in Web of Science</v>
      </c>
    </row>
    <row r="337" spans="1:72" x14ac:dyDescent="0.15">
      <c r="A337" t="s">
        <v>72</v>
      </c>
      <c r="B337" t="s">
        <v>6471</v>
      </c>
      <c r="C337" t="s">
        <v>74</v>
      </c>
      <c r="D337" t="s">
        <v>74</v>
      </c>
      <c r="E337" t="s">
        <v>74</v>
      </c>
      <c r="F337" t="s">
        <v>6472</v>
      </c>
      <c r="G337" t="s">
        <v>74</v>
      </c>
      <c r="H337" t="s">
        <v>74</v>
      </c>
      <c r="I337" t="s">
        <v>6473</v>
      </c>
      <c r="J337" t="s">
        <v>395</v>
      </c>
      <c r="K337" t="s">
        <v>74</v>
      </c>
      <c r="L337" t="s">
        <v>74</v>
      </c>
      <c r="M337" t="s">
        <v>78</v>
      </c>
      <c r="N337" t="s">
        <v>79</v>
      </c>
      <c r="O337" t="s">
        <v>74</v>
      </c>
      <c r="P337" t="s">
        <v>74</v>
      </c>
      <c r="Q337" t="s">
        <v>74</v>
      </c>
      <c r="R337" t="s">
        <v>74</v>
      </c>
      <c r="S337" t="s">
        <v>74</v>
      </c>
      <c r="T337" t="s">
        <v>74</v>
      </c>
      <c r="U337" t="s">
        <v>6474</v>
      </c>
      <c r="V337" t="s">
        <v>6475</v>
      </c>
      <c r="W337" t="s">
        <v>6476</v>
      </c>
      <c r="X337" t="s">
        <v>6477</v>
      </c>
      <c r="Y337" t="s">
        <v>6478</v>
      </c>
      <c r="Z337" t="s">
        <v>6479</v>
      </c>
      <c r="AA337" t="s">
        <v>6480</v>
      </c>
      <c r="AB337" t="s">
        <v>6481</v>
      </c>
      <c r="AC337" t="s">
        <v>6482</v>
      </c>
      <c r="AD337" t="s">
        <v>6482</v>
      </c>
      <c r="AE337" t="s">
        <v>6483</v>
      </c>
      <c r="AF337" t="s">
        <v>74</v>
      </c>
      <c r="AG337">
        <v>33</v>
      </c>
      <c r="AH337">
        <v>41</v>
      </c>
      <c r="AI337">
        <v>45</v>
      </c>
      <c r="AJ337">
        <v>4</v>
      </c>
      <c r="AK337">
        <v>32</v>
      </c>
      <c r="AL337" t="s">
        <v>226</v>
      </c>
      <c r="AM337" t="s">
        <v>227</v>
      </c>
      <c r="AN337" t="s">
        <v>228</v>
      </c>
      <c r="AO337" t="s">
        <v>407</v>
      </c>
      <c r="AP337" t="s">
        <v>74</v>
      </c>
      <c r="AQ337" t="s">
        <v>74</v>
      </c>
      <c r="AR337" t="s">
        <v>409</v>
      </c>
      <c r="AS337" t="s">
        <v>410</v>
      </c>
      <c r="AT337" t="s">
        <v>6466</v>
      </c>
      <c r="AU337">
        <v>2009</v>
      </c>
      <c r="AV337">
        <v>114</v>
      </c>
      <c r="AW337" t="s">
        <v>74</v>
      </c>
      <c r="AX337" t="s">
        <v>74</v>
      </c>
      <c r="AY337" t="s">
        <v>74</v>
      </c>
      <c r="AZ337" t="s">
        <v>74</v>
      </c>
      <c r="BA337" t="s">
        <v>74</v>
      </c>
      <c r="BB337" t="s">
        <v>74</v>
      </c>
      <c r="BC337" t="s">
        <v>74</v>
      </c>
      <c r="BD337" t="s">
        <v>6484</v>
      </c>
      <c r="BE337" t="s">
        <v>6485</v>
      </c>
      <c r="BF337" t="str">
        <f>HYPERLINK("http://dx.doi.org/10.1029/2009JD012054","http://dx.doi.org/10.1029/2009JD012054")</f>
        <v>http://dx.doi.org/10.1029/2009JD012054</v>
      </c>
      <c r="BG337" t="s">
        <v>74</v>
      </c>
      <c r="BH337" t="s">
        <v>74</v>
      </c>
      <c r="BI337">
        <v>12</v>
      </c>
      <c r="BJ337" t="s">
        <v>413</v>
      </c>
      <c r="BK337" t="s">
        <v>98</v>
      </c>
      <c r="BL337" t="s">
        <v>413</v>
      </c>
      <c r="BM337" t="s">
        <v>6486</v>
      </c>
      <c r="BN337" t="s">
        <v>74</v>
      </c>
      <c r="BO337" t="s">
        <v>263</v>
      </c>
      <c r="BP337" t="s">
        <v>74</v>
      </c>
      <c r="BQ337" t="s">
        <v>74</v>
      </c>
      <c r="BR337" t="s">
        <v>101</v>
      </c>
      <c r="BS337" t="s">
        <v>6487</v>
      </c>
      <c r="BT337" t="str">
        <f>HYPERLINK("https%3A%2F%2Fwww.webofscience.com%2Fwos%2Fwoscc%2Ffull-record%2FWOS:000271131700003","View Full Record in Web of Science")</f>
        <v>View Full Record in Web of Science</v>
      </c>
    </row>
    <row r="338" spans="1:72" x14ac:dyDescent="0.15">
      <c r="A338" t="s">
        <v>72</v>
      </c>
      <c r="B338" t="s">
        <v>6488</v>
      </c>
      <c r="C338" t="s">
        <v>74</v>
      </c>
      <c r="D338" t="s">
        <v>74</v>
      </c>
      <c r="E338" t="s">
        <v>74</v>
      </c>
      <c r="F338" t="s">
        <v>6489</v>
      </c>
      <c r="G338" t="s">
        <v>74</v>
      </c>
      <c r="H338" t="s">
        <v>74</v>
      </c>
      <c r="I338" t="s">
        <v>6490</v>
      </c>
      <c r="J338" t="s">
        <v>6491</v>
      </c>
      <c r="K338" t="s">
        <v>74</v>
      </c>
      <c r="L338" t="s">
        <v>74</v>
      </c>
      <c r="M338" t="s">
        <v>78</v>
      </c>
      <c r="N338" t="s">
        <v>79</v>
      </c>
      <c r="O338" t="s">
        <v>74</v>
      </c>
      <c r="P338" t="s">
        <v>74</v>
      </c>
      <c r="Q338" t="s">
        <v>74</v>
      </c>
      <c r="R338" t="s">
        <v>74</v>
      </c>
      <c r="S338" t="s">
        <v>74</v>
      </c>
      <c r="T338" t="s">
        <v>74</v>
      </c>
      <c r="U338" t="s">
        <v>6492</v>
      </c>
      <c r="V338" t="s">
        <v>6493</v>
      </c>
      <c r="W338" t="s">
        <v>6494</v>
      </c>
      <c r="X338" t="s">
        <v>6495</v>
      </c>
      <c r="Y338" t="s">
        <v>6496</v>
      </c>
      <c r="Z338" t="s">
        <v>6497</v>
      </c>
      <c r="AA338" t="s">
        <v>6498</v>
      </c>
      <c r="AB338" t="s">
        <v>6499</v>
      </c>
      <c r="AC338" t="s">
        <v>6500</v>
      </c>
      <c r="AD338" t="s">
        <v>6501</v>
      </c>
      <c r="AE338" t="s">
        <v>6502</v>
      </c>
      <c r="AF338" t="s">
        <v>74</v>
      </c>
      <c r="AG338">
        <v>33</v>
      </c>
      <c r="AH338">
        <v>39</v>
      </c>
      <c r="AI338">
        <v>41</v>
      </c>
      <c r="AJ338">
        <v>0</v>
      </c>
      <c r="AK338">
        <v>21</v>
      </c>
      <c r="AL338" t="s">
        <v>887</v>
      </c>
      <c r="AM338" t="s">
        <v>227</v>
      </c>
      <c r="AN338" t="s">
        <v>888</v>
      </c>
      <c r="AO338" t="s">
        <v>6503</v>
      </c>
      <c r="AP338" t="s">
        <v>6504</v>
      </c>
      <c r="AQ338" t="s">
        <v>74</v>
      </c>
      <c r="AR338" t="s">
        <v>6505</v>
      </c>
      <c r="AS338" t="s">
        <v>6506</v>
      </c>
      <c r="AT338" t="s">
        <v>6507</v>
      </c>
      <c r="AU338">
        <v>2009</v>
      </c>
      <c r="AV338">
        <v>52</v>
      </c>
      <c r="AW338">
        <v>20</v>
      </c>
      <c r="AX338" t="s">
        <v>74</v>
      </c>
      <c r="AY338" t="s">
        <v>74</v>
      </c>
      <c r="AZ338" t="s">
        <v>74</v>
      </c>
      <c r="BA338" t="s">
        <v>74</v>
      </c>
      <c r="BB338">
        <v>6217</v>
      </c>
      <c r="BC338">
        <v>6223</v>
      </c>
      <c r="BD338" t="s">
        <v>74</v>
      </c>
      <c r="BE338" t="s">
        <v>6508</v>
      </c>
      <c r="BF338" t="str">
        <f>HYPERLINK("http://dx.doi.org/10.1021/jm900544z","http://dx.doi.org/10.1021/jm900544z")</f>
        <v>http://dx.doi.org/10.1021/jm900544z</v>
      </c>
      <c r="BG338" t="s">
        <v>74</v>
      </c>
      <c r="BH338" t="s">
        <v>74</v>
      </c>
      <c r="BI338">
        <v>7</v>
      </c>
      <c r="BJ338" t="s">
        <v>6509</v>
      </c>
      <c r="BK338" t="s">
        <v>6510</v>
      </c>
      <c r="BL338" t="s">
        <v>6511</v>
      </c>
      <c r="BM338" t="s">
        <v>6512</v>
      </c>
      <c r="BN338">
        <v>19827832</v>
      </c>
      <c r="BO338" t="s">
        <v>1381</v>
      </c>
      <c r="BP338" t="s">
        <v>74</v>
      </c>
      <c r="BQ338" t="s">
        <v>74</v>
      </c>
      <c r="BR338" t="s">
        <v>101</v>
      </c>
      <c r="BS338" t="s">
        <v>6513</v>
      </c>
      <c r="BT338" t="str">
        <f>HYPERLINK("https%3A%2F%2Fwww.webofscience.com%2Fwos%2Fwoscc%2Ffull-record%2FWOS:000270671200008","View Full Record in Web of Science")</f>
        <v>View Full Record in Web of Science</v>
      </c>
    </row>
    <row r="339" spans="1:72" x14ac:dyDescent="0.15">
      <c r="A339" t="s">
        <v>72</v>
      </c>
      <c r="B339" t="s">
        <v>6514</v>
      </c>
      <c r="C339" t="s">
        <v>74</v>
      </c>
      <c r="D339" t="s">
        <v>74</v>
      </c>
      <c r="E339" t="s">
        <v>74</v>
      </c>
      <c r="F339" t="s">
        <v>6515</v>
      </c>
      <c r="G339" t="s">
        <v>74</v>
      </c>
      <c r="H339" t="s">
        <v>74</v>
      </c>
      <c r="I339" t="s">
        <v>6516</v>
      </c>
      <c r="J339" t="s">
        <v>522</v>
      </c>
      <c r="K339" t="s">
        <v>74</v>
      </c>
      <c r="L339" t="s">
        <v>74</v>
      </c>
      <c r="M339" t="s">
        <v>78</v>
      </c>
      <c r="N339" t="s">
        <v>523</v>
      </c>
      <c r="O339" t="s">
        <v>74</v>
      </c>
      <c r="P339" t="s">
        <v>74</v>
      </c>
      <c r="Q339" t="s">
        <v>74</v>
      </c>
      <c r="R339" t="s">
        <v>74</v>
      </c>
      <c r="S339" t="s">
        <v>74</v>
      </c>
      <c r="T339" t="s">
        <v>74</v>
      </c>
      <c r="U339" t="s">
        <v>6517</v>
      </c>
      <c r="V339" t="s">
        <v>74</v>
      </c>
      <c r="W339" t="s">
        <v>6518</v>
      </c>
      <c r="X339" t="s">
        <v>6519</v>
      </c>
      <c r="Y339" t="s">
        <v>6520</v>
      </c>
      <c r="Z339" t="s">
        <v>6521</v>
      </c>
      <c r="AA339" t="s">
        <v>74</v>
      </c>
      <c r="AB339" t="s">
        <v>6522</v>
      </c>
      <c r="AC339" t="s">
        <v>74</v>
      </c>
      <c r="AD339" t="s">
        <v>74</v>
      </c>
      <c r="AE339" t="s">
        <v>74</v>
      </c>
      <c r="AF339" t="s">
        <v>74</v>
      </c>
      <c r="AG339">
        <v>13</v>
      </c>
      <c r="AH339">
        <v>0</v>
      </c>
      <c r="AI339">
        <v>0</v>
      </c>
      <c r="AJ339">
        <v>0</v>
      </c>
      <c r="AK339">
        <v>4</v>
      </c>
      <c r="AL339" t="s">
        <v>2890</v>
      </c>
      <c r="AM339" t="s">
        <v>433</v>
      </c>
      <c r="AN339" t="s">
        <v>3957</v>
      </c>
      <c r="AO339" t="s">
        <v>532</v>
      </c>
      <c r="AP339" t="s">
        <v>533</v>
      </c>
      <c r="AQ339" t="s">
        <v>74</v>
      </c>
      <c r="AR339" t="s">
        <v>522</v>
      </c>
      <c r="AS339" t="s">
        <v>534</v>
      </c>
      <c r="AT339" t="s">
        <v>6507</v>
      </c>
      <c r="AU339">
        <v>2009</v>
      </c>
      <c r="AV339">
        <v>461</v>
      </c>
      <c r="AW339">
        <v>7267</v>
      </c>
      <c r="AX339" t="s">
        <v>74</v>
      </c>
      <c r="AY339" t="s">
        <v>74</v>
      </c>
      <c r="AZ339" t="s">
        <v>74</v>
      </c>
      <c r="BA339" t="s">
        <v>74</v>
      </c>
      <c r="BB339">
        <v>1065</v>
      </c>
      <c r="BC339">
        <v>1066</v>
      </c>
      <c r="BD339" t="s">
        <v>74</v>
      </c>
      <c r="BE339" t="s">
        <v>6523</v>
      </c>
      <c r="BF339" t="str">
        <f>HYPERLINK("http://dx.doi.org/10.1038/4611065a","http://dx.doi.org/10.1038/4611065a")</f>
        <v>http://dx.doi.org/10.1038/4611065a</v>
      </c>
      <c r="BG339" t="s">
        <v>74</v>
      </c>
      <c r="BH339" t="s">
        <v>74</v>
      </c>
      <c r="BI339">
        <v>2</v>
      </c>
      <c r="BJ339" t="s">
        <v>388</v>
      </c>
      <c r="BK339" t="s">
        <v>98</v>
      </c>
      <c r="BL339" t="s">
        <v>389</v>
      </c>
      <c r="BM339" t="s">
        <v>6524</v>
      </c>
      <c r="BN339">
        <v>19847252</v>
      </c>
      <c r="BO339" t="s">
        <v>263</v>
      </c>
      <c r="BP339" t="s">
        <v>74</v>
      </c>
      <c r="BQ339" t="s">
        <v>74</v>
      </c>
      <c r="BR339" t="s">
        <v>101</v>
      </c>
      <c r="BS339" t="s">
        <v>6525</v>
      </c>
      <c r="BT339" t="str">
        <f>HYPERLINK("https%3A%2F%2Fwww.webofscience.com%2Fwos%2Fwoscc%2Ffull-record%2FWOS:000270987600027","View Full Record in Web of Science")</f>
        <v>View Full Record in Web of Science</v>
      </c>
    </row>
    <row r="340" spans="1:72" x14ac:dyDescent="0.15">
      <c r="A340" t="s">
        <v>72</v>
      </c>
      <c r="B340" t="s">
        <v>6526</v>
      </c>
      <c r="C340" t="s">
        <v>74</v>
      </c>
      <c r="D340" t="s">
        <v>74</v>
      </c>
      <c r="E340" t="s">
        <v>74</v>
      </c>
      <c r="F340" t="s">
        <v>6527</v>
      </c>
      <c r="G340" t="s">
        <v>74</v>
      </c>
      <c r="H340" t="s">
        <v>74</v>
      </c>
      <c r="I340" t="s">
        <v>6528</v>
      </c>
      <c r="J340" t="s">
        <v>522</v>
      </c>
      <c r="K340" t="s">
        <v>74</v>
      </c>
      <c r="L340" t="s">
        <v>74</v>
      </c>
      <c r="M340" t="s">
        <v>78</v>
      </c>
      <c r="N340" t="s">
        <v>79</v>
      </c>
      <c r="O340" t="s">
        <v>74</v>
      </c>
      <c r="P340" t="s">
        <v>74</v>
      </c>
      <c r="Q340" t="s">
        <v>74</v>
      </c>
      <c r="R340" t="s">
        <v>74</v>
      </c>
      <c r="S340" t="s">
        <v>74</v>
      </c>
      <c r="T340" t="s">
        <v>74</v>
      </c>
      <c r="U340" t="s">
        <v>6529</v>
      </c>
      <c r="V340" t="s">
        <v>6530</v>
      </c>
      <c r="W340" t="s">
        <v>6531</v>
      </c>
      <c r="X340" t="s">
        <v>6532</v>
      </c>
      <c r="Y340" t="s">
        <v>6533</v>
      </c>
      <c r="Z340" t="s">
        <v>6534</v>
      </c>
      <c r="AA340" t="s">
        <v>6535</v>
      </c>
      <c r="AB340" t="s">
        <v>6536</v>
      </c>
      <c r="AC340" t="s">
        <v>6537</v>
      </c>
      <c r="AD340" t="s">
        <v>6538</v>
      </c>
      <c r="AE340" t="s">
        <v>6539</v>
      </c>
      <c r="AF340" t="s">
        <v>74</v>
      </c>
      <c r="AG340">
        <v>38</v>
      </c>
      <c r="AH340">
        <v>298</v>
      </c>
      <c r="AI340">
        <v>347</v>
      </c>
      <c r="AJ340">
        <v>1</v>
      </c>
      <c r="AK340">
        <v>140</v>
      </c>
      <c r="AL340" t="s">
        <v>2890</v>
      </c>
      <c r="AM340" t="s">
        <v>433</v>
      </c>
      <c r="AN340" t="s">
        <v>3957</v>
      </c>
      <c r="AO340" t="s">
        <v>532</v>
      </c>
      <c r="AP340" t="s">
        <v>533</v>
      </c>
      <c r="AQ340" t="s">
        <v>74</v>
      </c>
      <c r="AR340" t="s">
        <v>522</v>
      </c>
      <c r="AS340" t="s">
        <v>534</v>
      </c>
      <c r="AT340" t="s">
        <v>6507</v>
      </c>
      <c r="AU340">
        <v>2009</v>
      </c>
      <c r="AV340">
        <v>461</v>
      </c>
      <c r="AW340">
        <v>7267</v>
      </c>
      <c r="AX340" t="s">
        <v>74</v>
      </c>
      <c r="AY340" t="s">
        <v>74</v>
      </c>
      <c r="AZ340" t="s">
        <v>74</v>
      </c>
      <c r="BA340" t="s">
        <v>74</v>
      </c>
      <c r="BB340">
        <v>1110</v>
      </c>
      <c r="BC340" t="s">
        <v>6540</v>
      </c>
      <c r="BD340" t="s">
        <v>74</v>
      </c>
      <c r="BE340" t="s">
        <v>6541</v>
      </c>
      <c r="BF340" t="str">
        <f>HYPERLINK("http://dx.doi.org/10.1038/nature08447","http://dx.doi.org/10.1038/nature08447")</f>
        <v>http://dx.doi.org/10.1038/nature08447</v>
      </c>
      <c r="BG340" t="s">
        <v>74</v>
      </c>
      <c r="BH340" t="s">
        <v>74</v>
      </c>
      <c r="BI340">
        <v>5</v>
      </c>
      <c r="BJ340" t="s">
        <v>388</v>
      </c>
      <c r="BK340" t="s">
        <v>98</v>
      </c>
      <c r="BL340" t="s">
        <v>389</v>
      </c>
      <c r="BM340" t="s">
        <v>6524</v>
      </c>
      <c r="BN340">
        <v>19749741</v>
      </c>
      <c r="BO340" t="s">
        <v>74</v>
      </c>
      <c r="BP340" t="s">
        <v>74</v>
      </c>
      <c r="BQ340" t="s">
        <v>74</v>
      </c>
      <c r="BR340" t="s">
        <v>101</v>
      </c>
      <c r="BS340" t="s">
        <v>6542</v>
      </c>
      <c r="BT340" t="str">
        <f>HYPERLINK("https%3A%2F%2Fwww.webofscience.com%2Fwos%2Fwoscc%2Ffull-record%2FWOS:000270987600041","View Full Record in Web of Science")</f>
        <v>View Full Record in Web of Science</v>
      </c>
    </row>
    <row r="341" spans="1:72" x14ac:dyDescent="0.15">
      <c r="A341" t="s">
        <v>72</v>
      </c>
      <c r="B341" t="s">
        <v>6543</v>
      </c>
      <c r="C341" t="s">
        <v>74</v>
      </c>
      <c r="D341" t="s">
        <v>74</v>
      </c>
      <c r="E341" t="s">
        <v>74</v>
      </c>
      <c r="F341" t="s">
        <v>6544</v>
      </c>
      <c r="G341" t="s">
        <v>74</v>
      </c>
      <c r="H341" t="s">
        <v>74</v>
      </c>
      <c r="I341" t="s">
        <v>6545</v>
      </c>
      <c r="J341" t="s">
        <v>6546</v>
      </c>
      <c r="K341" t="s">
        <v>74</v>
      </c>
      <c r="L341" t="s">
        <v>74</v>
      </c>
      <c r="M341" t="s">
        <v>78</v>
      </c>
      <c r="N341" t="s">
        <v>79</v>
      </c>
      <c r="O341" t="s">
        <v>74</v>
      </c>
      <c r="P341" t="s">
        <v>74</v>
      </c>
      <c r="Q341" t="s">
        <v>74</v>
      </c>
      <c r="R341" t="s">
        <v>74</v>
      </c>
      <c r="S341" t="s">
        <v>74</v>
      </c>
      <c r="T341" t="s">
        <v>6547</v>
      </c>
      <c r="U341" t="s">
        <v>6548</v>
      </c>
      <c r="V341" t="s">
        <v>6549</v>
      </c>
      <c r="W341" t="s">
        <v>6550</v>
      </c>
      <c r="X341" t="s">
        <v>6551</v>
      </c>
      <c r="Y341" t="s">
        <v>6552</v>
      </c>
      <c r="Z341" t="s">
        <v>6553</v>
      </c>
      <c r="AA341" t="s">
        <v>6554</v>
      </c>
      <c r="AB341" t="s">
        <v>6555</v>
      </c>
      <c r="AC341" t="s">
        <v>6556</v>
      </c>
      <c r="AD341" t="s">
        <v>6557</v>
      </c>
      <c r="AE341" t="s">
        <v>6558</v>
      </c>
      <c r="AF341" t="s">
        <v>74</v>
      </c>
      <c r="AG341">
        <v>63</v>
      </c>
      <c r="AH341">
        <v>120</v>
      </c>
      <c r="AI341">
        <v>129</v>
      </c>
      <c r="AJ341">
        <v>1</v>
      </c>
      <c r="AK341">
        <v>42</v>
      </c>
      <c r="AL341" t="s">
        <v>432</v>
      </c>
      <c r="AM341" t="s">
        <v>433</v>
      </c>
      <c r="AN341" t="s">
        <v>434</v>
      </c>
      <c r="AO341" t="s">
        <v>6559</v>
      </c>
      <c r="AP341" t="s">
        <v>74</v>
      </c>
      <c r="AQ341" t="s">
        <v>74</v>
      </c>
      <c r="AR341" t="s">
        <v>6560</v>
      </c>
      <c r="AS341" t="s">
        <v>6561</v>
      </c>
      <c r="AT341" t="s">
        <v>6507</v>
      </c>
      <c r="AU341">
        <v>2009</v>
      </c>
      <c r="AV341">
        <v>276</v>
      </c>
      <c r="AW341">
        <v>1673</v>
      </c>
      <c r="AX341" t="s">
        <v>74</v>
      </c>
      <c r="AY341" t="s">
        <v>74</v>
      </c>
      <c r="AZ341" t="s">
        <v>74</v>
      </c>
      <c r="BA341" t="s">
        <v>74</v>
      </c>
      <c r="BB341">
        <v>3591</v>
      </c>
      <c r="BC341">
        <v>3599</v>
      </c>
      <c r="BD341" t="s">
        <v>74</v>
      </c>
      <c r="BE341" t="s">
        <v>6562</v>
      </c>
      <c r="BF341" t="str">
        <f>HYPERLINK("http://dx.doi.org/10.1098/rspb.2009.0994","http://dx.doi.org/10.1098/rspb.2009.0994")</f>
        <v>http://dx.doi.org/10.1098/rspb.2009.0994</v>
      </c>
      <c r="BG341" t="s">
        <v>74</v>
      </c>
      <c r="BH341" t="s">
        <v>74</v>
      </c>
      <c r="BI341">
        <v>9</v>
      </c>
      <c r="BJ341" t="s">
        <v>440</v>
      </c>
      <c r="BK341" t="s">
        <v>98</v>
      </c>
      <c r="BL341" t="s">
        <v>441</v>
      </c>
      <c r="BM341" t="s">
        <v>6563</v>
      </c>
      <c r="BN341">
        <v>19625320</v>
      </c>
      <c r="BO341" t="s">
        <v>239</v>
      </c>
      <c r="BP341" t="s">
        <v>74</v>
      </c>
      <c r="BQ341" t="s">
        <v>74</v>
      </c>
      <c r="BR341" t="s">
        <v>101</v>
      </c>
      <c r="BS341" t="s">
        <v>6564</v>
      </c>
      <c r="BT341" t="str">
        <f>HYPERLINK("https%3A%2F%2Fwww.webofscience.com%2Fwos%2Fwoscc%2Ffull-record%2FWOS:000270172200004","View Full Record in Web of Science")</f>
        <v>View Full Record in Web of Science</v>
      </c>
    </row>
    <row r="342" spans="1:72" x14ac:dyDescent="0.15">
      <c r="A342" t="s">
        <v>72</v>
      </c>
      <c r="B342" t="s">
        <v>6565</v>
      </c>
      <c r="C342" t="s">
        <v>74</v>
      </c>
      <c r="D342" t="s">
        <v>74</v>
      </c>
      <c r="E342" t="s">
        <v>74</v>
      </c>
      <c r="F342" t="s">
        <v>6566</v>
      </c>
      <c r="G342" t="s">
        <v>74</v>
      </c>
      <c r="H342" t="s">
        <v>74</v>
      </c>
      <c r="I342" t="s">
        <v>6567</v>
      </c>
      <c r="J342" t="s">
        <v>987</v>
      </c>
      <c r="K342" t="s">
        <v>74</v>
      </c>
      <c r="L342" t="s">
        <v>74</v>
      </c>
      <c r="M342" t="s">
        <v>78</v>
      </c>
      <c r="N342" t="s">
        <v>79</v>
      </c>
      <c r="O342" t="s">
        <v>74</v>
      </c>
      <c r="P342" t="s">
        <v>74</v>
      </c>
      <c r="Q342" t="s">
        <v>74</v>
      </c>
      <c r="R342" t="s">
        <v>74</v>
      </c>
      <c r="S342" t="s">
        <v>74</v>
      </c>
      <c r="T342" t="s">
        <v>74</v>
      </c>
      <c r="U342" t="s">
        <v>6568</v>
      </c>
      <c r="V342" t="s">
        <v>6569</v>
      </c>
      <c r="W342" t="s">
        <v>6570</v>
      </c>
      <c r="X342" t="s">
        <v>6571</v>
      </c>
      <c r="Y342" t="s">
        <v>6572</v>
      </c>
      <c r="Z342" t="s">
        <v>6573</v>
      </c>
      <c r="AA342" t="s">
        <v>6574</v>
      </c>
      <c r="AB342" t="s">
        <v>6575</v>
      </c>
      <c r="AC342" t="s">
        <v>6576</v>
      </c>
      <c r="AD342" t="s">
        <v>6577</v>
      </c>
      <c r="AE342" t="s">
        <v>6578</v>
      </c>
      <c r="AF342" t="s">
        <v>74</v>
      </c>
      <c r="AG342">
        <v>31</v>
      </c>
      <c r="AH342">
        <v>127</v>
      </c>
      <c r="AI342">
        <v>132</v>
      </c>
      <c r="AJ342">
        <v>0</v>
      </c>
      <c r="AK342">
        <v>21</v>
      </c>
      <c r="AL342" t="s">
        <v>226</v>
      </c>
      <c r="AM342" t="s">
        <v>227</v>
      </c>
      <c r="AN342" t="s">
        <v>228</v>
      </c>
      <c r="AO342" t="s">
        <v>997</v>
      </c>
      <c r="AP342" t="s">
        <v>998</v>
      </c>
      <c r="AQ342" t="s">
        <v>74</v>
      </c>
      <c r="AR342" t="s">
        <v>999</v>
      </c>
      <c r="AS342" t="s">
        <v>1000</v>
      </c>
      <c r="AT342" t="s">
        <v>6579</v>
      </c>
      <c r="AU342">
        <v>2009</v>
      </c>
      <c r="AV342">
        <v>114</v>
      </c>
      <c r="AW342" t="s">
        <v>74</v>
      </c>
      <c r="AX342" t="s">
        <v>74</v>
      </c>
      <c r="AY342" t="s">
        <v>74</v>
      </c>
      <c r="AZ342" t="s">
        <v>74</v>
      </c>
      <c r="BA342" t="s">
        <v>74</v>
      </c>
      <c r="BB342" t="s">
        <v>74</v>
      </c>
      <c r="BC342" t="s">
        <v>74</v>
      </c>
      <c r="BD342" t="s">
        <v>6580</v>
      </c>
      <c r="BE342" t="s">
        <v>6581</v>
      </c>
      <c r="BF342" t="str">
        <f>HYPERLINK("http://dx.doi.org/10.1029/2008JA014029","http://dx.doi.org/10.1029/2008JA014029")</f>
        <v>http://dx.doi.org/10.1029/2008JA014029</v>
      </c>
      <c r="BG342" t="s">
        <v>74</v>
      </c>
      <c r="BH342" t="s">
        <v>74</v>
      </c>
      <c r="BI342">
        <v>10</v>
      </c>
      <c r="BJ342" t="s">
        <v>1003</v>
      </c>
      <c r="BK342" t="s">
        <v>98</v>
      </c>
      <c r="BL342" t="s">
        <v>1003</v>
      </c>
      <c r="BM342" t="s">
        <v>6582</v>
      </c>
      <c r="BN342" t="s">
        <v>74</v>
      </c>
      <c r="BO342" t="s">
        <v>577</v>
      </c>
      <c r="BP342" t="s">
        <v>74</v>
      </c>
      <c r="BQ342" t="s">
        <v>74</v>
      </c>
      <c r="BR342" t="s">
        <v>101</v>
      </c>
      <c r="BS342" t="s">
        <v>6583</v>
      </c>
      <c r="BT342" t="str">
        <f>HYPERLINK("https%3A%2F%2Fwww.webofscience.com%2Fwos%2Fwoscc%2Ffull-record%2FWOS:000271134000001","View Full Record in Web of Science")</f>
        <v>View Full Record in Web of Science</v>
      </c>
    </row>
    <row r="343" spans="1:72" x14ac:dyDescent="0.15">
      <c r="A343" t="s">
        <v>72</v>
      </c>
      <c r="B343" t="s">
        <v>6584</v>
      </c>
      <c r="C343" t="s">
        <v>74</v>
      </c>
      <c r="D343" t="s">
        <v>74</v>
      </c>
      <c r="E343" t="s">
        <v>74</v>
      </c>
      <c r="F343" t="s">
        <v>6585</v>
      </c>
      <c r="G343" t="s">
        <v>74</v>
      </c>
      <c r="H343" t="s">
        <v>74</v>
      </c>
      <c r="I343" t="s">
        <v>6586</v>
      </c>
      <c r="J343" t="s">
        <v>4314</v>
      </c>
      <c r="K343" t="s">
        <v>74</v>
      </c>
      <c r="L343" t="s">
        <v>74</v>
      </c>
      <c r="M343" t="s">
        <v>78</v>
      </c>
      <c r="N343" t="s">
        <v>79</v>
      </c>
      <c r="O343" t="s">
        <v>74</v>
      </c>
      <c r="P343" t="s">
        <v>74</v>
      </c>
      <c r="Q343" t="s">
        <v>74</v>
      </c>
      <c r="R343" t="s">
        <v>74</v>
      </c>
      <c r="S343" t="s">
        <v>74</v>
      </c>
      <c r="T343" t="s">
        <v>74</v>
      </c>
      <c r="U343" t="s">
        <v>6587</v>
      </c>
      <c r="V343" t="s">
        <v>6588</v>
      </c>
      <c r="W343" t="s">
        <v>6589</v>
      </c>
      <c r="X343" t="s">
        <v>6590</v>
      </c>
      <c r="Y343" t="s">
        <v>6591</v>
      </c>
      <c r="Z343" t="s">
        <v>6592</v>
      </c>
      <c r="AA343" t="s">
        <v>6593</v>
      </c>
      <c r="AB343" t="s">
        <v>6594</v>
      </c>
      <c r="AC343" t="s">
        <v>6595</v>
      </c>
      <c r="AD343" t="s">
        <v>6596</v>
      </c>
      <c r="AE343" t="s">
        <v>6597</v>
      </c>
      <c r="AF343" t="s">
        <v>74</v>
      </c>
      <c r="AG343">
        <v>60</v>
      </c>
      <c r="AH343">
        <v>16</v>
      </c>
      <c r="AI343">
        <v>17</v>
      </c>
      <c r="AJ343">
        <v>2</v>
      </c>
      <c r="AK343">
        <v>53</v>
      </c>
      <c r="AL343" t="s">
        <v>887</v>
      </c>
      <c r="AM343" t="s">
        <v>227</v>
      </c>
      <c r="AN343" t="s">
        <v>888</v>
      </c>
      <c r="AO343" t="s">
        <v>4326</v>
      </c>
      <c r="AP343" t="s">
        <v>74</v>
      </c>
      <c r="AQ343" t="s">
        <v>74</v>
      </c>
      <c r="AR343" t="s">
        <v>4327</v>
      </c>
      <c r="AS343" t="s">
        <v>4328</v>
      </c>
      <c r="AT343" t="s">
        <v>6579</v>
      </c>
      <c r="AU343">
        <v>2009</v>
      </c>
      <c r="AV343">
        <v>131</v>
      </c>
      <c r="AW343">
        <v>41</v>
      </c>
      <c r="AX343" t="s">
        <v>74</v>
      </c>
      <c r="AY343" t="s">
        <v>74</v>
      </c>
      <c r="AZ343" t="s">
        <v>74</v>
      </c>
      <c r="BA343" t="s">
        <v>74</v>
      </c>
      <c r="BB343">
        <v>14778</v>
      </c>
      <c r="BC343">
        <v>14785</v>
      </c>
      <c r="BD343" t="s">
        <v>74</v>
      </c>
      <c r="BE343" t="s">
        <v>6598</v>
      </c>
      <c r="BF343" t="str">
        <f>HYPERLINK("http://dx.doi.org/10.1021/ja9033186","http://dx.doi.org/10.1021/ja9033186")</f>
        <v>http://dx.doi.org/10.1021/ja9033186</v>
      </c>
      <c r="BG343" t="s">
        <v>74</v>
      </c>
      <c r="BH343" t="s">
        <v>74</v>
      </c>
      <c r="BI343">
        <v>8</v>
      </c>
      <c r="BJ343" t="s">
        <v>4331</v>
      </c>
      <c r="BK343" t="s">
        <v>98</v>
      </c>
      <c r="BL343" t="s">
        <v>715</v>
      </c>
      <c r="BM343" t="s">
        <v>6599</v>
      </c>
      <c r="BN343">
        <v>19788303</v>
      </c>
      <c r="BO343" t="s">
        <v>74</v>
      </c>
      <c r="BP343" t="s">
        <v>74</v>
      </c>
      <c r="BQ343" t="s">
        <v>74</v>
      </c>
      <c r="BR343" t="s">
        <v>101</v>
      </c>
      <c r="BS343" t="s">
        <v>6600</v>
      </c>
      <c r="BT343" t="str">
        <f>HYPERLINK("https%3A%2F%2Fwww.webofscience.com%2Fwos%2Fwoscc%2Ffull-record%2FWOS:000271271800050","View Full Record in Web of Science")</f>
        <v>View Full Record in Web of Science</v>
      </c>
    </row>
    <row r="344" spans="1:72" x14ac:dyDescent="0.15">
      <c r="A344" t="s">
        <v>72</v>
      </c>
      <c r="B344" t="s">
        <v>6601</v>
      </c>
      <c r="C344" t="s">
        <v>74</v>
      </c>
      <c r="D344" t="s">
        <v>74</v>
      </c>
      <c r="E344" t="s">
        <v>74</v>
      </c>
      <c r="F344" t="s">
        <v>6602</v>
      </c>
      <c r="G344" t="s">
        <v>74</v>
      </c>
      <c r="H344" t="s">
        <v>74</v>
      </c>
      <c r="I344" t="s">
        <v>6603</v>
      </c>
      <c r="J344" t="s">
        <v>3871</v>
      </c>
      <c r="K344" t="s">
        <v>74</v>
      </c>
      <c r="L344" t="s">
        <v>74</v>
      </c>
      <c r="M344" t="s">
        <v>78</v>
      </c>
      <c r="N344" t="s">
        <v>79</v>
      </c>
      <c r="O344" t="s">
        <v>74</v>
      </c>
      <c r="P344" t="s">
        <v>74</v>
      </c>
      <c r="Q344" t="s">
        <v>74</v>
      </c>
      <c r="R344" t="s">
        <v>74</v>
      </c>
      <c r="S344" t="s">
        <v>74</v>
      </c>
      <c r="T344" t="s">
        <v>74</v>
      </c>
      <c r="U344" t="s">
        <v>6604</v>
      </c>
      <c r="V344" t="s">
        <v>6605</v>
      </c>
      <c r="W344" t="s">
        <v>6606</v>
      </c>
      <c r="X344" t="s">
        <v>6607</v>
      </c>
      <c r="Y344" t="s">
        <v>6608</v>
      </c>
      <c r="Z344" t="s">
        <v>6609</v>
      </c>
      <c r="AA344" t="s">
        <v>74</v>
      </c>
      <c r="AB344" t="s">
        <v>74</v>
      </c>
      <c r="AC344" t="s">
        <v>6610</v>
      </c>
      <c r="AD344" t="s">
        <v>6611</v>
      </c>
      <c r="AE344" t="s">
        <v>6612</v>
      </c>
      <c r="AF344" t="s">
        <v>74</v>
      </c>
      <c r="AG344">
        <v>37</v>
      </c>
      <c r="AH344">
        <v>19</v>
      </c>
      <c r="AI344">
        <v>18</v>
      </c>
      <c r="AJ344">
        <v>0</v>
      </c>
      <c r="AK344">
        <v>5</v>
      </c>
      <c r="AL344" t="s">
        <v>226</v>
      </c>
      <c r="AM344" t="s">
        <v>227</v>
      </c>
      <c r="AN344" t="s">
        <v>228</v>
      </c>
      <c r="AO344" t="s">
        <v>3879</v>
      </c>
      <c r="AP344" t="s">
        <v>74</v>
      </c>
      <c r="AQ344" t="s">
        <v>74</v>
      </c>
      <c r="AR344" t="s">
        <v>3871</v>
      </c>
      <c r="AS344" t="s">
        <v>3881</v>
      </c>
      <c r="AT344" t="s">
        <v>6613</v>
      </c>
      <c r="AU344">
        <v>2009</v>
      </c>
      <c r="AV344">
        <v>28</v>
      </c>
      <c r="AW344" t="s">
        <v>74</v>
      </c>
      <c r="AX344" t="s">
        <v>74</v>
      </c>
      <c r="AY344" t="s">
        <v>74</v>
      </c>
      <c r="AZ344" t="s">
        <v>74</v>
      </c>
      <c r="BA344" t="s">
        <v>74</v>
      </c>
      <c r="BB344" t="s">
        <v>74</v>
      </c>
      <c r="BC344" t="s">
        <v>74</v>
      </c>
      <c r="BD344" t="s">
        <v>6614</v>
      </c>
      <c r="BE344" t="s">
        <v>6615</v>
      </c>
      <c r="BF344" t="str">
        <f>HYPERLINK("http://dx.doi.org/10.1029/2008TC002368","http://dx.doi.org/10.1029/2008TC002368")</f>
        <v>http://dx.doi.org/10.1029/2008TC002368</v>
      </c>
      <c r="BG344" t="s">
        <v>74</v>
      </c>
      <c r="BH344" t="s">
        <v>74</v>
      </c>
      <c r="BI344">
        <v>22</v>
      </c>
      <c r="BJ344" t="s">
        <v>261</v>
      </c>
      <c r="BK344" t="s">
        <v>98</v>
      </c>
      <c r="BL344" t="s">
        <v>261</v>
      </c>
      <c r="BM344" t="s">
        <v>6616</v>
      </c>
      <c r="BN344" t="s">
        <v>74</v>
      </c>
      <c r="BO344" t="s">
        <v>263</v>
      </c>
      <c r="BP344" t="s">
        <v>74</v>
      </c>
      <c r="BQ344" t="s">
        <v>74</v>
      </c>
      <c r="BR344" t="s">
        <v>101</v>
      </c>
      <c r="BS344" t="s">
        <v>6617</v>
      </c>
      <c r="BT344" t="str">
        <f>HYPERLINK("https%3A%2F%2Fwww.webofscience.com%2Fwos%2Fwoscc%2Ffull-record%2FWOS:000271135400001","View Full Record in Web of Science")</f>
        <v>View Full Record in Web of Science</v>
      </c>
    </row>
    <row r="345" spans="1:72" x14ac:dyDescent="0.15">
      <c r="A345" t="s">
        <v>72</v>
      </c>
      <c r="B345" t="s">
        <v>6618</v>
      </c>
      <c r="C345" t="s">
        <v>74</v>
      </c>
      <c r="D345" t="s">
        <v>74</v>
      </c>
      <c r="E345" t="s">
        <v>74</v>
      </c>
      <c r="F345" t="s">
        <v>6619</v>
      </c>
      <c r="G345" t="s">
        <v>74</v>
      </c>
      <c r="H345" t="s">
        <v>74</v>
      </c>
      <c r="I345" t="s">
        <v>6620</v>
      </c>
      <c r="J345" t="s">
        <v>395</v>
      </c>
      <c r="K345" t="s">
        <v>74</v>
      </c>
      <c r="L345" t="s">
        <v>74</v>
      </c>
      <c r="M345" t="s">
        <v>78</v>
      </c>
      <c r="N345" t="s">
        <v>79</v>
      </c>
      <c r="O345" t="s">
        <v>74</v>
      </c>
      <c r="P345" t="s">
        <v>74</v>
      </c>
      <c r="Q345" t="s">
        <v>74</v>
      </c>
      <c r="R345" t="s">
        <v>74</v>
      </c>
      <c r="S345" t="s">
        <v>74</v>
      </c>
      <c r="T345" t="s">
        <v>74</v>
      </c>
      <c r="U345" t="s">
        <v>6621</v>
      </c>
      <c r="V345" t="s">
        <v>6622</v>
      </c>
      <c r="W345" t="s">
        <v>6623</v>
      </c>
      <c r="X345" t="s">
        <v>6624</v>
      </c>
      <c r="Y345" t="s">
        <v>6625</v>
      </c>
      <c r="Z345" t="s">
        <v>6626</v>
      </c>
      <c r="AA345" t="s">
        <v>6627</v>
      </c>
      <c r="AB345" t="s">
        <v>6628</v>
      </c>
      <c r="AC345" t="s">
        <v>6629</v>
      </c>
      <c r="AD345" t="s">
        <v>978</v>
      </c>
      <c r="AE345" t="s">
        <v>6630</v>
      </c>
      <c r="AF345" t="s">
        <v>74</v>
      </c>
      <c r="AG345">
        <v>78</v>
      </c>
      <c r="AH345">
        <v>78</v>
      </c>
      <c r="AI345">
        <v>81</v>
      </c>
      <c r="AJ345">
        <v>1</v>
      </c>
      <c r="AK345">
        <v>27</v>
      </c>
      <c r="AL345" t="s">
        <v>226</v>
      </c>
      <c r="AM345" t="s">
        <v>227</v>
      </c>
      <c r="AN345" t="s">
        <v>228</v>
      </c>
      <c r="AO345" t="s">
        <v>407</v>
      </c>
      <c r="AP345" t="s">
        <v>408</v>
      </c>
      <c r="AQ345" t="s">
        <v>74</v>
      </c>
      <c r="AR345" t="s">
        <v>409</v>
      </c>
      <c r="AS345" t="s">
        <v>410</v>
      </c>
      <c r="AT345" t="s">
        <v>6631</v>
      </c>
      <c r="AU345">
        <v>2009</v>
      </c>
      <c r="AV345">
        <v>114</v>
      </c>
      <c r="AW345" t="s">
        <v>74</v>
      </c>
      <c r="AX345" t="s">
        <v>74</v>
      </c>
      <c r="AY345" t="s">
        <v>74</v>
      </c>
      <c r="AZ345" t="s">
        <v>74</v>
      </c>
      <c r="BA345" t="s">
        <v>74</v>
      </c>
      <c r="BB345" t="s">
        <v>74</v>
      </c>
      <c r="BC345" t="s">
        <v>74</v>
      </c>
      <c r="BD345" t="s">
        <v>6632</v>
      </c>
      <c r="BE345" t="s">
        <v>6633</v>
      </c>
      <c r="BF345" t="str">
        <f>HYPERLINK("http://dx.doi.org/10.1029/2008JD010442","http://dx.doi.org/10.1029/2008JD010442")</f>
        <v>http://dx.doi.org/10.1029/2008JD010442</v>
      </c>
      <c r="BG345" t="s">
        <v>74</v>
      </c>
      <c r="BH345" t="s">
        <v>74</v>
      </c>
      <c r="BI345">
        <v>17</v>
      </c>
      <c r="BJ345" t="s">
        <v>413</v>
      </c>
      <c r="BK345" t="s">
        <v>98</v>
      </c>
      <c r="BL345" t="s">
        <v>413</v>
      </c>
      <c r="BM345" t="s">
        <v>6634</v>
      </c>
      <c r="BN345" t="s">
        <v>74</v>
      </c>
      <c r="BO345" t="s">
        <v>263</v>
      </c>
      <c r="BP345" t="s">
        <v>74</v>
      </c>
      <c r="BQ345" t="s">
        <v>74</v>
      </c>
      <c r="BR345" t="s">
        <v>101</v>
      </c>
      <c r="BS345" t="s">
        <v>6635</v>
      </c>
      <c r="BT345" t="str">
        <f>HYPERLINK("https%3A%2F%2Fwww.webofscience.com%2Fwos%2Fwoscc%2Ffull-record%2FWOS:000270943700001","View Full Record in Web of Science")</f>
        <v>View Full Record in Web of Science</v>
      </c>
    </row>
    <row r="346" spans="1:72" x14ac:dyDescent="0.15">
      <c r="A346" t="s">
        <v>72</v>
      </c>
      <c r="B346" t="s">
        <v>6636</v>
      </c>
      <c r="C346" t="s">
        <v>74</v>
      </c>
      <c r="D346" t="s">
        <v>74</v>
      </c>
      <c r="E346" t="s">
        <v>74</v>
      </c>
      <c r="F346" t="s">
        <v>6637</v>
      </c>
      <c r="G346" t="s">
        <v>74</v>
      </c>
      <c r="H346" t="s">
        <v>74</v>
      </c>
      <c r="I346" t="s">
        <v>6638</v>
      </c>
      <c r="J346" t="s">
        <v>6639</v>
      </c>
      <c r="K346" t="s">
        <v>74</v>
      </c>
      <c r="L346" t="s">
        <v>74</v>
      </c>
      <c r="M346" t="s">
        <v>78</v>
      </c>
      <c r="N346" t="s">
        <v>79</v>
      </c>
      <c r="O346" t="s">
        <v>74</v>
      </c>
      <c r="P346" t="s">
        <v>74</v>
      </c>
      <c r="Q346" t="s">
        <v>74</v>
      </c>
      <c r="R346" t="s">
        <v>74</v>
      </c>
      <c r="S346" t="s">
        <v>74</v>
      </c>
      <c r="T346" t="s">
        <v>74</v>
      </c>
      <c r="U346" t="s">
        <v>6640</v>
      </c>
      <c r="V346" t="s">
        <v>6641</v>
      </c>
      <c r="W346" t="s">
        <v>6642</v>
      </c>
      <c r="X346" t="s">
        <v>6643</v>
      </c>
      <c r="Y346" t="s">
        <v>6644</v>
      </c>
      <c r="Z346" t="s">
        <v>6645</v>
      </c>
      <c r="AA346" t="s">
        <v>6646</v>
      </c>
      <c r="AB346" t="s">
        <v>6647</v>
      </c>
      <c r="AC346" t="s">
        <v>6648</v>
      </c>
      <c r="AD346" t="s">
        <v>6649</v>
      </c>
      <c r="AE346" t="s">
        <v>6650</v>
      </c>
      <c r="AF346" t="s">
        <v>74</v>
      </c>
      <c r="AG346">
        <v>46</v>
      </c>
      <c r="AH346">
        <v>40</v>
      </c>
      <c r="AI346">
        <v>41</v>
      </c>
      <c r="AJ346">
        <v>0</v>
      </c>
      <c r="AK346">
        <v>19</v>
      </c>
      <c r="AL346" t="s">
        <v>226</v>
      </c>
      <c r="AM346" t="s">
        <v>227</v>
      </c>
      <c r="AN346" t="s">
        <v>228</v>
      </c>
      <c r="AO346" t="s">
        <v>6651</v>
      </c>
      <c r="AP346" t="s">
        <v>6652</v>
      </c>
      <c r="AQ346" t="s">
        <v>74</v>
      </c>
      <c r="AR346" t="s">
        <v>6653</v>
      </c>
      <c r="AS346" t="s">
        <v>6654</v>
      </c>
      <c r="AT346" t="s">
        <v>6631</v>
      </c>
      <c r="AU346">
        <v>2009</v>
      </c>
      <c r="AV346">
        <v>114</v>
      </c>
      <c r="AW346" t="s">
        <v>74</v>
      </c>
      <c r="AX346" t="s">
        <v>74</v>
      </c>
      <c r="AY346" t="s">
        <v>74</v>
      </c>
      <c r="AZ346" t="s">
        <v>74</v>
      </c>
      <c r="BA346" t="s">
        <v>74</v>
      </c>
      <c r="BB346" t="s">
        <v>74</v>
      </c>
      <c r="BC346" t="s">
        <v>74</v>
      </c>
      <c r="BD346" t="s">
        <v>6655</v>
      </c>
      <c r="BE346" t="s">
        <v>6656</v>
      </c>
      <c r="BF346" t="str">
        <f>HYPERLINK("http://dx.doi.org/10.1029/2009JE003364","http://dx.doi.org/10.1029/2009JE003364")</f>
        <v>http://dx.doi.org/10.1029/2009JE003364</v>
      </c>
      <c r="BG346" t="s">
        <v>74</v>
      </c>
      <c r="BH346" t="s">
        <v>74</v>
      </c>
      <c r="BI346">
        <v>13</v>
      </c>
      <c r="BJ346" t="s">
        <v>261</v>
      </c>
      <c r="BK346" t="s">
        <v>98</v>
      </c>
      <c r="BL346" t="s">
        <v>261</v>
      </c>
      <c r="BM346" t="s">
        <v>6657</v>
      </c>
      <c r="BN346" t="s">
        <v>74</v>
      </c>
      <c r="BO346" t="s">
        <v>263</v>
      </c>
      <c r="BP346" t="s">
        <v>74</v>
      </c>
      <c r="BQ346" t="s">
        <v>74</v>
      </c>
      <c r="BR346" t="s">
        <v>101</v>
      </c>
      <c r="BS346" t="s">
        <v>6658</v>
      </c>
      <c r="BT346" t="str">
        <f>HYPERLINK("https%3A%2F%2Fwww.webofscience.com%2Fwos%2Fwoscc%2Ffull-record%2FWOS:000270944400001","View Full Record in Web of Science")</f>
        <v>View Full Record in Web of Science</v>
      </c>
    </row>
    <row r="347" spans="1:72" x14ac:dyDescent="0.15">
      <c r="A347" t="s">
        <v>72</v>
      </c>
      <c r="B347" t="s">
        <v>6659</v>
      </c>
      <c r="C347" t="s">
        <v>74</v>
      </c>
      <c r="D347" t="s">
        <v>74</v>
      </c>
      <c r="E347" t="s">
        <v>74</v>
      </c>
      <c r="F347" t="s">
        <v>6660</v>
      </c>
      <c r="G347" t="s">
        <v>74</v>
      </c>
      <c r="H347" t="s">
        <v>74</v>
      </c>
      <c r="I347" t="s">
        <v>6661</v>
      </c>
      <c r="J347" t="s">
        <v>4020</v>
      </c>
      <c r="K347" t="s">
        <v>74</v>
      </c>
      <c r="L347" t="s">
        <v>74</v>
      </c>
      <c r="M347" t="s">
        <v>78</v>
      </c>
      <c r="N347" t="s">
        <v>79</v>
      </c>
      <c r="O347" t="s">
        <v>74</v>
      </c>
      <c r="P347" t="s">
        <v>74</v>
      </c>
      <c r="Q347" t="s">
        <v>74</v>
      </c>
      <c r="R347" t="s">
        <v>74</v>
      </c>
      <c r="S347" t="s">
        <v>74</v>
      </c>
      <c r="T347" t="s">
        <v>6662</v>
      </c>
      <c r="U347" t="s">
        <v>6663</v>
      </c>
      <c r="V347" t="s">
        <v>6664</v>
      </c>
      <c r="W347" t="s">
        <v>6665</v>
      </c>
      <c r="X347" t="s">
        <v>6666</v>
      </c>
      <c r="Y347" t="s">
        <v>6667</v>
      </c>
      <c r="Z347" t="s">
        <v>6668</v>
      </c>
      <c r="AA347" t="s">
        <v>6669</v>
      </c>
      <c r="AB347" t="s">
        <v>6670</v>
      </c>
      <c r="AC347" t="s">
        <v>6671</v>
      </c>
      <c r="AD347" t="s">
        <v>6672</v>
      </c>
      <c r="AE347" t="s">
        <v>6673</v>
      </c>
      <c r="AF347" t="s">
        <v>74</v>
      </c>
      <c r="AG347">
        <v>59</v>
      </c>
      <c r="AH347">
        <v>28</v>
      </c>
      <c r="AI347">
        <v>30</v>
      </c>
      <c r="AJ347">
        <v>0</v>
      </c>
      <c r="AK347">
        <v>13</v>
      </c>
      <c r="AL347" t="s">
        <v>280</v>
      </c>
      <c r="AM347" t="s">
        <v>281</v>
      </c>
      <c r="AN347" t="s">
        <v>282</v>
      </c>
      <c r="AO347" t="s">
        <v>4033</v>
      </c>
      <c r="AP347" t="s">
        <v>4034</v>
      </c>
      <c r="AQ347" t="s">
        <v>74</v>
      </c>
      <c r="AR347" t="s">
        <v>4035</v>
      </c>
      <c r="AS347" t="s">
        <v>4036</v>
      </c>
      <c r="AT347" t="s">
        <v>6674</v>
      </c>
      <c r="AU347">
        <v>2009</v>
      </c>
      <c r="AV347">
        <v>287</v>
      </c>
      <c r="AW347" t="s">
        <v>288</v>
      </c>
      <c r="AX347" t="s">
        <v>74</v>
      </c>
      <c r="AY347" t="s">
        <v>74</v>
      </c>
      <c r="AZ347" t="s">
        <v>74</v>
      </c>
      <c r="BA347" t="s">
        <v>74</v>
      </c>
      <c r="BB347">
        <v>453</v>
      </c>
      <c r="BC347">
        <v>462</v>
      </c>
      <c r="BD347" t="s">
        <v>74</v>
      </c>
      <c r="BE347" t="s">
        <v>6675</v>
      </c>
      <c r="BF347" t="str">
        <f>HYPERLINK("http://dx.doi.org/10.1016/j.epsl.2009.08.030","http://dx.doi.org/10.1016/j.epsl.2009.08.030")</f>
        <v>http://dx.doi.org/10.1016/j.epsl.2009.08.030</v>
      </c>
      <c r="BG347" t="s">
        <v>74</v>
      </c>
      <c r="BH347" t="s">
        <v>74</v>
      </c>
      <c r="BI347">
        <v>10</v>
      </c>
      <c r="BJ347" t="s">
        <v>261</v>
      </c>
      <c r="BK347" t="s">
        <v>98</v>
      </c>
      <c r="BL347" t="s">
        <v>261</v>
      </c>
      <c r="BM347" t="s">
        <v>6676</v>
      </c>
      <c r="BN347" t="s">
        <v>74</v>
      </c>
      <c r="BO347" t="s">
        <v>239</v>
      </c>
      <c r="BP347" t="s">
        <v>74</v>
      </c>
      <c r="BQ347" t="s">
        <v>74</v>
      </c>
      <c r="BR347" t="s">
        <v>101</v>
      </c>
      <c r="BS347" t="s">
        <v>6677</v>
      </c>
      <c r="BT347" t="str">
        <f>HYPERLINK("https%3A%2F%2Fwww.webofscience.com%2Fwos%2Fwoscc%2Ffull-record%2FWOS:000272010800018","View Full Record in Web of Science")</f>
        <v>View Full Record in Web of Science</v>
      </c>
    </row>
    <row r="348" spans="1:72" x14ac:dyDescent="0.15">
      <c r="A348" t="s">
        <v>72</v>
      </c>
      <c r="B348" t="s">
        <v>6678</v>
      </c>
      <c r="C348" t="s">
        <v>74</v>
      </c>
      <c r="D348" t="s">
        <v>74</v>
      </c>
      <c r="E348" t="s">
        <v>74</v>
      </c>
      <c r="F348" t="s">
        <v>6679</v>
      </c>
      <c r="G348" t="s">
        <v>74</v>
      </c>
      <c r="H348" t="s">
        <v>74</v>
      </c>
      <c r="I348" t="s">
        <v>6680</v>
      </c>
      <c r="J348" t="s">
        <v>4061</v>
      </c>
      <c r="K348" t="s">
        <v>74</v>
      </c>
      <c r="L348" t="s">
        <v>74</v>
      </c>
      <c r="M348" t="s">
        <v>78</v>
      </c>
      <c r="N348" t="s">
        <v>79</v>
      </c>
      <c r="O348" t="s">
        <v>74</v>
      </c>
      <c r="P348" t="s">
        <v>74</v>
      </c>
      <c r="Q348" t="s">
        <v>74</v>
      </c>
      <c r="R348" t="s">
        <v>74</v>
      </c>
      <c r="S348" t="s">
        <v>74</v>
      </c>
      <c r="T348" t="s">
        <v>74</v>
      </c>
      <c r="U348" t="s">
        <v>6681</v>
      </c>
      <c r="V348" t="s">
        <v>6682</v>
      </c>
      <c r="W348" t="s">
        <v>6683</v>
      </c>
      <c r="X348" t="s">
        <v>6684</v>
      </c>
      <c r="Y348" t="s">
        <v>6685</v>
      </c>
      <c r="Z348" t="s">
        <v>6686</v>
      </c>
      <c r="AA348" t="s">
        <v>6687</v>
      </c>
      <c r="AB348" t="s">
        <v>6688</v>
      </c>
      <c r="AC348" t="s">
        <v>6689</v>
      </c>
      <c r="AD348" t="s">
        <v>6690</v>
      </c>
      <c r="AE348" t="s">
        <v>6691</v>
      </c>
      <c r="AF348" t="s">
        <v>74</v>
      </c>
      <c r="AG348">
        <v>66</v>
      </c>
      <c r="AH348">
        <v>8</v>
      </c>
      <c r="AI348">
        <v>10</v>
      </c>
      <c r="AJ348">
        <v>0</v>
      </c>
      <c r="AK348">
        <v>24</v>
      </c>
      <c r="AL348" t="s">
        <v>1894</v>
      </c>
      <c r="AM348" t="s">
        <v>1895</v>
      </c>
      <c r="AN348" t="s">
        <v>1896</v>
      </c>
      <c r="AO348" t="s">
        <v>4073</v>
      </c>
      <c r="AP348" t="s">
        <v>4074</v>
      </c>
      <c r="AQ348" t="s">
        <v>74</v>
      </c>
      <c r="AR348" t="s">
        <v>4075</v>
      </c>
      <c r="AS348" t="s">
        <v>4076</v>
      </c>
      <c r="AT348" t="s">
        <v>6674</v>
      </c>
      <c r="AU348">
        <v>2009</v>
      </c>
      <c r="AV348">
        <v>73</v>
      </c>
      <c r="AW348">
        <v>20</v>
      </c>
      <c r="AX348" t="s">
        <v>74</v>
      </c>
      <c r="AY348" t="s">
        <v>74</v>
      </c>
      <c r="AZ348" t="s">
        <v>74</v>
      </c>
      <c r="BA348" t="s">
        <v>74</v>
      </c>
      <c r="BB348">
        <v>5959</v>
      </c>
      <c r="BC348">
        <v>5974</v>
      </c>
      <c r="BD348" t="s">
        <v>74</v>
      </c>
      <c r="BE348" t="s">
        <v>6692</v>
      </c>
      <c r="BF348" t="str">
        <f>HYPERLINK("http://dx.doi.org/10.1016/j.gca.2009.05.050","http://dx.doi.org/10.1016/j.gca.2009.05.050")</f>
        <v>http://dx.doi.org/10.1016/j.gca.2009.05.050</v>
      </c>
      <c r="BG348" t="s">
        <v>74</v>
      </c>
      <c r="BH348" t="s">
        <v>74</v>
      </c>
      <c r="BI348">
        <v>16</v>
      </c>
      <c r="BJ348" t="s">
        <v>261</v>
      </c>
      <c r="BK348" t="s">
        <v>98</v>
      </c>
      <c r="BL348" t="s">
        <v>261</v>
      </c>
      <c r="BM348" t="s">
        <v>6693</v>
      </c>
      <c r="BN348" t="s">
        <v>74</v>
      </c>
      <c r="BO348" t="s">
        <v>74</v>
      </c>
      <c r="BP348" t="s">
        <v>74</v>
      </c>
      <c r="BQ348" t="s">
        <v>74</v>
      </c>
      <c r="BR348" t="s">
        <v>101</v>
      </c>
      <c r="BS348" t="s">
        <v>6694</v>
      </c>
      <c r="BT348" t="str">
        <f>HYPERLINK("https%3A%2F%2Fwww.webofscience.com%2Fwos%2Fwoscc%2Ffull-record%2FWOS:000273416500001","View Full Record in Web of Science")</f>
        <v>View Full Record in Web of Science</v>
      </c>
    </row>
    <row r="349" spans="1:72" x14ac:dyDescent="0.15">
      <c r="A349" t="s">
        <v>72</v>
      </c>
      <c r="B349" t="s">
        <v>6695</v>
      </c>
      <c r="C349" t="s">
        <v>74</v>
      </c>
      <c r="D349" t="s">
        <v>74</v>
      </c>
      <c r="E349" t="s">
        <v>74</v>
      </c>
      <c r="F349" t="s">
        <v>6696</v>
      </c>
      <c r="G349" t="s">
        <v>74</v>
      </c>
      <c r="H349" t="s">
        <v>74</v>
      </c>
      <c r="I349" t="s">
        <v>6697</v>
      </c>
      <c r="J349" t="s">
        <v>2386</v>
      </c>
      <c r="K349" t="s">
        <v>74</v>
      </c>
      <c r="L349" t="s">
        <v>74</v>
      </c>
      <c r="M349" t="s">
        <v>78</v>
      </c>
      <c r="N349" t="s">
        <v>79</v>
      </c>
      <c r="O349" t="s">
        <v>74</v>
      </c>
      <c r="P349" t="s">
        <v>74</v>
      </c>
      <c r="Q349" t="s">
        <v>74</v>
      </c>
      <c r="R349" t="s">
        <v>74</v>
      </c>
      <c r="S349" t="s">
        <v>74</v>
      </c>
      <c r="T349" t="s">
        <v>74</v>
      </c>
      <c r="U349" t="s">
        <v>6698</v>
      </c>
      <c r="V349" t="s">
        <v>6699</v>
      </c>
      <c r="W349" t="s">
        <v>6700</v>
      </c>
      <c r="X349" t="s">
        <v>6701</v>
      </c>
      <c r="Y349" t="s">
        <v>6702</v>
      </c>
      <c r="Z349" t="s">
        <v>6703</v>
      </c>
      <c r="AA349" t="s">
        <v>6704</v>
      </c>
      <c r="AB349" t="s">
        <v>6705</v>
      </c>
      <c r="AC349" t="s">
        <v>6706</v>
      </c>
      <c r="AD349" t="s">
        <v>6707</v>
      </c>
      <c r="AE349" t="s">
        <v>6708</v>
      </c>
      <c r="AF349" t="s">
        <v>74</v>
      </c>
      <c r="AG349">
        <v>55</v>
      </c>
      <c r="AH349">
        <v>78</v>
      </c>
      <c r="AI349">
        <v>85</v>
      </c>
      <c r="AJ349">
        <v>0</v>
      </c>
      <c r="AK349">
        <v>22</v>
      </c>
      <c r="AL349" t="s">
        <v>2397</v>
      </c>
      <c r="AM349" t="s">
        <v>2398</v>
      </c>
      <c r="AN349" t="s">
        <v>6709</v>
      </c>
      <c r="AO349" t="s">
        <v>2400</v>
      </c>
      <c r="AP349" t="s">
        <v>2401</v>
      </c>
      <c r="AQ349" t="s">
        <v>74</v>
      </c>
      <c r="AR349" t="s">
        <v>2402</v>
      </c>
      <c r="AS349" t="s">
        <v>2403</v>
      </c>
      <c r="AT349" t="s">
        <v>6674</v>
      </c>
      <c r="AU349">
        <v>2009</v>
      </c>
      <c r="AV349">
        <v>22</v>
      </c>
      <c r="AW349">
        <v>20</v>
      </c>
      <c r="AX349" t="s">
        <v>74</v>
      </c>
      <c r="AY349" t="s">
        <v>74</v>
      </c>
      <c r="AZ349" t="s">
        <v>74</v>
      </c>
      <c r="BA349" t="s">
        <v>74</v>
      </c>
      <c r="BB349">
        <v>5319</v>
      </c>
      <c r="BC349">
        <v>5345</v>
      </c>
      <c r="BD349" t="s">
        <v>74</v>
      </c>
      <c r="BE349" t="s">
        <v>6710</v>
      </c>
      <c r="BF349" t="str">
        <f>HYPERLINK("http://dx.doi.org/10.1175/2009JCLI2785.1","http://dx.doi.org/10.1175/2009JCLI2785.1")</f>
        <v>http://dx.doi.org/10.1175/2009JCLI2785.1</v>
      </c>
      <c r="BG349" t="s">
        <v>74</v>
      </c>
      <c r="BH349" t="s">
        <v>74</v>
      </c>
      <c r="BI349">
        <v>27</v>
      </c>
      <c r="BJ349" t="s">
        <v>413</v>
      </c>
      <c r="BK349" t="s">
        <v>98</v>
      </c>
      <c r="BL349" t="s">
        <v>413</v>
      </c>
      <c r="BM349" t="s">
        <v>6711</v>
      </c>
      <c r="BN349" t="s">
        <v>74</v>
      </c>
      <c r="BO349" t="s">
        <v>6712</v>
      </c>
      <c r="BP349" t="s">
        <v>74</v>
      </c>
      <c r="BQ349" t="s">
        <v>74</v>
      </c>
      <c r="BR349" t="s">
        <v>101</v>
      </c>
      <c r="BS349" t="s">
        <v>6713</v>
      </c>
      <c r="BT349" t="str">
        <f>HYPERLINK("https%3A%2F%2Fwww.webofscience.com%2Fwos%2Fwoscc%2Ffull-record%2FWOS:000271080000003","View Full Record in Web of Science")</f>
        <v>View Full Record in Web of Science</v>
      </c>
    </row>
    <row r="350" spans="1:72" x14ac:dyDescent="0.15">
      <c r="A350" t="s">
        <v>72</v>
      </c>
      <c r="B350" t="s">
        <v>6714</v>
      </c>
      <c r="C350" t="s">
        <v>74</v>
      </c>
      <c r="D350" t="s">
        <v>74</v>
      </c>
      <c r="E350" t="s">
        <v>74</v>
      </c>
      <c r="F350" t="s">
        <v>6715</v>
      </c>
      <c r="G350" t="s">
        <v>74</v>
      </c>
      <c r="H350" t="s">
        <v>74</v>
      </c>
      <c r="I350" t="s">
        <v>6716</v>
      </c>
      <c r="J350" t="s">
        <v>2386</v>
      </c>
      <c r="K350" t="s">
        <v>74</v>
      </c>
      <c r="L350" t="s">
        <v>74</v>
      </c>
      <c r="M350" t="s">
        <v>78</v>
      </c>
      <c r="N350" t="s">
        <v>79</v>
      </c>
      <c r="O350" t="s">
        <v>74</v>
      </c>
      <c r="P350" t="s">
        <v>74</v>
      </c>
      <c r="Q350" t="s">
        <v>74</v>
      </c>
      <c r="R350" t="s">
        <v>74</v>
      </c>
      <c r="S350" t="s">
        <v>74</v>
      </c>
      <c r="T350" t="s">
        <v>74</v>
      </c>
      <c r="U350" t="s">
        <v>6717</v>
      </c>
      <c r="V350" t="s">
        <v>6718</v>
      </c>
      <c r="W350" t="s">
        <v>6719</v>
      </c>
      <c r="X350" t="s">
        <v>6720</v>
      </c>
      <c r="Y350" t="s">
        <v>6721</v>
      </c>
      <c r="Z350" t="s">
        <v>6722</v>
      </c>
      <c r="AA350" t="s">
        <v>6723</v>
      </c>
      <c r="AB350" t="s">
        <v>6724</v>
      </c>
      <c r="AC350" t="s">
        <v>6725</v>
      </c>
      <c r="AD350" t="s">
        <v>6726</v>
      </c>
      <c r="AE350" t="s">
        <v>6727</v>
      </c>
      <c r="AF350" t="s">
        <v>74</v>
      </c>
      <c r="AG350">
        <v>48</v>
      </c>
      <c r="AH350">
        <v>163</v>
      </c>
      <c r="AI350">
        <v>172</v>
      </c>
      <c r="AJ350">
        <v>1</v>
      </c>
      <c r="AK350">
        <v>28</v>
      </c>
      <c r="AL350" t="s">
        <v>2397</v>
      </c>
      <c r="AM350" t="s">
        <v>2398</v>
      </c>
      <c r="AN350" t="s">
        <v>6709</v>
      </c>
      <c r="AO350" t="s">
        <v>2400</v>
      </c>
      <c r="AP350" t="s">
        <v>2401</v>
      </c>
      <c r="AQ350" t="s">
        <v>74</v>
      </c>
      <c r="AR350" t="s">
        <v>2402</v>
      </c>
      <c r="AS350" t="s">
        <v>2403</v>
      </c>
      <c r="AT350" t="s">
        <v>6674</v>
      </c>
      <c r="AU350">
        <v>2009</v>
      </c>
      <c r="AV350">
        <v>22</v>
      </c>
      <c r="AW350">
        <v>20</v>
      </c>
      <c r="AX350" t="s">
        <v>74</v>
      </c>
      <c r="AY350" t="s">
        <v>74</v>
      </c>
      <c r="AZ350" t="s">
        <v>74</v>
      </c>
      <c r="BA350" t="s">
        <v>74</v>
      </c>
      <c r="BB350">
        <v>5346</v>
      </c>
      <c r="BC350">
        <v>5365</v>
      </c>
      <c r="BD350" t="s">
        <v>74</v>
      </c>
      <c r="BE350" t="s">
        <v>6728</v>
      </c>
      <c r="BF350" t="str">
        <f>HYPERLINK("http://dx.doi.org/10.1175/2009JCLI2786.1","http://dx.doi.org/10.1175/2009JCLI2786.1")</f>
        <v>http://dx.doi.org/10.1175/2009JCLI2786.1</v>
      </c>
      <c r="BG350" t="s">
        <v>74</v>
      </c>
      <c r="BH350" t="s">
        <v>74</v>
      </c>
      <c r="BI350">
        <v>20</v>
      </c>
      <c r="BJ350" t="s">
        <v>413</v>
      </c>
      <c r="BK350" t="s">
        <v>98</v>
      </c>
      <c r="BL350" t="s">
        <v>413</v>
      </c>
      <c r="BM350" t="s">
        <v>6711</v>
      </c>
      <c r="BN350" t="s">
        <v>74</v>
      </c>
      <c r="BO350" t="s">
        <v>4550</v>
      </c>
      <c r="BP350" t="s">
        <v>74</v>
      </c>
      <c r="BQ350" t="s">
        <v>74</v>
      </c>
      <c r="BR350" t="s">
        <v>101</v>
      </c>
      <c r="BS350" t="s">
        <v>6729</v>
      </c>
      <c r="BT350" t="str">
        <f>HYPERLINK("https%3A%2F%2Fwww.webofscience.com%2Fwos%2Fwoscc%2Ffull-record%2FWOS:000271080000004","View Full Record in Web of Science")</f>
        <v>View Full Record in Web of Science</v>
      </c>
    </row>
    <row r="351" spans="1:72" x14ac:dyDescent="0.15">
      <c r="A351" t="s">
        <v>72</v>
      </c>
      <c r="B351" t="s">
        <v>6730</v>
      </c>
      <c r="C351" t="s">
        <v>74</v>
      </c>
      <c r="D351" t="s">
        <v>74</v>
      </c>
      <c r="E351" t="s">
        <v>74</v>
      </c>
      <c r="F351" t="s">
        <v>6731</v>
      </c>
      <c r="G351" t="s">
        <v>74</v>
      </c>
      <c r="H351" t="s">
        <v>74</v>
      </c>
      <c r="I351" t="s">
        <v>6732</v>
      </c>
      <c r="J351" t="s">
        <v>604</v>
      </c>
      <c r="K351" t="s">
        <v>74</v>
      </c>
      <c r="L351" t="s">
        <v>74</v>
      </c>
      <c r="M351" t="s">
        <v>78</v>
      </c>
      <c r="N351" t="s">
        <v>79</v>
      </c>
      <c r="O351" t="s">
        <v>74</v>
      </c>
      <c r="P351" t="s">
        <v>74</v>
      </c>
      <c r="Q351" t="s">
        <v>74</v>
      </c>
      <c r="R351" t="s">
        <v>74</v>
      </c>
      <c r="S351" t="s">
        <v>74</v>
      </c>
      <c r="T351" t="s">
        <v>6733</v>
      </c>
      <c r="U351" t="s">
        <v>6734</v>
      </c>
      <c r="V351" t="s">
        <v>6735</v>
      </c>
      <c r="W351" t="s">
        <v>6736</v>
      </c>
      <c r="X351" t="s">
        <v>6737</v>
      </c>
      <c r="Y351" t="s">
        <v>6738</v>
      </c>
      <c r="Z351" t="s">
        <v>6739</v>
      </c>
      <c r="AA351" t="s">
        <v>74</v>
      </c>
      <c r="AB351" t="s">
        <v>74</v>
      </c>
      <c r="AC351" t="s">
        <v>6740</v>
      </c>
      <c r="AD351" t="s">
        <v>6741</v>
      </c>
      <c r="AE351" t="s">
        <v>6742</v>
      </c>
      <c r="AF351" t="s">
        <v>74</v>
      </c>
      <c r="AG351">
        <v>58</v>
      </c>
      <c r="AH351">
        <v>60</v>
      </c>
      <c r="AI351">
        <v>67</v>
      </c>
      <c r="AJ351">
        <v>1</v>
      </c>
      <c r="AK351">
        <v>121</v>
      </c>
      <c r="AL351" t="s">
        <v>617</v>
      </c>
      <c r="AM351" t="s">
        <v>618</v>
      </c>
      <c r="AN351" t="s">
        <v>619</v>
      </c>
      <c r="AO351" t="s">
        <v>620</v>
      </c>
      <c r="AP351" t="s">
        <v>6743</v>
      </c>
      <c r="AQ351" t="s">
        <v>74</v>
      </c>
      <c r="AR351" t="s">
        <v>621</v>
      </c>
      <c r="AS351" t="s">
        <v>622</v>
      </c>
      <c r="AT351" t="s">
        <v>6674</v>
      </c>
      <c r="AU351">
        <v>2009</v>
      </c>
      <c r="AV351">
        <v>212</v>
      </c>
      <c r="AW351">
        <v>20</v>
      </c>
      <c r="AX351" t="s">
        <v>74</v>
      </c>
      <c r="AY351" t="s">
        <v>74</v>
      </c>
      <c r="AZ351" t="s">
        <v>74</v>
      </c>
      <c r="BA351" t="s">
        <v>74</v>
      </c>
      <c r="BB351">
        <v>3330</v>
      </c>
      <c r="BC351">
        <v>3338</v>
      </c>
      <c r="BD351" t="s">
        <v>74</v>
      </c>
      <c r="BE351" t="s">
        <v>6744</v>
      </c>
      <c r="BF351" t="str">
        <f>HYPERLINK("http://dx.doi.org/10.1242/jeb.033761","http://dx.doi.org/10.1242/jeb.033761")</f>
        <v>http://dx.doi.org/10.1242/jeb.033761</v>
      </c>
      <c r="BG351" t="s">
        <v>74</v>
      </c>
      <c r="BH351" t="s">
        <v>74</v>
      </c>
      <c r="BI351">
        <v>9</v>
      </c>
      <c r="BJ351" t="s">
        <v>624</v>
      </c>
      <c r="BK351" t="s">
        <v>98</v>
      </c>
      <c r="BL351" t="s">
        <v>625</v>
      </c>
      <c r="BM351" t="s">
        <v>6745</v>
      </c>
      <c r="BN351">
        <v>19801437</v>
      </c>
      <c r="BO351" t="s">
        <v>74</v>
      </c>
      <c r="BP351" t="s">
        <v>74</v>
      </c>
      <c r="BQ351" t="s">
        <v>74</v>
      </c>
      <c r="BR351" t="s">
        <v>101</v>
      </c>
      <c r="BS351" t="s">
        <v>6746</v>
      </c>
      <c r="BT351" t="str">
        <f>HYPERLINK("https%3A%2F%2Fwww.webofscience.com%2Fwos%2Fwoscc%2Ffull-record%2FWOS:000270414900017","View Full Record in Web of Science")</f>
        <v>View Full Record in Web of Science</v>
      </c>
    </row>
    <row r="352" spans="1:72" x14ac:dyDescent="0.15">
      <c r="A352" t="s">
        <v>72</v>
      </c>
      <c r="B352" t="s">
        <v>6747</v>
      </c>
      <c r="C352" t="s">
        <v>74</v>
      </c>
      <c r="D352" t="s">
        <v>74</v>
      </c>
      <c r="E352" t="s">
        <v>74</v>
      </c>
      <c r="F352" t="s">
        <v>6748</v>
      </c>
      <c r="G352" t="s">
        <v>74</v>
      </c>
      <c r="H352" t="s">
        <v>74</v>
      </c>
      <c r="I352" t="s">
        <v>6749</v>
      </c>
      <c r="J352" t="s">
        <v>4127</v>
      </c>
      <c r="K352" t="s">
        <v>74</v>
      </c>
      <c r="L352" t="s">
        <v>74</v>
      </c>
      <c r="M352" t="s">
        <v>78</v>
      </c>
      <c r="N352" t="s">
        <v>79</v>
      </c>
      <c r="O352" t="s">
        <v>74</v>
      </c>
      <c r="P352" t="s">
        <v>74</v>
      </c>
      <c r="Q352" t="s">
        <v>74</v>
      </c>
      <c r="R352" t="s">
        <v>74</v>
      </c>
      <c r="S352" t="s">
        <v>74</v>
      </c>
      <c r="T352" t="s">
        <v>6750</v>
      </c>
      <c r="U352" t="s">
        <v>6751</v>
      </c>
      <c r="V352" t="s">
        <v>6752</v>
      </c>
      <c r="W352" t="s">
        <v>6753</v>
      </c>
      <c r="X352" t="s">
        <v>6754</v>
      </c>
      <c r="Y352" t="s">
        <v>6755</v>
      </c>
      <c r="Z352" t="s">
        <v>6756</v>
      </c>
      <c r="AA352" t="s">
        <v>5368</v>
      </c>
      <c r="AB352" t="s">
        <v>6757</v>
      </c>
      <c r="AC352" t="s">
        <v>6758</v>
      </c>
      <c r="AD352" t="s">
        <v>6759</v>
      </c>
      <c r="AE352" t="s">
        <v>6760</v>
      </c>
      <c r="AF352" t="s">
        <v>74</v>
      </c>
      <c r="AG352">
        <v>60</v>
      </c>
      <c r="AH352">
        <v>17</v>
      </c>
      <c r="AI352">
        <v>19</v>
      </c>
      <c r="AJ352">
        <v>0</v>
      </c>
      <c r="AK352">
        <v>8</v>
      </c>
      <c r="AL352" t="s">
        <v>305</v>
      </c>
      <c r="AM352" t="s">
        <v>281</v>
      </c>
      <c r="AN352" t="s">
        <v>306</v>
      </c>
      <c r="AO352" t="s">
        <v>4138</v>
      </c>
      <c r="AP352" t="s">
        <v>4139</v>
      </c>
      <c r="AQ352" t="s">
        <v>74</v>
      </c>
      <c r="AR352" t="s">
        <v>4140</v>
      </c>
      <c r="AS352" t="s">
        <v>4141</v>
      </c>
      <c r="AT352" t="s">
        <v>6674</v>
      </c>
      <c r="AU352">
        <v>2009</v>
      </c>
      <c r="AV352">
        <v>266</v>
      </c>
      <c r="AW352" t="s">
        <v>6761</v>
      </c>
      <c r="AX352" t="s">
        <v>74</v>
      </c>
      <c r="AY352" t="s">
        <v>74</v>
      </c>
      <c r="AZ352" t="s">
        <v>74</v>
      </c>
      <c r="BA352" t="s">
        <v>74</v>
      </c>
      <c r="BB352">
        <v>65</v>
      </c>
      <c r="BC352">
        <v>79</v>
      </c>
      <c r="BD352" t="s">
        <v>74</v>
      </c>
      <c r="BE352" t="s">
        <v>6762</v>
      </c>
      <c r="BF352" t="str">
        <f>HYPERLINK("http://dx.doi.org/10.1016/j.margeo.2009.07.011","http://dx.doi.org/10.1016/j.margeo.2009.07.011")</f>
        <v>http://dx.doi.org/10.1016/j.margeo.2009.07.011</v>
      </c>
      <c r="BG352" t="s">
        <v>74</v>
      </c>
      <c r="BH352" t="s">
        <v>74</v>
      </c>
      <c r="BI352">
        <v>15</v>
      </c>
      <c r="BJ352" t="s">
        <v>4143</v>
      </c>
      <c r="BK352" t="s">
        <v>98</v>
      </c>
      <c r="BL352" t="s">
        <v>4144</v>
      </c>
      <c r="BM352" t="s">
        <v>6763</v>
      </c>
      <c r="BN352" t="s">
        <v>74</v>
      </c>
      <c r="BO352" t="s">
        <v>74</v>
      </c>
      <c r="BP352" t="s">
        <v>74</v>
      </c>
      <c r="BQ352" t="s">
        <v>74</v>
      </c>
      <c r="BR352" t="s">
        <v>101</v>
      </c>
      <c r="BS352" t="s">
        <v>6764</v>
      </c>
      <c r="BT352" t="str">
        <f>HYPERLINK("https%3A%2F%2Fwww.webofscience.com%2Fwos%2Fwoscc%2Ffull-record%2FWOS:000271557600005","View Full Record in Web of Science")</f>
        <v>View Full Record in Web of Science</v>
      </c>
    </row>
    <row r="353" spans="1:72" x14ac:dyDescent="0.15">
      <c r="A353" t="s">
        <v>72</v>
      </c>
      <c r="B353" t="s">
        <v>6765</v>
      </c>
      <c r="C353" t="s">
        <v>74</v>
      </c>
      <c r="D353" t="s">
        <v>74</v>
      </c>
      <c r="E353" t="s">
        <v>74</v>
      </c>
      <c r="F353" t="s">
        <v>6766</v>
      </c>
      <c r="G353" t="s">
        <v>74</v>
      </c>
      <c r="H353" t="s">
        <v>74</v>
      </c>
      <c r="I353" t="s">
        <v>6767</v>
      </c>
      <c r="J353" t="s">
        <v>4127</v>
      </c>
      <c r="K353" t="s">
        <v>74</v>
      </c>
      <c r="L353" t="s">
        <v>74</v>
      </c>
      <c r="M353" t="s">
        <v>78</v>
      </c>
      <c r="N353" t="s">
        <v>79</v>
      </c>
      <c r="O353" t="s">
        <v>74</v>
      </c>
      <c r="P353" t="s">
        <v>74</v>
      </c>
      <c r="Q353" t="s">
        <v>74</v>
      </c>
      <c r="R353" t="s">
        <v>74</v>
      </c>
      <c r="S353" t="s">
        <v>74</v>
      </c>
      <c r="T353" t="s">
        <v>6768</v>
      </c>
      <c r="U353" t="s">
        <v>6769</v>
      </c>
      <c r="V353" t="s">
        <v>6770</v>
      </c>
      <c r="W353" t="s">
        <v>6771</v>
      </c>
      <c r="X353" t="s">
        <v>6772</v>
      </c>
      <c r="Y353" t="s">
        <v>6773</v>
      </c>
      <c r="Z353" t="s">
        <v>6774</v>
      </c>
      <c r="AA353" t="s">
        <v>6775</v>
      </c>
      <c r="AB353" t="s">
        <v>6776</v>
      </c>
      <c r="AC353" t="s">
        <v>6777</v>
      </c>
      <c r="AD353" t="s">
        <v>6777</v>
      </c>
      <c r="AE353" t="s">
        <v>6778</v>
      </c>
      <c r="AF353" t="s">
        <v>74</v>
      </c>
      <c r="AG353">
        <v>37</v>
      </c>
      <c r="AH353">
        <v>11</v>
      </c>
      <c r="AI353">
        <v>12</v>
      </c>
      <c r="AJ353">
        <v>0</v>
      </c>
      <c r="AK353">
        <v>13</v>
      </c>
      <c r="AL353" t="s">
        <v>305</v>
      </c>
      <c r="AM353" t="s">
        <v>281</v>
      </c>
      <c r="AN353" t="s">
        <v>306</v>
      </c>
      <c r="AO353" t="s">
        <v>4138</v>
      </c>
      <c r="AP353" t="s">
        <v>4139</v>
      </c>
      <c r="AQ353" t="s">
        <v>74</v>
      </c>
      <c r="AR353" t="s">
        <v>4140</v>
      </c>
      <c r="AS353" t="s">
        <v>4141</v>
      </c>
      <c r="AT353" t="s">
        <v>6674</v>
      </c>
      <c r="AU353">
        <v>2009</v>
      </c>
      <c r="AV353">
        <v>266</v>
      </c>
      <c r="AW353" t="s">
        <v>6761</v>
      </c>
      <c r="AX353" t="s">
        <v>74</v>
      </c>
      <c r="AY353" t="s">
        <v>74</v>
      </c>
      <c r="AZ353" t="s">
        <v>74</v>
      </c>
      <c r="BA353" t="s">
        <v>74</v>
      </c>
      <c r="BB353">
        <v>109</v>
      </c>
      <c r="BC353">
        <v>128</v>
      </c>
      <c r="BD353" t="s">
        <v>74</v>
      </c>
      <c r="BE353" t="s">
        <v>6779</v>
      </c>
      <c r="BF353" t="str">
        <f>HYPERLINK("http://dx.doi.org/10.1016/j.margeo.2009.07.016","http://dx.doi.org/10.1016/j.margeo.2009.07.016")</f>
        <v>http://dx.doi.org/10.1016/j.margeo.2009.07.016</v>
      </c>
      <c r="BG353" t="s">
        <v>74</v>
      </c>
      <c r="BH353" t="s">
        <v>74</v>
      </c>
      <c r="BI353">
        <v>14</v>
      </c>
      <c r="BJ353" t="s">
        <v>4143</v>
      </c>
      <c r="BK353" t="s">
        <v>98</v>
      </c>
      <c r="BL353" t="s">
        <v>4144</v>
      </c>
      <c r="BM353" t="s">
        <v>6763</v>
      </c>
      <c r="BN353" t="s">
        <v>74</v>
      </c>
      <c r="BO353" t="s">
        <v>74</v>
      </c>
      <c r="BP353" t="s">
        <v>74</v>
      </c>
      <c r="BQ353" t="s">
        <v>74</v>
      </c>
      <c r="BR353" t="s">
        <v>101</v>
      </c>
      <c r="BS353" t="s">
        <v>6780</v>
      </c>
      <c r="BT353" t="str">
        <f>HYPERLINK("https%3A%2F%2Fwww.webofscience.com%2Fwos%2Fwoscc%2Ffull-record%2FWOS:000271557600008","View Full Record in Web of Science")</f>
        <v>View Full Record in Web of Science</v>
      </c>
    </row>
    <row r="354" spans="1:72" x14ac:dyDescent="0.15">
      <c r="A354" t="s">
        <v>72</v>
      </c>
      <c r="B354" t="s">
        <v>6781</v>
      </c>
      <c r="C354" t="s">
        <v>74</v>
      </c>
      <c r="D354" t="s">
        <v>74</v>
      </c>
      <c r="E354" t="s">
        <v>74</v>
      </c>
      <c r="F354" t="s">
        <v>6782</v>
      </c>
      <c r="G354" t="s">
        <v>74</v>
      </c>
      <c r="H354" t="s">
        <v>74</v>
      </c>
      <c r="I354" t="s">
        <v>6783</v>
      </c>
      <c r="J354" t="s">
        <v>4127</v>
      </c>
      <c r="K354" t="s">
        <v>74</v>
      </c>
      <c r="L354" t="s">
        <v>74</v>
      </c>
      <c r="M354" t="s">
        <v>78</v>
      </c>
      <c r="N354" t="s">
        <v>79</v>
      </c>
      <c r="O354" t="s">
        <v>74</v>
      </c>
      <c r="P354" t="s">
        <v>74</v>
      </c>
      <c r="Q354" t="s">
        <v>74</v>
      </c>
      <c r="R354" t="s">
        <v>74</v>
      </c>
      <c r="S354" t="s">
        <v>74</v>
      </c>
      <c r="T354" t="s">
        <v>6784</v>
      </c>
      <c r="U354" t="s">
        <v>6785</v>
      </c>
      <c r="V354" t="s">
        <v>6786</v>
      </c>
      <c r="W354" t="s">
        <v>6787</v>
      </c>
      <c r="X354" t="s">
        <v>6788</v>
      </c>
      <c r="Y354" t="s">
        <v>6789</v>
      </c>
      <c r="Z354" t="s">
        <v>6790</v>
      </c>
      <c r="AA354" t="s">
        <v>6791</v>
      </c>
      <c r="AB354" t="s">
        <v>6792</v>
      </c>
      <c r="AC354" t="s">
        <v>6793</v>
      </c>
      <c r="AD354" t="s">
        <v>730</v>
      </c>
      <c r="AE354" t="s">
        <v>74</v>
      </c>
      <c r="AF354" t="s">
        <v>74</v>
      </c>
      <c r="AG354">
        <v>84</v>
      </c>
      <c r="AH354">
        <v>15</v>
      </c>
      <c r="AI354">
        <v>19</v>
      </c>
      <c r="AJ354">
        <v>0</v>
      </c>
      <c r="AK354">
        <v>14</v>
      </c>
      <c r="AL354" t="s">
        <v>305</v>
      </c>
      <c r="AM354" t="s">
        <v>281</v>
      </c>
      <c r="AN354" t="s">
        <v>306</v>
      </c>
      <c r="AO354" t="s">
        <v>4138</v>
      </c>
      <c r="AP354" t="s">
        <v>4139</v>
      </c>
      <c r="AQ354" t="s">
        <v>74</v>
      </c>
      <c r="AR354" t="s">
        <v>4140</v>
      </c>
      <c r="AS354" t="s">
        <v>4141</v>
      </c>
      <c r="AT354" t="s">
        <v>6674</v>
      </c>
      <c r="AU354">
        <v>2009</v>
      </c>
      <c r="AV354">
        <v>266</v>
      </c>
      <c r="AW354" t="s">
        <v>6761</v>
      </c>
      <c r="AX354" t="s">
        <v>74</v>
      </c>
      <c r="AY354" t="s">
        <v>74</v>
      </c>
      <c r="AZ354" t="s">
        <v>74</v>
      </c>
      <c r="BA354" t="s">
        <v>74</v>
      </c>
      <c r="BB354">
        <v>156</v>
      </c>
      <c r="BC354">
        <v>171</v>
      </c>
      <c r="BD354" t="s">
        <v>74</v>
      </c>
      <c r="BE354" t="s">
        <v>6794</v>
      </c>
      <c r="BF354" t="str">
        <f>HYPERLINK("http://dx.doi.org/10.1016/j.margeo.2009.08.003","http://dx.doi.org/10.1016/j.margeo.2009.08.003")</f>
        <v>http://dx.doi.org/10.1016/j.margeo.2009.08.003</v>
      </c>
      <c r="BG354" t="s">
        <v>74</v>
      </c>
      <c r="BH354" t="s">
        <v>74</v>
      </c>
      <c r="BI354">
        <v>16</v>
      </c>
      <c r="BJ354" t="s">
        <v>4143</v>
      </c>
      <c r="BK354" t="s">
        <v>98</v>
      </c>
      <c r="BL354" t="s">
        <v>4144</v>
      </c>
      <c r="BM354" t="s">
        <v>6763</v>
      </c>
      <c r="BN354" t="s">
        <v>74</v>
      </c>
      <c r="BO354" t="s">
        <v>74</v>
      </c>
      <c r="BP354" t="s">
        <v>74</v>
      </c>
      <c r="BQ354" t="s">
        <v>74</v>
      </c>
      <c r="BR354" t="s">
        <v>101</v>
      </c>
      <c r="BS354" t="s">
        <v>6795</v>
      </c>
      <c r="BT354" t="str">
        <f>HYPERLINK("https%3A%2F%2Fwww.webofscience.com%2Fwos%2Fwoscc%2Ffull-record%2FWOS:000271557600011","View Full Record in Web of Science")</f>
        <v>View Full Record in Web of Science</v>
      </c>
    </row>
    <row r="355" spans="1:72" x14ac:dyDescent="0.15">
      <c r="A355" t="s">
        <v>72</v>
      </c>
      <c r="B355" t="s">
        <v>6796</v>
      </c>
      <c r="C355" t="s">
        <v>74</v>
      </c>
      <c r="D355" t="s">
        <v>74</v>
      </c>
      <c r="E355" t="s">
        <v>74</v>
      </c>
      <c r="F355" t="s">
        <v>6797</v>
      </c>
      <c r="G355" t="s">
        <v>74</v>
      </c>
      <c r="H355" t="s">
        <v>74</v>
      </c>
      <c r="I355" t="s">
        <v>6798</v>
      </c>
      <c r="J355" t="s">
        <v>4127</v>
      </c>
      <c r="K355" t="s">
        <v>74</v>
      </c>
      <c r="L355" t="s">
        <v>74</v>
      </c>
      <c r="M355" t="s">
        <v>78</v>
      </c>
      <c r="N355" t="s">
        <v>79</v>
      </c>
      <c r="O355" t="s">
        <v>74</v>
      </c>
      <c r="P355" t="s">
        <v>74</v>
      </c>
      <c r="Q355" t="s">
        <v>74</v>
      </c>
      <c r="R355" t="s">
        <v>74</v>
      </c>
      <c r="S355" t="s">
        <v>74</v>
      </c>
      <c r="T355" t="s">
        <v>6799</v>
      </c>
      <c r="U355" t="s">
        <v>6800</v>
      </c>
      <c r="V355" t="s">
        <v>6801</v>
      </c>
      <c r="W355" t="s">
        <v>6802</v>
      </c>
      <c r="X355" t="s">
        <v>6803</v>
      </c>
      <c r="Y355" t="s">
        <v>6804</v>
      </c>
      <c r="Z355" t="s">
        <v>1357</v>
      </c>
      <c r="AA355" t="s">
        <v>6805</v>
      </c>
      <c r="AB355" t="s">
        <v>6806</v>
      </c>
      <c r="AC355" t="s">
        <v>74</v>
      </c>
      <c r="AD355" t="s">
        <v>74</v>
      </c>
      <c r="AE355" t="s">
        <v>74</v>
      </c>
      <c r="AF355" t="s">
        <v>74</v>
      </c>
      <c r="AG355">
        <v>67</v>
      </c>
      <c r="AH355">
        <v>9</v>
      </c>
      <c r="AI355">
        <v>11</v>
      </c>
      <c r="AJ355">
        <v>2</v>
      </c>
      <c r="AK355">
        <v>20</v>
      </c>
      <c r="AL355" t="s">
        <v>305</v>
      </c>
      <c r="AM355" t="s">
        <v>281</v>
      </c>
      <c r="AN355" t="s">
        <v>306</v>
      </c>
      <c r="AO355" t="s">
        <v>4138</v>
      </c>
      <c r="AP355" t="s">
        <v>4139</v>
      </c>
      <c r="AQ355" t="s">
        <v>74</v>
      </c>
      <c r="AR355" t="s">
        <v>4140</v>
      </c>
      <c r="AS355" t="s">
        <v>4141</v>
      </c>
      <c r="AT355" t="s">
        <v>6674</v>
      </c>
      <c r="AU355">
        <v>2009</v>
      </c>
      <c r="AV355">
        <v>266</v>
      </c>
      <c r="AW355" t="s">
        <v>6761</v>
      </c>
      <c r="AX355" t="s">
        <v>74</v>
      </c>
      <c r="AY355" t="s">
        <v>74</v>
      </c>
      <c r="AZ355" t="s">
        <v>74</v>
      </c>
      <c r="BA355" t="s">
        <v>74</v>
      </c>
      <c r="BB355">
        <v>198</v>
      </c>
      <c r="BC355">
        <v>211</v>
      </c>
      <c r="BD355" t="s">
        <v>74</v>
      </c>
      <c r="BE355" t="s">
        <v>6807</v>
      </c>
      <c r="BF355" t="str">
        <f>HYPERLINK("http://dx.doi.org/10.1016/j.margeo.2009.08.006","http://dx.doi.org/10.1016/j.margeo.2009.08.006")</f>
        <v>http://dx.doi.org/10.1016/j.margeo.2009.08.006</v>
      </c>
      <c r="BG355" t="s">
        <v>74</v>
      </c>
      <c r="BH355" t="s">
        <v>74</v>
      </c>
      <c r="BI355">
        <v>14</v>
      </c>
      <c r="BJ355" t="s">
        <v>4143</v>
      </c>
      <c r="BK355" t="s">
        <v>98</v>
      </c>
      <c r="BL355" t="s">
        <v>4144</v>
      </c>
      <c r="BM355" t="s">
        <v>6763</v>
      </c>
      <c r="BN355" t="s">
        <v>74</v>
      </c>
      <c r="BO355" t="s">
        <v>74</v>
      </c>
      <c r="BP355" t="s">
        <v>74</v>
      </c>
      <c r="BQ355" t="s">
        <v>74</v>
      </c>
      <c r="BR355" t="s">
        <v>101</v>
      </c>
      <c r="BS355" t="s">
        <v>6808</v>
      </c>
      <c r="BT355" t="str">
        <f>HYPERLINK("https%3A%2F%2Fwww.webofscience.com%2Fwos%2Fwoscc%2Ffull-record%2FWOS:000271557600014","View Full Record in Web of Science")</f>
        <v>View Full Record in Web of Science</v>
      </c>
    </row>
    <row r="356" spans="1:72" x14ac:dyDescent="0.15">
      <c r="A356" t="s">
        <v>72</v>
      </c>
      <c r="B356" t="s">
        <v>6809</v>
      </c>
      <c r="C356" t="s">
        <v>74</v>
      </c>
      <c r="D356" t="s">
        <v>74</v>
      </c>
      <c r="E356" t="s">
        <v>74</v>
      </c>
      <c r="F356" t="s">
        <v>6810</v>
      </c>
      <c r="G356" t="s">
        <v>74</v>
      </c>
      <c r="H356" t="s">
        <v>74</v>
      </c>
      <c r="I356" t="s">
        <v>6811</v>
      </c>
      <c r="J356" t="s">
        <v>522</v>
      </c>
      <c r="K356" t="s">
        <v>74</v>
      </c>
      <c r="L356" t="s">
        <v>74</v>
      </c>
      <c r="M356" t="s">
        <v>78</v>
      </c>
      <c r="N356" t="s">
        <v>79</v>
      </c>
      <c r="O356" t="s">
        <v>74</v>
      </c>
      <c r="P356" t="s">
        <v>74</v>
      </c>
      <c r="Q356" t="s">
        <v>74</v>
      </c>
      <c r="R356" t="s">
        <v>74</v>
      </c>
      <c r="S356" t="s">
        <v>74</v>
      </c>
      <c r="T356" t="s">
        <v>74</v>
      </c>
      <c r="U356" t="s">
        <v>6812</v>
      </c>
      <c r="V356" t="s">
        <v>6813</v>
      </c>
      <c r="W356" t="s">
        <v>6814</v>
      </c>
      <c r="X356" t="s">
        <v>6815</v>
      </c>
      <c r="Y356" t="s">
        <v>6816</v>
      </c>
      <c r="Z356" t="s">
        <v>6817</v>
      </c>
      <c r="AA356" t="s">
        <v>6818</v>
      </c>
      <c r="AB356" t="s">
        <v>6819</v>
      </c>
      <c r="AC356" t="s">
        <v>6820</v>
      </c>
      <c r="AD356" t="s">
        <v>6821</v>
      </c>
      <c r="AE356" t="s">
        <v>6822</v>
      </c>
      <c r="AF356" t="s">
        <v>74</v>
      </c>
      <c r="AG356">
        <v>31</v>
      </c>
      <c r="AH356">
        <v>709</v>
      </c>
      <c r="AI356">
        <v>830</v>
      </c>
      <c r="AJ356">
        <v>3</v>
      </c>
      <c r="AK356">
        <v>367</v>
      </c>
      <c r="AL356" t="s">
        <v>2890</v>
      </c>
      <c r="AM356" t="s">
        <v>433</v>
      </c>
      <c r="AN356" t="s">
        <v>3957</v>
      </c>
      <c r="AO356" t="s">
        <v>532</v>
      </c>
      <c r="AP356" t="s">
        <v>533</v>
      </c>
      <c r="AQ356" t="s">
        <v>74</v>
      </c>
      <c r="AR356" t="s">
        <v>522</v>
      </c>
      <c r="AS356" t="s">
        <v>534</v>
      </c>
      <c r="AT356" t="s">
        <v>6674</v>
      </c>
      <c r="AU356">
        <v>2009</v>
      </c>
      <c r="AV356">
        <v>461</v>
      </c>
      <c r="AW356">
        <v>7266</v>
      </c>
      <c r="AX356" t="s">
        <v>74</v>
      </c>
      <c r="AY356" t="s">
        <v>74</v>
      </c>
      <c r="AZ356" t="s">
        <v>74</v>
      </c>
      <c r="BA356" t="s">
        <v>74</v>
      </c>
      <c r="BB356">
        <v>971</v>
      </c>
      <c r="BC356">
        <v>975</v>
      </c>
      <c r="BD356" t="s">
        <v>74</v>
      </c>
      <c r="BE356" t="s">
        <v>6823</v>
      </c>
      <c r="BF356" t="str">
        <f>HYPERLINK("http://dx.doi.org/10.1038/nature08471","http://dx.doi.org/10.1038/nature08471")</f>
        <v>http://dx.doi.org/10.1038/nature08471</v>
      </c>
      <c r="BG356" t="s">
        <v>74</v>
      </c>
      <c r="BH356" t="s">
        <v>74</v>
      </c>
      <c r="BI356">
        <v>5</v>
      </c>
      <c r="BJ356" t="s">
        <v>388</v>
      </c>
      <c r="BK356" t="s">
        <v>98</v>
      </c>
      <c r="BL356" t="s">
        <v>389</v>
      </c>
      <c r="BM356" t="s">
        <v>6824</v>
      </c>
      <c r="BN356">
        <v>19776741</v>
      </c>
      <c r="BO356" t="s">
        <v>74</v>
      </c>
      <c r="BP356" t="s">
        <v>74</v>
      </c>
      <c r="BQ356" t="s">
        <v>74</v>
      </c>
      <c r="BR356" t="s">
        <v>101</v>
      </c>
      <c r="BS356" t="s">
        <v>6825</v>
      </c>
      <c r="BT356" t="str">
        <f>HYPERLINK("https%3A%2F%2Fwww.webofscience.com%2Fwos%2Fwoscc%2Ffull-record%2FWOS:000270817700045","View Full Record in Web of Science")</f>
        <v>View Full Record in Web of Science</v>
      </c>
    </row>
    <row r="357" spans="1:72" x14ac:dyDescent="0.15">
      <c r="A357" t="s">
        <v>72</v>
      </c>
      <c r="B357" t="s">
        <v>6826</v>
      </c>
      <c r="C357" t="s">
        <v>74</v>
      </c>
      <c r="D357" t="s">
        <v>74</v>
      </c>
      <c r="E357" t="s">
        <v>74</v>
      </c>
      <c r="F357" t="s">
        <v>6827</v>
      </c>
      <c r="G357" t="s">
        <v>74</v>
      </c>
      <c r="H357" t="s">
        <v>74</v>
      </c>
      <c r="I357" t="s">
        <v>6828</v>
      </c>
      <c r="J357" t="s">
        <v>268</v>
      </c>
      <c r="K357" t="s">
        <v>74</v>
      </c>
      <c r="L357" t="s">
        <v>74</v>
      </c>
      <c r="M357" t="s">
        <v>78</v>
      </c>
      <c r="N357" t="s">
        <v>297</v>
      </c>
      <c r="O357" t="s">
        <v>74</v>
      </c>
      <c r="P357" t="s">
        <v>74</v>
      </c>
      <c r="Q357" t="s">
        <v>74</v>
      </c>
      <c r="R357" t="s">
        <v>74</v>
      </c>
      <c r="S357" t="s">
        <v>74</v>
      </c>
      <c r="T357" t="s">
        <v>6829</v>
      </c>
      <c r="U357" t="s">
        <v>6830</v>
      </c>
      <c r="V357" t="s">
        <v>6831</v>
      </c>
      <c r="W357" t="s">
        <v>6832</v>
      </c>
      <c r="X357" t="s">
        <v>6833</v>
      </c>
      <c r="Y357" t="s">
        <v>6834</v>
      </c>
      <c r="Z357" t="s">
        <v>6835</v>
      </c>
      <c r="AA357" t="s">
        <v>6836</v>
      </c>
      <c r="AB357" t="s">
        <v>6837</v>
      </c>
      <c r="AC357" t="s">
        <v>6838</v>
      </c>
      <c r="AD357" t="s">
        <v>6839</v>
      </c>
      <c r="AE357" t="s">
        <v>6840</v>
      </c>
      <c r="AF357" t="s">
        <v>74</v>
      </c>
      <c r="AG357">
        <v>110</v>
      </c>
      <c r="AH357">
        <v>1086</v>
      </c>
      <c r="AI357">
        <v>1195</v>
      </c>
      <c r="AJ357">
        <v>4</v>
      </c>
      <c r="AK357">
        <v>119</v>
      </c>
      <c r="AL357" t="s">
        <v>305</v>
      </c>
      <c r="AM357" t="s">
        <v>281</v>
      </c>
      <c r="AN357" t="s">
        <v>306</v>
      </c>
      <c r="AO357" t="s">
        <v>283</v>
      </c>
      <c r="AP357" t="s">
        <v>284</v>
      </c>
      <c r="AQ357" t="s">
        <v>74</v>
      </c>
      <c r="AR357" t="s">
        <v>285</v>
      </c>
      <c r="AS357" t="s">
        <v>286</v>
      </c>
      <c r="AT357" t="s">
        <v>6674</v>
      </c>
      <c r="AU357">
        <v>2009</v>
      </c>
      <c r="AV357">
        <v>281</v>
      </c>
      <c r="AW357" t="s">
        <v>288</v>
      </c>
      <c r="AX357" t="s">
        <v>74</v>
      </c>
      <c r="AY357" t="s">
        <v>74</v>
      </c>
      <c r="AZ357" t="s">
        <v>1546</v>
      </c>
      <c r="BA357" t="s">
        <v>74</v>
      </c>
      <c r="BB357">
        <v>180</v>
      </c>
      <c r="BC357">
        <v>195</v>
      </c>
      <c r="BD357" t="s">
        <v>74</v>
      </c>
      <c r="BE357" t="s">
        <v>6841</v>
      </c>
      <c r="BF357" t="str">
        <f>HYPERLINK("http://dx.doi.org/10.1016/j.palaeo.2007.10.032","http://dx.doi.org/10.1016/j.palaeo.2007.10.032")</f>
        <v>http://dx.doi.org/10.1016/j.palaeo.2007.10.032</v>
      </c>
      <c r="BG357" t="s">
        <v>74</v>
      </c>
      <c r="BH357" t="s">
        <v>74</v>
      </c>
      <c r="BI357">
        <v>16</v>
      </c>
      <c r="BJ357" t="s">
        <v>290</v>
      </c>
      <c r="BK357" t="s">
        <v>98</v>
      </c>
      <c r="BL357" t="s">
        <v>291</v>
      </c>
      <c r="BM357" t="s">
        <v>6842</v>
      </c>
      <c r="BN357" t="s">
        <v>74</v>
      </c>
      <c r="BO357" t="s">
        <v>74</v>
      </c>
      <c r="BP357" t="s">
        <v>74</v>
      </c>
      <c r="BQ357" t="s">
        <v>74</v>
      </c>
      <c r="BR357" t="s">
        <v>101</v>
      </c>
      <c r="BS357" t="s">
        <v>6843</v>
      </c>
      <c r="BT357" t="str">
        <f>HYPERLINK("https%3A%2F%2Fwww.webofscience.com%2Fwos%2Fwoscc%2Ffull-record%2FWOS:000271364500002","View Full Record in Web of Science")</f>
        <v>View Full Record in Web of Science</v>
      </c>
    </row>
    <row r="358" spans="1:72" x14ac:dyDescent="0.15">
      <c r="A358" t="s">
        <v>72</v>
      </c>
      <c r="B358" t="s">
        <v>6844</v>
      </c>
      <c r="C358" t="s">
        <v>74</v>
      </c>
      <c r="D358" t="s">
        <v>74</v>
      </c>
      <c r="E358" t="s">
        <v>74</v>
      </c>
      <c r="F358" t="s">
        <v>6845</v>
      </c>
      <c r="G358" t="s">
        <v>74</v>
      </c>
      <c r="H358" t="s">
        <v>74</v>
      </c>
      <c r="I358" t="s">
        <v>6846</v>
      </c>
      <c r="J358" t="s">
        <v>447</v>
      </c>
      <c r="K358" t="s">
        <v>74</v>
      </c>
      <c r="L358" t="s">
        <v>74</v>
      </c>
      <c r="M358" t="s">
        <v>78</v>
      </c>
      <c r="N358" t="s">
        <v>79</v>
      </c>
      <c r="O358" t="s">
        <v>74</v>
      </c>
      <c r="P358" t="s">
        <v>74</v>
      </c>
      <c r="Q358" t="s">
        <v>74</v>
      </c>
      <c r="R358" t="s">
        <v>74</v>
      </c>
      <c r="S358" t="s">
        <v>74</v>
      </c>
      <c r="T358" t="s">
        <v>74</v>
      </c>
      <c r="U358" t="s">
        <v>6847</v>
      </c>
      <c r="V358" t="s">
        <v>6848</v>
      </c>
      <c r="W358" t="s">
        <v>6849</v>
      </c>
      <c r="X358" t="s">
        <v>6850</v>
      </c>
      <c r="Y358" t="s">
        <v>6851</v>
      </c>
      <c r="Z358" t="s">
        <v>6852</v>
      </c>
      <c r="AA358" t="s">
        <v>6853</v>
      </c>
      <c r="AB358" t="s">
        <v>6854</v>
      </c>
      <c r="AC358" t="s">
        <v>6855</v>
      </c>
      <c r="AD358" t="s">
        <v>5584</v>
      </c>
      <c r="AE358" t="s">
        <v>6856</v>
      </c>
      <c r="AF358" t="s">
        <v>74</v>
      </c>
      <c r="AG358">
        <v>55</v>
      </c>
      <c r="AH358">
        <v>69</v>
      </c>
      <c r="AI358">
        <v>72</v>
      </c>
      <c r="AJ358">
        <v>0</v>
      </c>
      <c r="AK358">
        <v>13</v>
      </c>
      <c r="AL358" t="s">
        <v>226</v>
      </c>
      <c r="AM358" t="s">
        <v>227</v>
      </c>
      <c r="AN358" t="s">
        <v>228</v>
      </c>
      <c r="AO358" t="s">
        <v>458</v>
      </c>
      <c r="AP358" t="s">
        <v>459</v>
      </c>
      <c r="AQ358" t="s">
        <v>74</v>
      </c>
      <c r="AR358" t="s">
        <v>460</v>
      </c>
      <c r="AS358" t="s">
        <v>461</v>
      </c>
      <c r="AT358" t="s">
        <v>6857</v>
      </c>
      <c r="AU358">
        <v>2009</v>
      </c>
      <c r="AV358">
        <v>114</v>
      </c>
      <c r="AW358" t="s">
        <v>74</v>
      </c>
      <c r="AX358" t="s">
        <v>74</v>
      </c>
      <c r="AY358" t="s">
        <v>74</v>
      </c>
      <c r="AZ358" t="s">
        <v>74</v>
      </c>
      <c r="BA358" t="s">
        <v>74</v>
      </c>
      <c r="BB358" t="s">
        <v>74</v>
      </c>
      <c r="BC358" t="s">
        <v>74</v>
      </c>
      <c r="BD358" t="s">
        <v>6858</v>
      </c>
      <c r="BE358" t="s">
        <v>6859</v>
      </c>
      <c r="BF358" t="str">
        <f>HYPERLINK("http://dx.doi.org/10.1029/2008JF001204","http://dx.doi.org/10.1029/2008JF001204")</f>
        <v>http://dx.doi.org/10.1029/2008JF001204</v>
      </c>
      <c r="BG358" t="s">
        <v>74</v>
      </c>
      <c r="BH358" t="s">
        <v>74</v>
      </c>
      <c r="BI358">
        <v>18</v>
      </c>
      <c r="BJ358" t="s">
        <v>464</v>
      </c>
      <c r="BK358" t="s">
        <v>98</v>
      </c>
      <c r="BL358" t="s">
        <v>465</v>
      </c>
      <c r="BM358" t="s">
        <v>6860</v>
      </c>
      <c r="BN358" t="s">
        <v>74</v>
      </c>
      <c r="BO358" t="s">
        <v>239</v>
      </c>
      <c r="BP358" t="s">
        <v>74</v>
      </c>
      <c r="BQ358" t="s">
        <v>74</v>
      </c>
      <c r="BR358" t="s">
        <v>101</v>
      </c>
      <c r="BS358" t="s">
        <v>6861</v>
      </c>
      <c r="BT358" t="str">
        <f>HYPERLINK("https%3A%2F%2Fwww.webofscience.com%2Fwos%2Fwoscc%2Ffull-record%2FWOS:000270943900001","View Full Record in Web of Science")</f>
        <v>View Full Record in Web of Science</v>
      </c>
    </row>
    <row r="359" spans="1:72" x14ac:dyDescent="0.15">
      <c r="A359" t="s">
        <v>72</v>
      </c>
      <c r="B359" t="s">
        <v>6862</v>
      </c>
      <c r="C359" t="s">
        <v>74</v>
      </c>
      <c r="D359" t="s">
        <v>74</v>
      </c>
      <c r="E359" t="s">
        <v>74</v>
      </c>
      <c r="F359" t="s">
        <v>6863</v>
      </c>
      <c r="G359" t="s">
        <v>74</v>
      </c>
      <c r="H359" t="s">
        <v>74</v>
      </c>
      <c r="I359" t="s">
        <v>6864</v>
      </c>
      <c r="J359" t="s">
        <v>542</v>
      </c>
      <c r="K359" t="s">
        <v>74</v>
      </c>
      <c r="L359" t="s">
        <v>74</v>
      </c>
      <c r="M359" t="s">
        <v>78</v>
      </c>
      <c r="N359" t="s">
        <v>79</v>
      </c>
      <c r="O359" t="s">
        <v>74</v>
      </c>
      <c r="P359" t="s">
        <v>74</v>
      </c>
      <c r="Q359" t="s">
        <v>74</v>
      </c>
      <c r="R359" t="s">
        <v>74</v>
      </c>
      <c r="S359" t="s">
        <v>74</v>
      </c>
      <c r="T359" t="s">
        <v>6865</v>
      </c>
      <c r="U359" t="s">
        <v>6866</v>
      </c>
      <c r="V359" t="s">
        <v>6867</v>
      </c>
      <c r="W359" t="s">
        <v>6868</v>
      </c>
      <c r="X359" t="s">
        <v>6869</v>
      </c>
      <c r="Y359" t="s">
        <v>6870</v>
      </c>
      <c r="Z359" t="s">
        <v>6871</v>
      </c>
      <c r="AA359" t="s">
        <v>6872</v>
      </c>
      <c r="AB359" t="s">
        <v>74</v>
      </c>
      <c r="AC359" t="s">
        <v>6873</v>
      </c>
      <c r="AD359" t="s">
        <v>6874</v>
      </c>
      <c r="AE359" t="s">
        <v>6875</v>
      </c>
      <c r="AF359" t="s">
        <v>74</v>
      </c>
      <c r="AG359">
        <v>26</v>
      </c>
      <c r="AH359">
        <v>55</v>
      </c>
      <c r="AI359">
        <v>61</v>
      </c>
      <c r="AJ359">
        <v>0</v>
      </c>
      <c r="AK359">
        <v>12</v>
      </c>
      <c r="AL359" t="s">
        <v>226</v>
      </c>
      <c r="AM359" t="s">
        <v>227</v>
      </c>
      <c r="AN359" t="s">
        <v>228</v>
      </c>
      <c r="AO359" t="s">
        <v>74</v>
      </c>
      <c r="AP359" t="s">
        <v>553</v>
      </c>
      <c r="AQ359" t="s">
        <v>74</v>
      </c>
      <c r="AR359" t="s">
        <v>554</v>
      </c>
      <c r="AS359" t="s">
        <v>555</v>
      </c>
      <c r="AT359" t="s">
        <v>6876</v>
      </c>
      <c r="AU359">
        <v>2009</v>
      </c>
      <c r="AV359">
        <v>10</v>
      </c>
      <c r="AW359" t="s">
        <v>74</v>
      </c>
      <c r="AX359" t="s">
        <v>74</v>
      </c>
      <c r="AY359" t="s">
        <v>74</v>
      </c>
      <c r="AZ359" t="s">
        <v>74</v>
      </c>
      <c r="BA359" t="s">
        <v>74</v>
      </c>
      <c r="BB359" t="s">
        <v>74</v>
      </c>
      <c r="BC359" t="s">
        <v>74</v>
      </c>
      <c r="BD359" t="s">
        <v>6877</v>
      </c>
      <c r="BE359" t="s">
        <v>6878</v>
      </c>
      <c r="BF359" t="str">
        <f>HYPERLINK("http://dx.doi.org/10.1029/2009GC002642","http://dx.doi.org/10.1029/2009GC002642")</f>
        <v>http://dx.doi.org/10.1029/2009GC002642</v>
      </c>
      <c r="BG359" t="s">
        <v>74</v>
      </c>
      <c r="BH359" t="s">
        <v>74</v>
      </c>
      <c r="BI359">
        <v>11</v>
      </c>
      <c r="BJ359" t="s">
        <v>261</v>
      </c>
      <c r="BK359" t="s">
        <v>98</v>
      </c>
      <c r="BL359" t="s">
        <v>261</v>
      </c>
      <c r="BM359" t="s">
        <v>6879</v>
      </c>
      <c r="BN359" t="s">
        <v>74</v>
      </c>
      <c r="BO359" t="s">
        <v>239</v>
      </c>
      <c r="BP359" t="s">
        <v>74</v>
      </c>
      <c r="BQ359" t="s">
        <v>74</v>
      </c>
      <c r="BR359" t="s">
        <v>101</v>
      </c>
      <c r="BS359" t="s">
        <v>6880</v>
      </c>
      <c r="BT359" t="str">
        <f>HYPERLINK("https%3A%2F%2Fwww.webofscience.com%2Fwos%2Fwoscc%2Ffull-record%2FWOS:000270942400003","View Full Record in Web of Science")</f>
        <v>View Full Record in Web of Science</v>
      </c>
    </row>
    <row r="360" spans="1:72" x14ac:dyDescent="0.15">
      <c r="A360" t="s">
        <v>72</v>
      </c>
      <c r="B360" t="s">
        <v>6881</v>
      </c>
      <c r="C360" t="s">
        <v>74</v>
      </c>
      <c r="D360" t="s">
        <v>74</v>
      </c>
      <c r="E360" t="s">
        <v>74</v>
      </c>
      <c r="F360" t="s">
        <v>6882</v>
      </c>
      <c r="G360" t="s">
        <v>74</v>
      </c>
      <c r="H360" t="s">
        <v>74</v>
      </c>
      <c r="I360" t="s">
        <v>6883</v>
      </c>
      <c r="J360" t="s">
        <v>721</v>
      </c>
      <c r="K360" t="s">
        <v>74</v>
      </c>
      <c r="L360" t="s">
        <v>74</v>
      </c>
      <c r="M360" t="s">
        <v>78</v>
      </c>
      <c r="N360" t="s">
        <v>79</v>
      </c>
      <c r="O360" t="s">
        <v>74</v>
      </c>
      <c r="P360" t="s">
        <v>74</v>
      </c>
      <c r="Q360" t="s">
        <v>74</v>
      </c>
      <c r="R360" t="s">
        <v>74</v>
      </c>
      <c r="S360" t="s">
        <v>74</v>
      </c>
      <c r="T360" t="s">
        <v>74</v>
      </c>
      <c r="U360" t="s">
        <v>6884</v>
      </c>
      <c r="V360" t="s">
        <v>6885</v>
      </c>
      <c r="W360" t="s">
        <v>6886</v>
      </c>
      <c r="X360" t="s">
        <v>6887</v>
      </c>
      <c r="Y360" t="s">
        <v>6888</v>
      </c>
      <c r="Z360" t="s">
        <v>6889</v>
      </c>
      <c r="AA360" t="s">
        <v>6890</v>
      </c>
      <c r="AB360" t="s">
        <v>6891</v>
      </c>
      <c r="AC360" t="s">
        <v>6892</v>
      </c>
      <c r="AD360" t="s">
        <v>6893</v>
      </c>
      <c r="AE360" t="s">
        <v>6894</v>
      </c>
      <c r="AF360" t="s">
        <v>74</v>
      </c>
      <c r="AG360">
        <v>24</v>
      </c>
      <c r="AH360">
        <v>45</v>
      </c>
      <c r="AI360">
        <v>48</v>
      </c>
      <c r="AJ360">
        <v>0</v>
      </c>
      <c r="AK360">
        <v>14</v>
      </c>
      <c r="AL360" t="s">
        <v>226</v>
      </c>
      <c r="AM360" t="s">
        <v>227</v>
      </c>
      <c r="AN360" t="s">
        <v>228</v>
      </c>
      <c r="AO360" t="s">
        <v>731</v>
      </c>
      <c r="AP360" t="s">
        <v>74</v>
      </c>
      <c r="AQ360" t="s">
        <v>74</v>
      </c>
      <c r="AR360" t="s">
        <v>733</v>
      </c>
      <c r="AS360" t="s">
        <v>734</v>
      </c>
      <c r="AT360" t="s">
        <v>6876</v>
      </c>
      <c r="AU360">
        <v>2009</v>
      </c>
      <c r="AV360">
        <v>36</v>
      </c>
      <c r="AW360" t="s">
        <v>74</v>
      </c>
      <c r="AX360" t="s">
        <v>74</v>
      </c>
      <c r="AY360" t="s">
        <v>74</v>
      </c>
      <c r="AZ360" t="s">
        <v>74</v>
      </c>
      <c r="BA360" t="s">
        <v>74</v>
      </c>
      <c r="BB360" t="s">
        <v>74</v>
      </c>
      <c r="BC360" t="s">
        <v>74</v>
      </c>
      <c r="BD360" t="s">
        <v>6895</v>
      </c>
      <c r="BE360" t="s">
        <v>6896</v>
      </c>
      <c r="BF360" t="str">
        <f>HYPERLINK("http://dx.doi.org/10.1029/2009GL039663","http://dx.doi.org/10.1029/2009GL039663")</f>
        <v>http://dx.doi.org/10.1029/2009GL039663</v>
      </c>
      <c r="BG360" t="s">
        <v>74</v>
      </c>
      <c r="BH360" t="s">
        <v>74</v>
      </c>
      <c r="BI360">
        <v>5</v>
      </c>
      <c r="BJ360" t="s">
        <v>464</v>
      </c>
      <c r="BK360" t="s">
        <v>98</v>
      </c>
      <c r="BL360" t="s">
        <v>465</v>
      </c>
      <c r="BM360" t="s">
        <v>6897</v>
      </c>
      <c r="BN360" t="s">
        <v>74</v>
      </c>
      <c r="BO360" t="s">
        <v>3849</v>
      </c>
      <c r="BP360" t="s">
        <v>74</v>
      </c>
      <c r="BQ360" t="s">
        <v>74</v>
      </c>
      <c r="BR360" t="s">
        <v>101</v>
      </c>
      <c r="BS360" t="s">
        <v>6898</v>
      </c>
      <c r="BT360" t="str">
        <f>HYPERLINK("https%3A%2F%2Fwww.webofscience.com%2Fwos%2Fwoscc%2Ffull-record%2FWOS:000270942700002","View Full Record in Web of Science")</f>
        <v>View Full Record in Web of Science</v>
      </c>
    </row>
    <row r="361" spans="1:72" x14ac:dyDescent="0.15">
      <c r="A361" t="s">
        <v>72</v>
      </c>
      <c r="B361" t="s">
        <v>6899</v>
      </c>
      <c r="C361" t="s">
        <v>74</v>
      </c>
      <c r="D361" t="s">
        <v>74</v>
      </c>
      <c r="E361" t="s">
        <v>74</v>
      </c>
      <c r="F361" t="s">
        <v>6900</v>
      </c>
      <c r="G361" t="s">
        <v>74</v>
      </c>
      <c r="H361" t="s">
        <v>74</v>
      </c>
      <c r="I361" t="s">
        <v>6901</v>
      </c>
      <c r="J361" t="s">
        <v>721</v>
      </c>
      <c r="K361" t="s">
        <v>74</v>
      </c>
      <c r="L361" t="s">
        <v>74</v>
      </c>
      <c r="M361" t="s">
        <v>78</v>
      </c>
      <c r="N361" t="s">
        <v>79</v>
      </c>
      <c r="O361" t="s">
        <v>74</v>
      </c>
      <c r="P361" t="s">
        <v>74</v>
      </c>
      <c r="Q361" t="s">
        <v>74</v>
      </c>
      <c r="R361" t="s">
        <v>74</v>
      </c>
      <c r="S361" t="s">
        <v>74</v>
      </c>
      <c r="T361" t="s">
        <v>74</v>
      </c>
      <c r="U361" t="s">
        <v>6902</v>
      </c>
      <c r="V361" t="s">
        <v>6903</v>
      </c>
      <c r="W361" t="s">
        <v>6904</v>
      </c>
      <c r="X361" t="s">
        <v>6905</v>
      </c>
      <c r="Y361" t="s">
        <v>6906</v>
      </c>
      <c r="Z361" t="s">
        <v>6907</v>
      </c>
      <c r="AA361" t="s">
        <v>6908</v>
      </c>
      <c r="AB361" t="s">
        <v>74</v>
      </c>
      <c r="AC361" t="s">
        <v>6909</v>
      </c>
      <c r="AD361" t="s">
        <v>6910</v>
      </c>
      <c r="AE361" t="s">
        <v>6911</v>
      </c>
      <c r="AF361" t="s">
        <v>74</v>
      </c>
      <c r="AG361">
        <v>23</v>
      </c>
      <c r="AH361">
        <v>448</v>
      </c>
      <c r="AI361">
        <v>525</v>
      </c>
      <c r="AJ361">
        <v>8</v>
      </c>
      <c r="AK361">
        <v>167</v>
      </c>
      <c r="AL361" t="s">
        <v>226</v>
      </c>
      <c r="AM361" t="s">
        <v>227</v>
      </c>
      <c r="AN361" t="s">
        <v>228</v>
      </c>
      <c r="AO361" t="s">
        <v>731</v>
      </c>
      <c r="AP361" t="s">
        <v>732</v>
      </c>
      <c r="AQ361" t="s">
        <v>74</v>
      </c>
      <c r="AR361" t="s">
        <v>733</v>
      </c>
      <c r="AS361" t="s">
        <v>734</v>
      </c>
      <c r="AT361" t="s">
        <v>6876</v>
      </c>
      <c r="AU361">
        <v>2009</v>
      </c>
      <c r="AV361">
        <v>36</v>
      </c>
      <c r="AW361" t="s">
        <v>74</v>
      </c>
      <c r="AX361" t="s">
        <v>74</v>
      </c>
      <c r="AY361" t="s">
        <v>74</v>
      </c>
      <c r="AZ361" t="s">
        <v>74</v>
      </c>
      <c r="BA361" t="s">
        <v>74</v>
      </c>
      <c r="BB361" t="s">
        <v>74</v>
      </c>
      <c r="BC361" t="s">
        <v>74</v>
      </c>
      <c r="BD361" t="s">
        <v>6912</v>
      </c>
      <c r="BE361" t="s">
        <v>6913</v>
      </c>
      <c r="BF361" t="str">
        <f>HYPERLINK("http://dx.doi.org/10.1029/2009GL040222","http://dx.doi.org/10.1029/2009GL040222")</f>
        <v>http://dx.doi.org/10.1029/2009GL040222</v>
      </c>
      <c r="BG361" t="s">
        <v>74</v>
      </c>
      <c r="BH361" t="s">
        <v>74</v>
      </c>
      <c r="BI361">
        <v>4</v>
      </c>
      <c r="BJ361" t="s">
        <v>464</v>
      </c>
      <c r="BK361" t="s">
        <v>98</v>
      </c>
      <c r="BL361" t="s">
        <v>465</v>
      </c>
      <c r="BM361" t="s">
        <v>6897</v>
      </c>
      <c r="BN361" t="s">
        <v>74</v>
      </c>
      <c r="BO361" t="s">
        <v>467</v>
      </c>
      <c r="BP361" t="s">
        <v>74</v>
      </c>
      <c r="BQ361" t="s">
        <v>74</v>
      </c>
      <c r="BR361" t="s">
        <v>101</v>
      </c>
      <c r="BS361" t="s">
        <v>6914</v>
      </c>
      <c r="BT361" t="str">
        <f>HYPERLINK("https%3A%2F%2Fwww.webofscience.com%2Fwos%2Fwoscc%2Ffull-record%2FWOS:000270942700005","View Full Record in Web of Science")</f>
        <v>View Full Record in Web of Science</v>
      </c>
    </row>
    <row r="362" spans="1:72" x14ac:dyDescent="0.15">
      <c r="A362" t="s">
        <v>72</v>
      </c>
      <c r="B362" t="s">
        <v>6915</v>
      </c>
      <c r="C362" t="s">
        <v>74</v>
      </c>
      <c r="D362" t="s">
        <v>74</v>
      </c>
      <c r="E362" t="s">
        <v>74</v>
      </c>
      <c r="F362" t="s">
        <v>6916</v>
      </c>
      <c r="G362" t="s">
        <v>74</v>
      </c>
      <c r="H362" t="s">
        <v>74</v>
      </c>
      <c r="I362" t="s">
        <v>6917</v>
      </c>
      <c r="J362" t="s">
        <v>6918</v>
      </c>
      <c r="K362" t="s">
        <v>74</v>
      </c>
      <c r="L362" t="s">
        <v>74</v>
      </c>
      <c r="M362" t="s">
        <v>78</v>
      </c>
      <c r="N362" t="s">
        <v>79</v>
      </c>
      <c r="O362" t="s">
        <v>74</v>
      </c>
      <c r="P362" t="s">
        <v>74</v>
      </c>
      <c r="Q362" t="s">
        <v>74</v>
      </c>
      <c r="R362" t="s">
        <v>74</v>
      </c>
      <c r="S362" t="s">
        <v>74</v>
      </c>
      <c r="T362" t="s">
        <v>6919</v>
      </c>
      <c r="U362" t="s">
        <v>6920</v>
      </c>
      <c r="V362" t="s">
        <v>6921</v>
      </c>
      <c r="W362" t="s">
        <v>6922</v>
      </c>
      <c r="X362" t="s">
        <v>6923</v>
      </c>
      <c r="Y362" t="s">
        <v>6924</v>
      </c>
      <c r="Z362" t="s">
        <v>6925</v>
      </c>
      <c r="AA362" t="s">
        <v>6926</v>
      </c>
      <c r="AB362" t="s">
        <v>6927</v>
      </c>
      <c r="AC362" t="s">
        <v>74</v>
      </c>
      <c r="AD362" t="s">
        <v>74</v>
      </c>
      <c r="AE362" t="s">
        <v>74</v>
      </c>
      <c r="AF362" t="s">
        <v>74</v>
      </c>
      <c r="AG362">
        <v>32</v>
      </c>
      <c r="AH362">
        <v>16</v>
      </c>
      <c r="AI362">
        <v>16</v>
      </c>
      <c r="AJ362">
        <v>0</v>
      </c>
      <c r="AK362">
        <v>12</v>
      </c>
      <c r="AL362" t="s">
        <v>1978</v>
      </c>
      <c r="AM362" t="s">
        <v>1895</v>
      </c>
      <c r="AN362" t="s">
        <v>1979</v>
      </c>
      <c r="AO362" t="s">
        <v>6928</v>
      </c>
      <c r="AP362" t="s">
        <v>6929</v>
      </c>
      <c r="AQ362" t="s">
        <v>74</v>
      </c>
      <c r="AR362" t="s">
        <v>6930</v>
      </c>
      <c r="AS362" t="s">
        <v>6931</v>
      </c>
      <c r="AT362" t="s">
        <v>6932</v>
      </c>
      <c r="AU362">
        <v>2009</v>
      </c>
      <c r="AV362">
        <v>344</v>
      </c>
      <c r="AW362">
        <v>15</v>
      </c>
      <c r="AX362" t="s">
        <v>74</v>
      </c>
      <c r="AY362" t="s">
        <v>74</v>
      </c>
      <c r="AZ362" t="s">
        <v>74</v>
      </c>
      <c r="BA362" t="s">
        <v>74</v>
      </c>
      <c r="BB362">
        <v>2051</v>
      </c>
      <c r="BC362">
        <v>2055</v>
      </c>
      <c r="BD362" t="s">
        <v>74</v>
      </c>
      <c r="BE362" t="s">
        <v>6933</v>
      </c>
      <c r="BF362" t="str">
        <f>HYPERLINK("http://dx.doi.org/10.1016/j.carres.2009.06.022","http://dx.doi.org/10.1016/j.carres.2009.06.022")</f>
        <v>http://dx.doi.org/10.1016/j.carres.2009.06.022</v>
      </c>
      <c r="BG362" t="s">
        <v>74</v>
      </c>
      <c r="BH362" t="s">
        <v>74</v>
      </c>
      <c r="BI362">
        <v>5</v>
      </c>
      <c r="BJ362" t="s">
        <v>6934</v>
      </c>
      <c r="BK362" t="s">
        <v>98</v>
      </c>
      <c r="BL362" t="s">
        <v>6935</v>
      </c>
      <c r="BM362" t="s">
        <v>6936</v>
      </c>
      <c r="BN362">
        <v>19709648</v>
      </c>
      <c r="BO362" t="s">
        <v>74</v>
      </c>
      <c r="BP362" t="s">
        <v>74</v>
      </c>
      <c r="BQ362" t="s">
        <v>74</v>
      </c>
      <c r="BR362" t="s">
        <v>101</v>
      </c>
      <c r="BS362" t="s">
        <v>6937</v>
      </c>
      <c r="BT362" t="str">
        <f>HYPERLINK("https%3A%2F%2Fwww.webofscience.com%2Fwos%2Fwoscc%2Ffull-record%2FWOS:000271043300019","View Full Record in Web of Science")</f>
        <v>View Full Record in Web of Science</v>
      </c>
    </row>
    <row r="363" spans="1:72" x14ac:dyDescent="0.15">
      <c r="A363" t="s">
        <v>72</v>
      </c>
      <c r="B363" t="s">
        <v>6938</v>
      </c>
      <c r="C363" t="s">
        <v>74</v>
      </c>
      <c r="D363" t="s">
        <v>74</v>
      </c>
      <c r="E363" t="s">
        <v>74</v>
      </c>
      <c r="F363" t="s">
        <v>6939</v>
      </c>
      <c r="G363" t="s">
        <v>74</v>
      </c>
      <c r="H363" t="s">
        <v>74</v>
      </c>
      <c r="I363" t="s">
        <v>6940</v>
      </c>
      <c r="J363" t="s">
        <v>6941</v>
      </c>
      <c r="K363" t="s">
        <v>74</v>
      </c>
      <c r="L363" t="s">
        <v>74</v>
      </c>
      <c r="M363" t="s">
        <v>78</v>
      </c>
      <c r="N363" t="s">
        <v>79</v>
      </c>
      <c r="O363" t="s">
        <v>74</v>
      </c>
      <c r="P363" t="s">
        <v>74</v>
      </c>
      <c r="Q363" t="s">
        <v>74</v>
      </c>
      <c r="R363" t="s">
        <v>74</v>
      </c>
      <c r="S363" t="s">
        <v>74</v>
      </c>
      <c r="T363" t="s">
        <v>74</v>
      </c>
      <c r="U363" t="s">
        <v>6942</v>
      </c>
      <c r="V363" t="s">
        <v>6943</v>
      </c>
      <c r="W363" t="s">
        <v>6944</v>
      </c>
      <c r="X363" t="s">
        <v>6945</v>
      </c>
      <c r="Y363" t="s">
        <v>6946</v>
      </c>
      <c r="Z363" t="s">
        <v>6947</v>
      </c>
      <c r="AA363" t="s">
        <v>74</v>
      </c>
      <c r="AB363" t="s">
        <v>74</v>
      </c>
      <c r="AC363" t="s">
        <v>6948</v>
      </c>
      <c r="AD363" t="s">
        <v>6949</v>
      </c>
      <c r="AE363" t="s">
        <v>6950</v>
      </c>
      <c r="AF363" t="s">
        <v>74</v>
      </c>
      <c r="AG363">
        <v>39</v>
      </c>
      <c r="AH363">
        <v>21</v>
      </c>
      <c r="AI363">
        <v>21</v>
      </c>
      <c r="AJ363">
        <v>0</v>
      </c>
      <c r="AK363">
        <v>6</v>
      </c>
      <c r="AL363" t="s">
        <v>6951</v>
      </c>
      <c r="AM363" t="s">
        <v>227</v>
      </c>
      <c r="AN363" t="s">
        <v>6952</v>
      </c>
      <c r="AO363" t="s">
        <v>6953</v>
      </c>
      <c r="AP363" t="s">
        <v>6954</v>
      </c>
      <c r="AQ363" t="s">
        <v>74</v>
      </c>
      <c r="AR363" t="s">
        <v>6955</v>
      </c>
      <c r="AS363" t="s">
        <v>6956</v>
      </c>
      <c r="AT363" t="s">
        <v>6957</v>
      </c>
      <c r="AU363">
        <v>2009</v>
      </c>
      <c r="AV363">
        <v>48</v>
      </c>
      <c r="AW363">
        <v>29</v>
      </c>
      <c r="AX363" t="s">
        <v>74</v>
      </c>
      <c r="AY363" t="s">
        <v>74</v>
      </c>
      <c r="AZ363" t="s">
        <v>74</v>
      </c>
      <c r="BA363" t="s">
        <v>74</v>
      </c>
      <c r="BB363">
        <v>5567</v>
      </c>
      <c r="BC363">
        <v>5582</v>
      </c>
      <c r="BD363" t="s">
        <v>74</v>
      </c>
      <c r="BE363" t="s">
        <v>6958</v>
      </c>
      <c r="BF363" t="str">
        <f>HYPERLINK("http://dx.doi.org/10.1364/AO.48.005567","http://dx.doi.org/10.1364/AO.48.005567")</f>
        <v>http://dx.doi.org/10.1364/AO.48.005567</v>
      </c>
      <c r="BG363" t="s">
        <v>74</v>
      </c>
      <c r="BH363" t="s">
        <v>74</v>
      </c>
      <c r="BI363">
        <v>16</v>
      </c>
      <c r="BJ363" t="s">
        <v>6959</v>
      </c>
      <c r="BK363" t="s">
        <v>98</v>
      </c>
      <c r="BL363" t="s">
        <v>6959</v>
      </c>
      <c r="BM363" t="s">
        <v>6960</v>
      </c>
      <c r="BN363">
        <v>19823241</v>
      </c>
      <c r="BO363" t="s">
        <v>74</v>
      </c>
      <c r="BP363" t="s">
        <v>74</v>
      </c>
      <c r="BQ363" t="s">
        <v>74</v>
      </c>
      <c r="BR363" t="s">
        <v>101</v>
      </c>
      <c r="BS363" t="s">
        <v>6961</v>
      </c>
      <c r="BT363" t="str">
        <f>HYPERLINK("https%3A%2F%2Fwww.webofscience.com%2Fwos%2Fwoscc%2Ffull-record%2FWOS:000270667800020","View Full Record in Web of Science")</f>
        <v>View Full Record in Web of Science</v>
      </c>
    </row>
    <row r="364" spans="1:72" x14ac:dyDescent="0.15">
      <c r="A364" t="s">
        <v>72</v>
      </c>
      <c r="B364" t="s">
        <v>6962</v>
      </c>
      <c r="C364" t="s">
        <v>74</v>
      </c>
      <c r="D364" t="s">
        <v>74</v>
      </c>
      <c r="E364" t="s">
        <v>74</v>
      </c>
      <c r="F364" t="s">
        <v>6963</v>
      </c>
      <c r="G364" t="s">
        <v>74</v>
      </c>
      <c r="H364" t="s">
        <v>74</v>
      </c>
      <c r="I364" t="s">
        <v>6964</v>
      </c>
      <c r="J364" t="s">
        <v>721</v>
      </c>
      <c r="K364" t="s">
        <v>74</v>
      </c>
      <c r="L364" t="s">
        <v>74</v>
      </c>
      <c r="M364" t="s">
        <v>78</v>
      </c>
      <c r="N364" t="s">
        <v>79</v>
      </c>
      <c r="O364" t="s">
        <v>74</v>
      </c>
      <c r="P364" t="s">
        <v>74</v>
      </c>
      <c r="Q364" t="s">
        <v>74</v>
      </c>
      <c r="R364" t="s">
        <v>74</v>
      </c>
      <c r="S364" t="s">
        <v>74</v>
      </c>
      <c r="T364" t="s">
        <v>74</v>
      </c>
      <c r="U364" t="s">
        <v>6965</v>
      </c>
      <c r="V364" t="s">
        <v>6966</v>
      </c>
      <c r="W364" t="s">
        <v>6967</v>
      </c>
      <c r="X364" t="s">
        <v>6968</v>
      </c>
      <c r="Y364" t="s">
        <v>6969</v>
      </c>
      <c r="Z364" t="s">
        <v>6970</v>
      </c>
      <c r="AA364" t="s">
        <v>6971</v>
      </c>
      <c r="AB364" t="s">
        <v>6972</v>
      </c>
      <c r="AC364" t="s">
        <v>6973</v>
      </c>
      <c r="AD364" t="s">
        <v>6974</v>
      </c>
      <c r="AE364" t="s">
        <v>6975</v>
      </c>
      <c r="AF364" t="s">
        <v>74</v>
      </c>
      <c r="AG364">
        <v>24</v>
      </c>
      <c r="AH364">
        <v>100</v>
      </c>
      <c r="AI364">
        <v>109</v>
      </c>
      <c r="AJ364">
        <v>0</v>
      </c>
      <c r="AK364">
        <v>8</v>
      </c>
      <c r="AL364" t="s">
        <v>226</v>
      </c>
      <c r="AM364" t="s">
        <v>227</v>
      </c>
      <c r="AN364" t="s">
        <v>228</v>
      </c>
      <c r="AO364" t="s">
        <v>731</v>
      </c>
      <c r="AP364" t="s">
        <v>732</v>
      </c>
      <c r="AQ364" t="s">
        <v>74</v>
      </c>
      <c r="AR364" t="s">
        <v>733</v>
      </c>
      <c r="AS364" t="s">
        <v>734</v>
      </c>
      <c r="AT364" t="s">
        <v>6976</v>
      </c>
      <c r="AU364">
        <v>2009</v>
      </c>
      <c r="AV364">
        <v>36</v>
      </c>
      <c r="AW364" t="s">
        <v>74</v>
      </c>
      <c r="AX364" t="s">
        <v>74</v>
      </c>
      <c r="AY364" t="s">
        <v>74</v>
      </c>
      <c r="AZ364" t="s">
        <v>74</v>
      </c>
      <c r="BA364" t="s">
        <v>74</v>
      </c>
      <c r="BB364" t="s">
        <v>74</v>
      </c>
      <c r="BC364" t="s">
        <v>74</v>
      </c>
      <c r="BD364" t="s">
        <v>6977</v>
      </c>
      <c r="BE364" t="s">
        <v>6978</v>
      </c>
      <c r="BF364" t="str">
        <f>HYPERLINK("http://dx.doi.org/10.1029/2009GL040236","http://dx.doi.org/10.1029/2009GL040236")</f>
        <v>http://dx.doi.org/10.1029/2009GL040236</v>
      </c>
      <c r="BG364" t="s">
        <v>74</v>
      </c>
      <c r="BH364" t="s">
        <v>74</v>
      </c>
      <c r="BI364">
        <v>4</v>
      </c>
      <c r="BJ364" t="s">
        <v>464</v>
      </c>
      <c r="BK364" t="s">
        <v>98</v>
      </c>
      <c r="BL364" t="s">
        <v>465</v>
      </c>
      <c r="BM364" t="s">
        <v>6979</v>
      </c>
      <c r="BN364" t="s">
        <v>74</v>
      </c>
      <c r="BO364" t="s">
        <v>577</v>
      </c>
      <c r="BP364" t="s">
        <v>74</v>
      </c>
      <c r="BQ364" t="s">
        <v>74</v>
      </c>
      <c r="BR364" t="s">
        <v>101</v>
      </c>
      <c r="BS364" t="s">
        <v>6980</v>
      </c>
      <c r="BT364" t="str">
        <f>HYPERLINK("https%3A%2F%2Fwww.webofscience.com%2Fwos%2Fwoscc%2Ffull-record%2FWOS:000270696700007","View Full Record in Web of Science")</f>
        <v>View Full Record in Web of Science</v>
      </c>
    </row>
    <row r="365" spans="1:72" x14ac:dyDescent="0.15">
      <c r="A365" t="s">
        <v>72</v>
      </c>
      <c r="B365" t="s">
        <v>6981</v>
      </c>
      <c r="C365" t="s">
        <v>74</v>
      </c>
      <c r="D365" t="s">
        <v>74</v>
      </c>
      <c r="E365" t="s">
        <v>74</v>
      </c>
      <c r="F365" t="s">
        <v>6982</v>
      </c>
      <c r="G365" t="s">
        <v>74</v>
      </c>
      <c r="H365" t="s">
        <v>74</v>
      </c>
      <c r="I365" t="s">
        <v>6983</v>
      </c>
      <c r="J365" t="s">
        <v>4236</v>
      </c>
      <c r="K365" t="s">
        <v>74</v>
      </c>
      <c r="L365" t="s">
        <v>74</v>
      </c>
      <c r="M365" t="s">
        <v>78</v>
      </c>
      <c r="N365" t="s">
        <v>79</v>
      </c>
      <c r="O365" t="s">
        <v>74</v>
      </c>
      <c r="P365" t="s">
        <v>74</v>
      </c>
      <c r="Q365" t="s">
        <v>74</v>
      </c>
      <c r="R365" t="s">
        <v>74</v>
      </c>
      <c r="S365" t="s">
        <v>74</v>
      </c>
      <c r="T365" t="s">
        <v>74</v>
      </c>
      <c r="U365" t="s">
        <v>6984</v>
      </c>
      <c r="V365" t="s">
        <v>6985</v>
      </c>
      <c r="W365" t="s">
        <v>6986</v>
      </c>
      <c r="X365" t="s">
        <v>6987</v>
      </c>
      <c r="Y365" t="s">
        <v>6988</v>
      </c>
      <c r="Z365" t="s">
        <v>6989</v>
      </c>
      <c r="AA365" t="s">
        <v>6990</v>
      </c>
      <c r="AB365" t="s">
        <v>6991</v>
      </c>
      <c r="AC365" t="s">
        <v>6992</v>
      </c>
      <c r="AD365" t="s">
        <v>6993</v>
      </c>
      <c r="AE365" t="s">
        <v>6994</v>
      </c>
      <c r="AF365" t="s">
        <v>74</v>
      </c>
      <c r="AG365">
        <v>60</v>
      </c>
      <c r="AH365">
        <v>700</v>
      </c>
      <c r="AI365">
        <v>849</v>
      </c>
      <c r="AJ365">
        <v>20</v>
      </c>
      <c r="AK365">
        <v>415</v>
      </c>
      <c r="AL365" t="s">
        <v>4248</v>
      </c>
      <c r="AM365" t="s">
        <v>227</v>
      </c>
      <c r="AN365" t="s">
        <v>4249</v>
      </c>
      <c r="AO365" t="s">
        <v>4250</v>
      </c>
      <c r="AP365" t="s">
        <v>6995</v>
      </c>
      <c r="AQ365" t="s">
        <v>74</v>
      </c>
      <c r="AR365" t="s">
        <v>4236</v>
      </c>
      <c r="AS365" t="s">
        <v>4251</v>
      </c>
      <c r="AT365" t="s">
        <v>6976</v>
      </c>
      <c r="AU365">
        <v>2009</v>
      </c>
      <c r="AV365">
        <v>326</v>
      </c>
      <c r="AW365">
        <v>5950</v>
      </c>
      <c r="AX365" t="s">
        <v>74</v>
      </c>
      <c r="AY365" t="s">
        <v>74</v>
      </c>
      <c r="AZ365" t="s">
        <v>74</v>
      </c>
      <c r="BA365" t="s">
        <v>74</v>
      </c>
      <c r="BB365">
        <v>248</v>
      </c>
      <c r="BC365">
        <v>252</v>
      </c>
      <c r="BD365" t="s">
        <v>74</v>
      </c>
      <c r="BE365" t="s">
        <v>6996</v>
      </c>
      <c r="BF365" t="str">
        <f>HYPERLINK("http://dx.doi.org/10.1126/science.1177840","http://dx.doi.org/10.1126/science.1177840")</f>
        <v>http://dx.doi.org/10.1126/science.1177840</v>
      </c>
      <c r="BG365" t="s">
        <v>74</v>
      </c>
      <c r="BH365" t="s">
        <v>74</v>
      </c>
      <c r="BI365">
        <v>5</v>
      </c>
      <c r="BJ365" t="s">
        <v>388</v>
      </c>
      <c r="BK365" t="s">
        <v>98</v>
      </c>
      <c r="BL365" t="s">
        <v>389</v>
      </c>
      <c r="BM365" t="s">
        <v>6997</v>
      </c>
      <c r="BN365">
        <v>19815769</v>
      </c>
      <c r="BO365" t="s">
        <v>74</v>
      </c>
      <c r="BP365" t="s">
        <v>74</v>
      </c>
      <c r="BQ365" t="s">
        <v>74</v>
      </c>
      <c r="BR365" t="s">
        <v>101</v>
      </c>
      <c r="BS365" t="s">
        <v>6998</v>
      </c>
      <c r="BT365" t="str">
        <f>HYPERLINK("https%3A%2F%2Fwww.webofscience.com%2Fwos%2Fwoscc%2Ffull-record%2FWOS:000270599500033","View Full Record in Web of Science")</f>
        <v>View Full Record in Web of Science</v>
      </c>
    </row>
    <row r="366" spans="1:72" x14ac:dyDescent="0.15">
      <c r="A366" t="s">
        <v>72</v>
      </c>
      <c r="B366" t="s">
        <v>6999</v>
      </c>
      <c r="C366" t="s">
        <v>74</v>
      </c>
      <c r="D366" t="s">
        <v>74</v>
      </c>
      <c r="E366" t="s">
        <v>74</v>
      </c>
      <c r="F366" t="s">
        <v>7000</v>
      </c>
      <c r="G366" t="s">
        <v>74</v>
      </c>
      <c r="H366" t="s">
        <v>74</v>
      </c>
      <c r="I366" t="s">
        <v>7001</v>
      </c>
      <c r="J366" t="s">
        <v>522</v>
      </c>
      <c r="K366" t="s">
        <v>74</v>
      </c>
      <c r="L366" t="s">
        <v>74</v>
      </c>
      <c r="M366" t="s">
        <v>78</v>
      </c>
      <c r="N366" t="s">
        <v>79</v>
      </c>
      <c r="O366" t="s">
        <v>74</v>
      </c>
      <c r="P366" t="s">
        <v>74</v>
      </c>
      <c r="Q366" t="s">
        <v>74</v>
      </c>
      <c r="R366" t="s">
        <v>74</v>
      </c>
      <c r="S366" t="s">
        <v>74</v>
      </c>
      <c r="T366" t="s">
        <v>74</v>
      </c>
      <c r="U366" t="s">
        <v>7002</v>
      </c>
      <c r="V366" t="s">
        <v>7003</v>
      </c>
      <c r="W366" t="s">
        <v>7004</v>
      </c>
      <c r="X366" t="s">
        <v>7005</v>
      </c>
      <c r="Y366" t="s">
        <v>7006</v>
      </c>
      <c r="Z366" t="s">
        <v>7007</v>
      </c>
      <c r="AA366" t="s">
        <v>7008</v>
      </c>
      <c r="AB366" t="s">
        <v>7009</v>
      </c>
      <c r="AC366" t="s">
        <v>7010</v>
      </c>
      <c r="AD366" t="s">
        <v>7011</v>
      </c>
      <c r="AE366" t="s">
        <v>7012</v>
      </c>
      <c r="AF366" t="s">
        <v>74</v>
      </c>
      <c r="AG366">
        <v>30</v>
      </c>
      <c r="AH366">
        <v>270</v>
      </c>
      <c r="AI366">
        <v>299</v>
      </c>
      <c r="AJ366">
        <v>5</v>
      </c>
      <c r="AK366">
        <v>105</v>
      </c>
      <c r="AL366" t="s">
        <v>2890</v>
      </c>
      <c r="AM366" t="s">
        <v>433</v>
      </c>
      <c r="AN366" t="s">
        <v>3957</v>
      </c>
      <c r="AO366" t="s">
        <v>532</v>
      </c>
      <c r="AP366" t="s">
        <v>533</v>
      </c>
      <c r="AQ366" t="s">
        <v>74</v>
      </c>
      <c r="AR366" t="s">
        <v>522</v>
      </c>
      <c r="AS366" t="s">
        <v>534</v>
      </c>
      <c r="AT366" t="s">
        <v>7013</v>
      </c>
      <c r="AU366">
        <v>2009</v>
      </c>
      <c r="AV366">
        <v>461</v>
      </c>
      <c r="AW366">
        <v>7265</v>
      </c>
      <c r="AX366" t="s">
        <v>74</v>
      </c>
      <c r="AY366" t="s">
        <v>74</v>
      </c>
      <c r="AZ366" t="s">
        <v>74</v>
      </c>
      <c r="BA366" t="s">
        <v>74</v>
      </c>
      <c r="BB366">
        <v>776</v>
      </c>
      <c r="BC366">
        <v>779</v>
      </c>
      <c r="BD366" t="s">
        <v>74</v>
      </c>
      <c r="BE366" t="s">
        <v>7014</v>
      </c>
      <c r="BF366" t="str">
        <f>HYPERLINK("http://dx.doi.org/10.1038/nature08399","http://dx.doi.org/10.1038/nature08399")</f>
        <v>http://dx.doi.org/10.1038/nature08399</v>
      </c>
      <c r="BG366" t="s">
        <v>74</v>
      </c>
      <c r="BH366" t="s">
        <v>74</v>
      </c>
      <c r="BI366">
        <v>4</v>
      </c>
      <c r="BJ366" t="s">
        <v>388</v>
      </c>
      <c r="BK366" t="s">
        <v>98</v>
      </c>
      <c r="BL366" t="s">
        <v>389</v>
      </c>
      <c r="BM366" t="s">
        <v>7015</v>
      </c>
      <c r="BN366">
        <v>19812670</v>
      </c>
      <c r="BO366" t="s">
        <v>239</v>
      </c>
      <c r="BP366" t="s">
        <v>74</v>
      </c>
      <c r="BQ366" t="s">
        <v>74</v>
      </c>
      <c r="BR366" t="s">
        <v>101</v>
      </c>
      <c r="BS366" t="s">
        <v>7016</v>
      </c>
      <c r="BT366" t="str">
        <f>HYPERLINK("https%3A%2F%2Fwww.webofscience.com%2Fwos%2Fwoscc%2Ffull-record%2FWOS:000270547500032","View Full Record in Web of Science")</f>
        <v>View Full Record in Web of Science</v>
      </c>
    </row>
    <row r="367" spans="1:72" x14ac:dyDescent="0.15">
      <c r="A367" t="s">
        <v>72</v>
      </c>
      <c r="B367" t="s">
        <v>7017</v>
      </c>
      <c r="C367" t="s">
        <v>74</v>
      </c>
      <c r="D367" t="s">
        <v>74</v>
      </c>
      <c r="E367" t="s">
        <v>74</v>
      </c>
      <c r="F367" t="s">
        <v>7018</v>
      </c>
      <c r="G367" t="s">
        <v>74</v>
      </c>
      <c r="H367" t="s">
        <v>74</v>
      </c>
      <c r="I367" t="s">
        <v>7019</v>
      </c>
      <c r="J367" t="s">
        <v>721</v>
      </c>
      <c r="K367" t="s">
        <v>74</v>
      </c>
      <c r="L367" t="s">
        <v>74</v>
      </c>
      <c r="M367" t="s">
        <v>78</v>
      </c>
      <c r="N367" t="s">
        <v>79</v>
      </c>
      <c r="O367" t="s">
        <v>74</v>
      </c>
      <c r="P367" t="s">
        <v>74</v>
      </c>
      <c r="Q367" t="s">
        <v>74</v>
      </c>
      <c r="R367" t="s">
        <v>74</v>
      </c>
      <c r="S367" t="s">
        <v>74</v>
      </c>
      <c r="T367" t="s">
        <v>74</v>
      </c>
      <c r="U367" t="s">
        <v>7020</v>
      </c>
      <c r="V367" t="s">
        <v>7021</v>
      </c>
      <c r="W367" t="s">
        <v>7022</v>
      </c>
      <c r="X367" t="s">
        <v>725</v>
      </c>
      <c r="Y367" t="s">
        <v>7023</v>
      </c>
      <c r="Z367" t="s">
        <v>7024</v>
      </c>
      <c r="AA367" t="s">
        <v>7025</v>
      </c>
      <c r="AB367" t="s">
        <v>7026</v>
      </c>
      <c r="AC367" t="s">
        <v>7027</v>
      </c>
      <c r="AD367" t="s">
        <v>730</v>
      </c>
      <c r="AE367" t="s">
        <v>74</v>
      </c>
      <c r="AF367" t="s">
        <v>74</v>
      </c>
      <c r="AG367">
        <v>31</v>
      </c>
      <c r="AH367">
        <v>17</v>
      </c>
      <c r="AI367">
        <v>18</v>
      </c>
      <c r="AJ367">
        <v>1</v>
      </c>
      <c r="AK367">
        <v>8</v>
      </c>
      <c r="AL367" t="s">
        <v>226</v>
      </c>
      <c r="AM367" t="s">
        <v>227</v>
      </c>
      <c r="AN367" t="s">
        <v>228</v>
      </c>
      <c r="AO367" t="s">
        <v>731</v>
      </c>
      <c r="AP367" t="s">
        <v>732</v>
      </c>
      <c r="AQ367" t="s">
        <v>74</v>
      </c>
      <c r="AR367" t="s">
        <v>733</v>
      </c>
      <c r="AS367" t="s">
        <v>734</v>
      </c>
      <c r="AT367" t="s">
        <v>7028</v>
      </c>
      <c r="AU367">
        <v>2009</v>
      </c>
      <c r="AV367">
        <v>36</v>
      </c>
      <c r="AW367" t="s">
        <v>74</v>
      </c>
      <c r="AX367" t="s">
        <v>74</v>
      </c>
      <c r="AY367" t="s">
        <v>74</v>
      </c>
      <c r="AZ367" t="s">
        <v>74</v>
      </c>
      <c r="BA367" t="s">
        <v>74</v>
      </c>
      <c r="BB367" t="s">
        <v>74</v>
      </c>
      <c r="BC367" t="s">
        <v>74</v>
      </c>
      <c r="BD367" t="s">
        <v>7029</v>
      </c>
      <c r="BE367" t="s">
        <v>7030</v>
      </c>
      <c r="BF367" t="str">
        <f>HYPERLINK("http://dx.doi.org/10.1029/2009GL040336","http://dx.doi.org/10.1029/2009GL040336")</f>
        <v>http://dx.doi.org/10.1029/2009GL040336</v>
      </c>
      <c r="BG367" t="s">
        <v>74</v>
      </c>
      <c r="BH367" t="s">
        <v>74</v>
      </c>
      <c r="BI367">
        <v>5</v>
      </c>
      <c r="BJ367" t="s">
        <v>464</v>
      </c>
      <c r="BK367" t="s">
        <v>98</v>
      </c>
      <c r="BL367" t="s">
        <v>465</v>
      </c>
      <c r="BM367" t="s">
        <v>7031</v>
      </c>
      <c r="BN367" t="s">
        <v>74</v>
      </c>
      <c r="BO367" t="s">
        <v>577</v>
      </c>
      <c r="BP367" t="s">
        <v>74</v>
      </c>
      <c r="BQ367" t="s">
        <v>74</v>
      </c>
      <c r="BR367" t="s">
        <v>101</v>
      </c>
      <c r="BS367" t="s">
        <v>7032</v>
      </c>
      <c r="BT367" t="str">
        <f>HYPERLINK("https%3A%2F%2Fwww.webofscience.com%2Fwos%2Fwoscc%2Ffull-record%2FWOS:000270696300004","View Full Record in Web of Science")</f>
        <v>View Full Record in Web of Science</v>
      </c>
    </row>
    <row r="368" spans="1:72" x14ac:dyDescent="0.15">
      <c r="A368" t="s">
        <v>72</v>
      </c>
      <c r="B368" t="s">
        <v>7033</v>
      </c>
      <c r="C368" t="s">
        <v>74</v>
      </c>
      <c r="D368" t="s">
        <v>74</v>
      </c>
      <c r="E368" t="s">
        <v>74</v>
      </c>
      <c r="F368" t="s">
        <v>7034</v>
      </c>
      <c r="G368" t="s">
        <v>74</v>
      </c>
      <c r="H368" t="s">
        <v>74</v>
      </c>
      <c r="I368" t="s">
        <v>7035</v>
      </c>
      <c r="J368" t="s">
        <v>789</v>
      </c>
      <c r="K368" t="s">
        <v>74</v>
      </c>
      <c r="L368" t="s">
        <v>74</v>
      </c>
      <c r="M368" t="s">
        <v>78</v>
      </c>
      <c r="N368" t="s">
        <v>79</v>
      </c>
      <c r="O368" t="s">
        <v>74</v>
      </c>
      <c r="P368" t="s">
        <v>74</v>
      </c>
      <c r="Q368" t="s">
        <v>74</v>
      </c>
      <c r="R368" t="s">
        <v>74</v>
      </c>
      <c r="S368" t="s">
        <v>74</v>
      </c>
      <c r="T368" t="s">
        <v>74</v>
      </c>
      <c r="U368" t="s">
        <v>7036</v>
      </c>
      <c r="V368" t="s">
        <v>7037</v>
      </c>
      <c r="W368" t="s">
        <v>7038</v>
      </c>
      <c r="X368" t="s">
        <v>7039</v>
      </c>
      <c r="Y368" t="s">
        <v>7040</v>
      </c>
      <c r="Z368" t="s">
        <v>7041</v>
      </c>
      <c r="AA368" t="s">
        <v>7042</v>
      </c>
      <c r="AB368" t="s">
        <v>7043</v>
      </c>
      <c r="AC368" t="s">
        <v>7044</v>
      </c>
      <c r="AD368" t="s">
        <v>7045</v>
      </c>
      <c r="AE368" t="s">
        <v>7046</v>
      </c>
      <c r="AF368" t="s">
        <v>74</v>
      </c>
      <c r="AG368">
        <v>73</v>
      </c>
      <c r="AH368">
        <v>41</v>
      </c>
      <c r="AI368">
        <v>43</v>
      </c>
      <c r="AJ368">
        <v>0</v>
      </c>
      <c r="AK368">
        <v>14</v>
      </c>
      <c r="AL368" t="s">
        <v>226</v>
      </c>
      <c r="AM368" t="s">
        <v>227</v>
      </c>
      <c r="AN368" t="s">
        <v>228</v>
      </c>
      <c r="AO368" t="s">
        <v>800</v>
      </c>
      <c r="AP368" t="s">
        <v>801</v>
      </c>
      <c r="AQ368" t="s">
        <v>74</v>
      </c>
      <c r="AR368" t="s">
        <v>802</v>
      </c>
      <c r="AS368" t="s">
        <v>803</v>
      </c>
      <c r="AT368" t="s">
        <v>7028</v>
      </c>
      <c r="AU368">
        <v>2009</v>
      </c>
      <c r="AV368">
        <v>114</v>
      </c>
      <c r="AW368" t="s">
        <v>74</v>
      </c>
      <c r="AX368" t="s">
        <v>74</v>
      </c>
      <c r="AY368" t="s">
        <v>74</v>
      </c>
      <c r="AZ368" t="s">
        <v>74</v>
      </c>
      <c r="BA368" t="s">
        <v>74</v>
      </c>
      <c r="BB368" t="s">
        <v>74</v>
      </c>
      <c r="BC368" t="s">
        <v>74</v>
      </c>
      <c r="BD368" t="s">
        <v>7047</v>
      </c>
      <c r="BE368" t="s">
        <v>7048</v>
      </c>
      <c r="BF368" t="str">
        <f>HYPERLINK("http://dx.doi.org/10.1029/2008JC004900","http://dx.doi.org/10.1029/2008JC004900")</f>
        <v>http://dx.doi.org/10.1029/2008JC004900</v>
      </c>
      <c r="BG368" t="s">
        <v>74</v>
      </c>
      <c r="BH368" t="s">
        <v>74</v>
      </c>
      <c r="BI368">
        <v>12</v>
      </c>
      <c r="BJ368" t="s">
        <v>806</v>
      </c>
      <c r="BK368" t="s">
        <v>98</v>
      </c>
      <c r="BL368" t="s">
        <v>806</v>
      </c>
      <c r="BM368" t="s">
        <v>7049</v>
      </c>
      <c r="BN368" t="s">
        <v>74</v>
      </c>
      <c r="BO368" t="s">
        <v>74</v>
      </c>
      <c r="BP368" t="s">
        <v>74</v>
      </c>
      <c r="BQ368" t="s">
        <v>74</v>
      </c>
      <c r="BR368" t="s">
        <v>101</v>
      </c>
      <c r="BS368" t="s">
        <v>7050</v>
      </c>
      <c r="BT368" t="str">
        <f>HYPERLINK("https%3A%2F%2Fwww.webofscience.com%2Fwos%2Fwoscc%2Ffull-record%2FWOS:000270703800001","View Full Record in Web of Science")</f>
        <v>View Full Record in Web of Science</v>
      </c>
    </row>
    <row r="369" spans="1:72" x14ac:dyDescent="0.15">
      <c r="A369" t="s">
        <v>72</v>
      </c>
      <c r="B369" t="s">
        <v>7051</v>
      </c>
      <c r="C369" t="s">
        <v>74</v>
      </c>
      <c r="D369" t="s">
        <v>74</v>
      </c>
      <c r="E369" t="s">
        <v>74</v>
      </c>
      <c r="F369" t="s">
        <v>7052</v>
      </c>
      <c r="G369" t="s">
        <v>74</v>
      </c>
      <c r="H369" t="s">
        <v>74</v>
      </c>
      <c r="I369" t="s">
        <v>7053</v>
      </c>
      <c r="J369" t="s">
        <v>7054</v>
      </c>
      <c r="K369" t="s">
        <v>74</v>
      </c>
      <c r="L369" t="s">
        <v>74</v>
      </c>
      <c r="M369" t="s">
        <v>78</v>
      </c>
      <c r="N369" t="s">
        <v>79</v>
      </c>
      <c r="O369" t="s">
        <v>74</v>
      </c>
      <c r="P369" t="s">
        <v>74</v>
      </c>
      <c r="Q369" t="s">
        <v>74</v>
      </c>
      <c r="R369" t="s">
        <v>74</v>
      </c>
      <c r="S369" t="s">
        <v>74</v>
      </c>
      <c r="T369" t="s">
        <v>74</v>
      </c>
      <c r="U369" t="s">
        <v>74</v>
      </c>
      <c r="V369" t="s">
        <v>7055</v>
      </c>
      <c r="W369" t="s">
        <v>7056</v>
      </c>
      <c r="X369" t="s">
        <v>7057</v>
      </c>
      <c r="Y369" t="s">
        <v>7058</v>
      </c>
      <c r="Z369" t="s">
        <v>7059</v>
      </c>
      <c r="AA369" t="s">
        <v>7060</v>
      </c>
      <c r="AB369" t="s">
        <v>7061</v>
      </c>
      <c r="AC369" t="s">
        <v>7062</v>
      </c>
      <c r="AD369" t="s">
        <v>730</v>
      </c>
      <c r="AE369" t="s">
        <v>74</v>
      </c>
      <c r="AF369" t="s">
        <v>74</v>
      </c>
      <c r="AG369">
        <v>29</v>
      </c>
      <c r="AH369">
        <v>42</v>
      </c>
      <c r="AI369">
        <v>49</v>
      </c>
      <c r="AJ369">
        <v>1</v>
      </c>
      <c r="AK369">
        <v>30</v>
      </c>
      <c r="AL369" t="s">
        <v>7063</v>
      </c>
      <c r="AM369" t="s">
        <v>7064</v>
      </c>
      <c r="AN369" t="s">
        <v>7065</v>
      </c>
      <c r="AO369" t="s">
        <v>7066</v>
      </c>
      <c r="AP369" t="s">
        <v>74</v>
      </c>
      <c r="AQ369" t="s">
        <v>74</v>
      </c>
      <c r="AR369" t="s">
        <v>7054</v>
      </c>
      <c r="AS369" t="s">
        <v>7067</v>
      </c>
      <c r="AT369" t="s">
        <v>7028</v>
      </c>
      <c r="AU369">
        <v>2009</v>
      </c>
      <c r="AV369">
        <v>4</v>
      </c>
      <c r="AW369">
        <v>10</v>
      </c>
      <c r="AX369" t="s">
        <v>74</v>
      </c>
      <c r="AY369" t="s">
        <v>74</v>
      </c>
      <c r="AZ369" t="s">
        <v>74</v>
      </c>
      <c r="BA369" t="s">
        <v>74</v>
      </c>
      <c r="BB369" t="s">
        <v>74</v>
      </c>
      <c r="BC369" t="s">
        <v>74</v>
      </c>
      <c r="BD369" t="s">
        <v>7068</v>
      </c>
      <c r="BE369" t="s">
        <v>7069</v>
      </c>
      <c r="BF369" t="str">
        <f>HYPERLINK("http://dx.doi.org/10.1371/journal.pone.0007322","http://dx.doi.org/10.1371/journal.pone.0007322")</f>
        <v>http://dx.doi.org/10.1371/journal.pone.0007322</v>
      </c>
      <c r="BG369" t="s">
        <v>74</v>
      </c>
      <c r="BH369" t="s">
        <v>74</v>
      </c>
      <c r="BI369">
        <v>4</v>
      </c>
      <c r="BJ369" t="s">
        <v>388</v>
      </c>
      <c r="BK369" t="s">
        <v>98</v>
      </c>
      <c r="BL369" t="s">
        <v>389</v>
      </c>
      <c r="BM369" t="s">
        <v>7070</v>
      </c>
      <c r="BN369">
        <v>19809497</v>
      </c>
      <c r="BO369" t="s">
        <v>7071</v>
      </c>
      <c r="BP369" t="s">
        <v>74</v>
      </c>
      <c r="BQ369" t="s">
        <v>74</v>
      </c>
      <c r="BR369" t="s">
        <v>101</v>
      </c>
      <c r="BS369" t="s">
        <v>7072</v>
      </c>
      <c r="BT369" t="str">
        <f>HYPERLINK("https%3A%2F%2Fwww.webofscience.com%2Fwos%2Fwoscc%2Ffull-record%2FWOS:000270594000006","View Full Record in Web of Science")</f>
        <v>View Full Record in Web of Science</v>
      </c>
    </row>
    <row r="370" spans="1:72" x14ac:dyDescent="0.15">
      <c r="A370" t="s">
        <v>72</v>
      </c>
      <c r="B370" t="s">
        <v>7073</v>
      </c>
      <c r="C370" t="s">
        <v>74</v>
      </c>
      <c r="D370" t="s">
        <v>74</v>
      </c>
      <c r="E370" t="s">
        <v>74</v>
      </c>
      <c r="F370" t="s">
        <v>7074</v>
      </c>
      <c r="G370" t="s">
        <v>74</v>
      </c>
      <c r="H370" t="s">
        <v>74</v>
      </c>
      <c r="I370" t="s">
        <v>7075</v>
      </c>
      <c r="J370" t="s">
        <v>721</v>
      </c>
      <c r="K370" t="s">
        <v>74</v>
      </c>
      <c r="L370" t="s">
        <v>74</v>
      </c>
      <c r="M370" t="s">
        <v>78</v>
      </c>
      <c r="N370" t="s">
        <v>79</v>
      </c>
      <c r="O370" t="s">
        <v>74</v>
      </c>
      <c r="P370" t="s">
        <v>74</v>
      </c>
      <c r="Q370" t="s">
        <v>74</v>
      </c>
      <c r="R370" t="s">
        <v>74</v>
      </c>
      <c r="S370" t="s">
        <v>74</v>
      </c>
      <c r="T370" t="s">
        <v>74</v>
      </c>
      <c r="U370" t="s">
        <v>7076</v>
      </c>
      <c r="V370" t="s">
        <v>7077</v>
      </c>
      <c r="W370" t="s">
        <v>7078</v>
      </c>
      <c r="X370" t="s">
        <v>7079</v>
      </c>
      <c r="Y370" t="s">
        <v>7080</v>
      </c>
      <c r="Z370" t="s">
        <v>7081</v>
      </c>
      <c r="AA370" t="s">
        <v>7082</v>
      </c>
      <c r="AB370" t="s">
        <v>7083</v>
      </c>
      <c r="AC370" t="s">
        <v>7084</v>
      </c>
      <c r="AD370" t="s">
        <v>7085</v>
      </c>
      <c r="AE370" t="s">
        <v>7086</v>
      </c>
      <c r="AF370" t="s">
        <v>74</v>
      </c>
      <c r="AG370">
        <v>39</v>
      </c>
      <c r="AH370">
        <v>63</v>
      </c>
      <c r="AI370">
        <v>69</v>
      </c>
      <c r="AJ370">
        <v>9</v>
      </c>
      <c r="AK370">
        <v>80</v>
      </c>
      <c r="AL370" t="s">
        <v>226</v>
      </c>
      <c r="AM370" t="s">
        <v>227</v>
      </c>
      <c r="AN370" t="s">
        <v>228</v>
      </c>
      <c r="AO370" t="s">
        <v>731</v>
      </c>
      <c r="AP370" t="s">
        <v>732</v>
      </c>
      <c r="AQ370" t="s">
        <v>74</v>
      </c>
      <c r="AR370" t="s">
        <v>733</v>
      </c>
      <c r="AS370" t="s">
        <v>734</v>
      </c>
      <c r="AT370" t="s">
        <v>7087</v>
      </c>
      <c r="AU370">
        <v>2009</v>
      </c>
      <c r="AV370">
        <v>36</v>
      </c>
      <c r="AW370" t="s">
        <v>74</v>
      </c>
      <c r="AX370" t="s">
        <v>74</v>
      </c>
      <c r="AY370" t="s">
        <v>74</v>
      </c>
      <c r="AZ370" t="s">
        <v>74</v>
      </c>
      <c r="BA370" t="s">
        <v>74</v>
      </c>
      <c r="BB370" t="s">
        <v>74</v>
      </c>
      <c r="BC370" t="s">
        <v>74</v>
      </c>
      <c r="BD370" t="s">
        <v>7088</v>
      </c>
      <c r="BE370" t="s">
        <v>7089</v>
      </c>
      <c r="BF370" t="str">
        <f>HYPERLINK("http://dx.doi.org/10.1029/2009GL040279","http://dx.doi.org/10.1029/2009GL040279")</f>
        <v>http://dx.doi.org/10.1029/2009GL040279</v>
      </c>
      <c r="BG370" t="s">
        <v>74</v>
      </c>
      <c r="BH370" t="s">
        <v>74</v>
      </c>
      <c r="BI370">
        <v>5</v>
      </c>
      <c r="BJ370" t="s">
        <v>464</v>
      </c>
      <c r="BK370" t="s">
        <v>98</v>
      </c>
      <c r="BL370" t="s">
        <v>465</v>
      </c>
      <c r="BM370" t="s">
        <v>7090</v>
      </c>
      <c r="BN370" t="s">
        <v>74</v>
      </c>
      <c r="BO370" t="s">
        <v>491</v>
      </c>
      <c r="BP370" t="s">
        <v>74</v>
      </c>
      <c r="BQ370" t="s">
        <v>74</v>
      </c>
      <c r="BR370" t="s">
        <v>101</v>
      </c>
      <c r="BS370" t="s">
        <v>7091</v>
      </c>
      <c r="BT370" t="str">
        <f>HYPERLINK("https%3A%2F%2Fwww.webofscience.com%2Fwos%2Fwoscc%2Ffull-record%2FWOS:000270696200006","View Full Record in Web of Science")</f>
        <v>View Full Record in Web of Science</v>
      </c>
    </row>
    <row r="371" spans="1:72" x14ac:dyDescent="0.15">
      <c r="A371" t="s">
        <v>72</v>
      </c>
      <c r="B371" t="s">
        <v>7092</v>
      </c>
      <c r="C371" t="s">
        <v>74</v>
      </c>
      <c r="D371" t="s">
        <v>74</v>
      </c>
      <c r="E371" t="s">
        <v>74</v>
      </c>
      <c r="F371" t="s">
        <v>7093</v>
      </c>
      <c r="G371" t="s">
        <v>74</v>
      </c>
      <c r="H371" t="s">
        <v>74</v>
      </c>
      <c r="I371" t="s">
        <v>7094</v>
      </c>
      <c r="J371" t="s">
        <v>721</v>
      </c>
      <c r="K371" t="s">
        <v>74</v>
      </c>
      <c r="L371" t="s">
        <v>74</v>
      </c>
      <c r="M371" t="s">
        <v>78</v>
      </c>
      <c r="N371" t="s">
        <v>79</v>
      </c>
      <c r="O371" t="s">
        <v>74</v>
      </c>
      <c r="P371" t="s">
        <v>74</v>
      </c>
      <c r="Q371" t="s">
        <v>74</v>
      </c>
      <c r="R371" t="s">
        <v>74</v>
      </c>
      <c r="S371" t="s">
        <v>74</v>
      </c>
      <c r="T371" t="s">
        <v>74</v>
      </c>
      <c r="U371" t="s">
        <v>7095</v>
      </c>
      <c r="V371" t="s">
        <v>7096</v>
      </c>
      <c r="W371" t="s">
        <v>7097</v>
      </c>
      <c r="X371" t="s">
        <v>7098</v>
      </c>
      <c r="Y371" t="s">
        <v>7099</v>
      </c>
      <c r="Z371" t="s">
        <v>74</v>
      </c>
      <c r="AA371" t="s">
        <v>7100</v>
      </c>
      <c r="AB371" t="s">
        <v>7101</v>
      </c>
      <c r="AC371" t="s">
        <v>7102</v>
      </c>
      <c r="AD371" t="s">
        <v>7103</v>
      </c>
      <c r="AE371" t="s">
        <v>7104</v>
      </c>
      <c r="AF371" t="s">
        <v>74</v>
      </c>
      <c r="AG371">
        <v>32</v>
      </c>
      <c r="AH371">
        <v>24</v>
      </c>
      <c r="AI371">
        <v>26</v>
      </c>
      <c r="AJ371">
        <v>0</v>
      </c>
      <c r="AK371">
        <v>23</v>
      </c>
      <c r="AL371" t="s">
        <v>226</v>
      </c>
      <c r="AM371" t="s">
        <v>227</v>
      </c>
      <c r="AN371" t="s">
        <v>228</v>
      </c>
      <c r="AO371" t="s">
        <v>731</v>
      </c>
      <c r="AP371" t="s">
        <v>74</v>
      </c>
      <c r="AQ371" t="s">
        <v>74</v>
      </c>
      <c r="AR371" t="s">
        <v>733</v>
      </c>
      <c r="AS371" t="s">
        <v>734</v>
      </c>
      <c r="AT371" t="s">
        <v>7105</v>
      </c>
      <c r="AU371">
        <v>2009</v>
      </c>
      <c r="AV371">
        <v>36</v>
      </c>
      <c r="AW371" t="s">
        <v>74</v>
      </c>
      <c r="AX371" t="s">
        <v>74</v>
      </c>
      <c r="AY371" t="s">
        <v>74</v>
      </c>
      <c r="AZ371" t="s">
        <v>74</v>
      </c>
      <c r="BA371" t="s">
        <v>74</v>
      </c>
      <c r="BB371" t="s">
        <v>74</v>
      </c>
      <c r="BC371" t="s">
        <v>74</v>
      </c>
      <c r="BD371" t="s">
        <v>7106</v>
      </c>
      <c r="BE371" t="s">
        <v>7107</v>
      </c>
      <c r="BF371" t="str">
        <f>HYPERLINK("http://dx.doi.org/10.1029/2009GL039527","http://dx.doi.org/10.1029/2009GL039527")</f>
        <v>http://dx.doi.org/10.1029/2009GL039527</v>
      </c>
      <c r="BG371" t="s">
        <v>74</v>
      </c>
      <c r="BH371" t="s">
        <v>74</v>
      </c>
      <c r="BI371">
        <v>5</v>
      </c>
      <c r="BJ371" t="s">
        <v>464</v>
      </c>
      <c r="BK371" t="s">
        <v>98</v>
      </c>
      <c r="BL371" t="s">
        <v>465</v>
      </c>
      <c r="BM371" t="s">
        <v>7108</v>
      </c>
      <c r="BN371" t="s">
        <v>74</v>
      </c>
      <c r="BO371" t="s">
        <v>263</v>
      </c>
      <c r="BP371" t="s">
        <v>74</v>
      </c>
      <c r="BQ371" t="s">
        <v>74</v>
      </c>
      <c r="BR371" t="s">
        <v>101</v>
      </c>
      <c r="BS371" t="s">
        <v>7109</v>
      </c>
      <c r="BT371" t="str">
        <f>HYPERLINK("https%3A%2F%2Fwww.webofscience.com%2Fwos%2Fwoscc%2Ffull-record%2FWOS:000270462700001","View Full Record in Web of Science")</f>
        <v>View Full Record in Web of Science</v>
      </c>
    </row>
    <row r="372" spans="1:72" x14ac:dyDescent="0.15">
      <c r="A372" t="s">
        <v>72</v>
      </c>
      <c r="B372" t="s">
        <v>7110</v>
      </c>
      <c r="C372" t="s">
        <v>74</v>
      </c>
      <c r="D372" t="s">
        <v>74</v>
      </c>
      <c r="E372" t="s">
        <v>74</v>
      </c>
      <c r="F372" t="s">
        <v>7111</v>
      </c>
      <c r="G372" t="s">
        <v>74</v>
      </c>
      <c r="H372" t="s">
        <v>74</v>
      </c>
      <c r="I372" t="s">
        <v>7112</v>
      </c>
      <c r="J372" t="s">
        <v>7113</v>
      </c>
      <c r="K372" t="s">
        <v>74</v>
      </c>
      <c r="L372" t="s">
        <v>74</v>
      </c>
      <c r="M372" t="s">
        <v>78</v>
      </c>
      <c r="N372" t="s">
        <v>297</v>
      </c>
      <c r="O372" t="s">
        <v>74</v>
      </c>
      <c r="P372" t="s">
        <v>74</v>
      </c>
      <c r="Q372" t="s">
        <v>74</v>
      </c>
      <c r="R372" t="s">
        <v>74</v>
      </c>
      <c r="S372" t="s">
        <v>74</v>
      </c>
      <c r="T372" t="s">
        <v>7114</v>
      </c>
      <c r="U372" t="s">
        <v>7115</v>
      </c>
      <c r="V372" t="s">
        <v>7116</v>
      </c>
      <c r="W372" t="s">
        <v>7117</v>
      </c>
      <c r="X372" t="s">
        <v>7118</v>
      </c>
      <c r="Y372" t="s">
        <v>7119</v>
      </c>
      <c r="Z372" t="s">
        <v>7120</v>
      </c>
      <c r="AA372" t="s">
        <v>7121</v>
      </c>
      <c r="AB372" t="s">
        <v>7122</v>
      </c>
      <c r="AC372" t="s">
        <v>7123</v>
      </c>
      <c r="AD372" t="s">
        <v>7123</v>
      </c>
      <c r="AE372" t="s">
        <v>7124</v>
      </c>
      <c r="AF372" t="s">
        <v>74</v>
      </c>
      <c r="AG372">
        <v>128</v>
      </c>
      <c r="AH372">
        <v>10</v>
      </c>
      <c r="AI372">
        <v>11</v>
      </c>
      <c r="AJ372">
        <v>0</v>
      </c>
      <c r="AK372">
        <v>36</v>
      </c>
      <c r="AL372" t="s">
        <v>7125</v>
      </c>
      <c r="AM372" t="s">
        <v>7126</v>
      </c>
      <c r="AN372" t="s">
        <v>7127</v>
      </c>
      <c r="AO372" t="s">
        <v>7128</v>
      </c>
      <c r="AP372" t="s">
        <v>7129</v>
      </c>
      <c r="AQ372" t="s">
        <v>74</v>
      </c>
      <c r="AR372" t="s">
        <v>7130</v>
      </c>
      <c r="AS372" t="s">
        <v>7131</v>
      </c>
      <c r="AT372" t="s">
        <v>7132</v>
      </c>
      <c r="AU372">
        <v>2009</v>
      </c>
      <c r="AV372">
        <v>44</v>
      </c>
      <c r="AW372">
        <v>2</v>
      </c>
      <c r="AX372" t="s">
        <v>74</v>
      </c>
      <c r="AY372" t="s">
        <v>74</v>
      </c>
      <c r="AZ372" t="s">
        <v>74</v>
      </c>
      <c r="BA372" t="s">
        <v>74</v>
      </c>
      <c r="BB372">
        <v>248</v>
      </c>
      <c r="BC372">
        <v>262</v>
      </c>
      <c r="BD372" t="s">
        <v>74</v>
      </c>
      <c r="BE372" t="s">
        <v>7133</v>
      </c>
      <c r="BF372" t="str">
        <f>HYPERLINK("http://dx.doi.org/10.3377/004.044.0213","http://dx.doi.org/10.3377/004.044.0213")</f>
        <v>http://dx.doi.org/10.3377/004.044.0213</v>
      </c>
      <c r="BG372" t="s">
        <v>74</v>
      </c>
      <c r="BH372" t="s">
        <v>74</v>
      </c>
      <c r="BI372">
        <v>15</v>
      </c>
      <c r="BJ372" t="s">
        <v>207</v>
      </c>
      <c r="BK372" t="s">
        <v>98</v>
      </c>
      <c r="BL372" t="s">
        <v>207</v>
      </c>
      <c r="BM372" t="s">
        <v>7134</v>
      </c>
      <c r="BN372" t="s">
        <v>74</v>
      </c>
      <c r="BO372" t="s">
        <v>74</v>
      </c>
      <c r="BP372" t="s">
        <v>74</v>
      </c>
      <c r="BQ372" t="s">
        <v>74</v>
      </c>
      <c r="BR372" t="s">
        <v>101</v>
      </c>
      <c r="BS372" t="s">
        <v>7135</v>
      </c>
      <c r="BT372" t="str">
        <f>HYPERLINK("https%3A%2F%2Fwww.webofscience.com%2Fwos%2Fwoscc%2Ffull-record%2FWOS:000273896700013","View Full Record in Web of Science")</f>
        <v>View Full Record in Web of Science</v>
      </c>
    </row>
    <row r="373" spans="1:72" x14ac:dyDescent="0.15">
      <c r="A373" t="s">
        <v>72</v>
      </c>
      <c r="B373" t="s">
        <v>7136</v>
      </c>
      <c r="C373" t="s">
        <v>74</v>
      </c>
      <c r="D373" t="s">
        <v>74</v>
      </c>
      <c r="E373" t="s">
        <v>74</v>
      </c>
      <c r="F373" t="s">
        <v>7137</v>
      </c>
      <c r="G373" t="s">
        <v>74</v>
      </c>
      <c r="H373" t="s">
        <v>74</v>
      </c>
      <c r="I373" t="s">
        <v>7138</v>
      </c>
      <c r="J373" t="s">
        <v>7139</v>
      </c>
      <c r="K373" t="s">
        <v>74</v>
      </c>
      <c r="L373" t="s">
        <v>74</v>
      </c>
      <c r="M373" t="s">
        <v>78</v>
      </c>
      <c r="N373" t="s">
        <v>79</v>
      </c>
      <c r="O373" t="s">
        <v>74</v>
      </c>
      <c r="P373" t="s">
        <v>74</v>
      </c>
      <c r="Q373" t="s">
        <v>74</v>
      </c>
      <c r="R373" t="s">
        <v>74</v>
      </c>
      <c r="S373" t="s">
        <v>74</v>
      </c>
      <c r="T373" t="s">
        <v>7140</v>
      </c>
      <c r="U373" t="s">
        <v>7141</v>
      </c>
      <c r="V373" t="s">
        <v>7142</v>
      </c>
      <c r="W373" t="s">
        <v>7143</v>
      </c>
      <c r="X373" t="s">
        <v>7144</v>
      </c>
      <c r="Y373" t="s">
        <v>7145</v>
      </c>
      <c r="Z373" t="s">
        <v>7146</v>
      </c>
      <c r="AA373" t="s">
        <v>74</v>
      </c>
      <c r="AB373" t="s">
        <v>74</v>
      </c>
      <c r="AC373" t="s">
        <v>74</v>
      </c>
      <c r="AD373" t="s">
        <v>74</v>
      </c>
      <c r="AE373" t="s">
        <v>74</v>
      </c>
      <c r="AF373" t="s">
        <v>74</v>
      </c>
      <c r="AG373">
        <v>79</v>
      </c>
      <c r="AH373">
        <v>79</v>
      </c>
      <c r="AI373">
        <v>93</v>
      </c>
      <c r="AJ373">
        <v>4</v>
      </c>
      <c r="AK373">
        <v>85</v>
      </c>
      <c r="AL373" t="s">
        <v>1894</v>
      </c>
      <c r="AM373" t="s">
        <v>1895</v>
      </c>
      <c r="AN373" t="s">
        <v>1896</v>
      </c>
      <c r="AO373" t="s">
        <v>7147</v>
      </c>
      <c r="AP373" t="s">
        <v>74</v>
      </c>
      <c r="AQ373" t="s">
        <v>74</v>
      </c>
      <c r="AR373" t="s">
        <v>7148</v>
      </c>
      <c r="AS373" t="s">
        <v>7149</v>
      </c>
      <c r="AT373" t="s">
        <v>7132</v>
      </c>
      <c r="AU373">
        <v>2009</v>
      </c>
      <c r="AV373">
        <v>36</v>
      </c>
      <c r="AW373">
        <v>4</v>
      </c>
      <c r="AX373" t="s">
        <v>74</v>
      </c>
      <c r="AY373" t="s">
        <v>74</v>
      </c>
      <c r="AZ373" t="s">
        <v>74</v>
      </c>
      <c r="BA373" t="s">
        <v>74</v>
      </c>
      <c r="BB373">
        <v>645</v>
      </c>
      <c r="BC373">
        <v>666</v>
      </c>
      <c r="BD373" t="s">
        <v>74</v>
      </c>
      <c r="BE373" t="s">
        <v>7150</v>
      </c>
      <c r="BF373" t="str">
        <f>HYPERLINK("http://dx.doi.org/10.1016/j.annals.2009.06.001","http://dx.doi.org/10.1016/j.annals.2009.06.001")</f>
        <v>http://dx.doi.org/10.1016/j.annals.2009.06.001</v>
      </c>
      <c r="BG373" t="s">
        <v>74</v>
      </c>
      <c r="BH373" t="s">
        <v>74</v>
      </c>
      <c r="BI373">
        <v>22</v>
      </c>
      <c r="BJ373" t="s">
        <v>7151</v>
      </c>
      <c r="BK373" t="s">
        <v>2053</v>
      </c>
      <c r="BL373" t="s">
        <v>7152</v>
      </c>
      <c r="BM373" t="s">
        <v>7153</v>
      </c>
      <c r="BN373" t="s">
        <v>74</v>
      </c>
      <c r="BO373" t="s">
        <v>74</v>
      </c>
      <c r="BP373" t="s">
        <v>74</v>
      </c>
      <c r="BQ373" t="s">
        <v>74</v>
      </c>
      <c r="BR373" t="s">
        <v>101</v>
      </c>
      <c r="BS373" t="s">
        <v>7154</v>
      </c>
      <c r="BT373" t="str">
        <f>HYPERLINK("https%3A%2F%2Fwww.webofscience.com%2Fwos%2Fwoscc%2Ffull-record%2FWOS:000272815100005","View Full Record in Web of Science")</f>
        <v>View Full Record in Web of Science</v>
      </c>
    </row>
    <row r="374" spans="1:72" x14ac:dyDescent="0.15">
      <c r="A374" t="s">
        <v>72</v>
      </c>
      <c r="B374" t="s">
        <v>7155</v>
      </c>
      <c r="C374" t="s">
        <v>74</v>
      </c>
      <c r="D374" t="s">
        <v>74</v>
      </c>
      <c r="E374" t="s">
        <v>74</v>
      </c>
      <c r="F374" t="s">
        <v>7156</v>
      </c>
      <c r="G374" t="s">
        <v>74</v>
      </c>
      <c r="H374" t="s">
        <v>74</v>
      </c>
      <c r="I374" t="s">
        <v>7157</v>
      </c>
      <c r="J374" t="s">
        <v>1224</v>
      </c>
      <c r="K374" t="s">
        <v>74</v>
      </c>
      <c r="L374" t="s">
        <v>74</v>
      </c>
      <c r="M374" t="s">
        <v>78</v>
      </c>
      <c r="N374" t="s">
        <v>523</v>
      </c>
      <c r="O374" t="s">
        <v>74</v>
      </c>
      <c r="P374" t="s">
        <v>74</v>
      </c>
      <c r="Q374" t="s">
        <v>74</v>
      </c>
      <c r="R374" t="s">
        <v>74</v>
      </c>
      <c r="S374" t="s">
        <v>74</v>
      </c>
      <c r="T374" t="s">
        <v>74</v>
      </c>
      <c r="U374" t="s">
        <v>74</v>
      </c>
      <c r="V374" t="s">
        <v>74</v>
      </c>
      <c r="W374" t="s">
        <v>7158</v>
      </c>
      <c r="X374" t="s">
        <v>7159</v>
      </c>
      <c r="Y374" t="s">
        <v>7160</v>
      </c>
      <c r="Z374" t="s">
        <v>74</v>
      </c>
      <c r="AA374" t="s">
        <v>74</v>
      </c>
      <c r="AB374" t="s">
        <v>74</v>
      </c>
      <c r="AC374" t="s">
        <v>74</v>
      </c>
      <c r="AD374" t="s">
        <v>74</v>
      </c>
      <c r="AE374" t="s">
        <v>74</v>
      </c>
      <c r="AF374" t="s">
        <v>74</v>
      </c>
      <c r="AG374">
        <v>0</v>
      </c>
      <c r="AH374">
        <v>0</v>
      </c>
      <c r="AI374">
        <v>0</v>
      </c>
      <c r="AJ374">
        <v>0</v>
      </c>
      <c r="AK374">
        <v>1</v>
      </c>
      <c r="AL374" t="s">
        <v>1226</v>
      </c>
      <c r="AM374" t="s">
        <v>684</v>
      </c>
      <c r="AN374" t="s">
        <v>1227</v>
      </c>
      <c r="AO374" t="s">
        <v>1228</v>
      </c>
      <c r="AP374" t="s">
        <v>74</v>
      </c>
      <c r="AQ374" t="s">
        <v>74</v>
      </c>
      <c r="AR374" t="s">
        <v>1229</v>
      </c>
      <c r="AS374" t="s">
        <v>1230</v>
      </c>
      <c r="AT374" t="s">
        <v>7132</v>
      </c>
      <c r="AU374">
        <v>2009</v>
      </c>
      <c r="AV374">
        <v>21</v>
      </c>
      <c r="AW374">
        <v>5</v>
      </c>
      <c r="AX374" t="s">
        <v>74</v>
      </c>
      <c r="AY374" t="s">
        <v>74</v>
      </c>
      <c r="AZ374" t="s">
        <v>74</v>
      </c>
      <c r="BA374" t="s">
        <v>74</v>
      </c>
      <c r="BB374">
        <v>411</v>
      </c>
      <c r="BC374">
        <v>411</v>
      </c>
      <c r="BD374" t="s">
        <v>74</v>
      </c>
      <c r="BE374" t="s">
        <v>7161</v>
      </c>
      <c r="BF374" t="str">
        <f>HYPERLINK("http://dx.doi.org/10.1017/S0954102009990484","http://dx.doi.org/10.1017/S0954102009990484")</f>
        <v>http://dx.doi.org/10.1017/S0954102009990484</v>
      </c>
      <c r="BG374" t="s">
        <v>74</v>
      </c>
      <c r="BH374" t="s">
        <v>74</v>
      </c>
      <c r="BI374">
        <v>1</v>
      </c>
      <c r="BJ374" t="s">
        <v>1232</v>
      </c>
      <c r="BK374" t="s">
        <v>98</v>
      </c>
      <c r="BL374" t="s">
        <v>1233</v>
      </c>
      <c r="BM374" t="s">
        <v>7162</v>
      </c>
      <c r="BN374" t="s">
        <v>74</v>
      </c>
      <c r="BO374" t="s">
        <v>4550</v>
      </c>
      <c r="BP374" t="s">
        <v>74</v>
      </c>
      <c r="BQ374" t="s">
        <v>74</v>
      </c>
      <c r="BR374" t="s">
        <v>101</v>
      </c>
      <c r="BS374" t="s">
        <v>7163</v>
      </c>
      <c r="BT374" t="str">
        <f>HYPERLINK("https%3A%2F%2Fwww.webofscience.com%2Fwos%2Fwoscc%2Ffull-record%2FWOS:000271035000001","View Full Record in Web of Science")</f>
        <v>View Full Record in Web of Science</v>
      </c>
    </row>
    <row r="375" spans="1:72" x14ac:dyDescent="0.15">
      <c r="A375" t="s">
        <v>72</v>
      </c>
      <c r="B375" t="s">
        <v>7164</v>
      </c>
      <c r="C375" t="s">
        <v>74</v>
      </c>
      <c r="D375" t="s">
        <v>74</v>
      </c>
      <c r="E375" t="s">
        <v>74</v>
      </c>
      <c r="F375" t="s">
        <v>7165</v>
      </c>
      <c r="G375" t="s">
        <v>74</v>
      </c>
      <c r="H375" t="s">
        <v>74</v>
      </c>
      <c r="I375" t="s">
        <v>7166</v>
      </c>
      <c r="J375" t="s">
        <v>1224</v>
      </c>
      <c r="K375" t="s">
        <v>74</v>
      </c>
      <c r="L375" t="s">
        <v>74</v>
      </c>
      <c r="M375" t="s">
        <v>78</v>
      </c>
      <c r="N375" t="s">
        <v>297</v>
      </c>
      <c r="O375" t="s">
        <v>74</v>
      </c>
      <c r="P375" t="s">
        <v>74</v>
      </c>
      <c r="Q375" t="s">
        <v>74</v>
      </c>
      <c r="R375" t="s">
        <v>74</v>
      </c>
      <c r="S375" t="s">
        <v>74</v>
      </c>
      <c r="T375" t="s">
        <v>7167</v>
      </c>
      <c r="U375" t="s">
        <v>7168</v>
      </c>
      <c r="V375" t="s">
        <v>7169</v>
      </c>
      <c r="W375" t="s">
        <v>7170</v>
      </c>
      <c r="X375" t="s">
        <v>7171</v>
      </c>
      <c r="Y375" t="s">
        <v>7172</v>
      </c>
      <c r="Z375" t="s">
        <v>7173</v>
      </c>
      <c r="AA375" t="s">
        <v>7174</v>
      </c>
      <c r="AB375" t="s">
        <v>7175</v>
      </c>
      <c r="AC375" t="s">
        <v>7176</v>
      </c>
      <c r="AD375" t="s">
        <v>7177</v>
      </c>
      <c r="AE375" t="s">
        <v>7178</v>
      </c>
      <c r="AF375" t="s">
        <v>74</v>
      </c>
      <c r="AG375">
        <v>105</v>
      </c>
      <c r="AH375">
        <v>63</v>
      </c>
      <c r="AI375">
        <v>75</v>
      </c>
      <c r="AJ375">
        <v>2</v>
      </c>
      <c r="AK375">
        <v>64</v>
      </c>
      <c r="AL375" t="s">
        <v>1226</v>
      </c>
      <c r="AM375" t="s">
        <v>684</v>
      </c>
      <c r="AN375" t="s">
        <v>1227</v>
      </c>
      <c r="AO375" t="s">
        <v>1228</v>
      </c>
      <c r="AP375" t="s">
        <v>1250</v>
      </c>
      <c r="AQ375" t="s">
        <v>74</v>
      </c>
      <c r="AR375" t="s">
        <v>1229</v>
      </c>
      <c r="AS375" t="s">
        <v>1230</v>
      </c>
      <c r="AT375" t="s">
        <v>7132</v>
      </c>
      <c r="AU375">
        <v>2009</v>
      </c>
      <c r="AV375">
        <v>21</v>
      </c>
      <c r="AW375">
        <v>5</v>
      </c>
      <c r="AX375" t="s">
        <v>74</v>
      </c>
      <c r="AY375" t="s">
        <v>74</v>
      </c>
      <c r="AZ375" t="s">
        <v>74</v>
      </c>
      <c r="BA375" t="s">
        <v>74</v>
      </c>
      <c r="BB375">
        <v>413</v>
      </c>
      <c r="BC375">
        <v>426</v>
      </c>
      <c r="BD375" t="s">
        <v>74</v>
      </c>
      <c r="BE375" t="s">
        <v>7179</v>
      </c>
      <c r="BF375" t="str">
        <f>HYPERLINK("http://dx.doi.org/10.1017/S0954102009990137","http://dx.doi.org/10.1017/S0954102009990137")</f>
        <v>http://dx.doi.org/10.1017/S0954102009990137</v>
      </c>
      <c r="BG375" t="s">
        <v>74</v>
      </c>
      <c r="BH375" t="s">
        <v>74</v>
      </c>
      <c r="BI375">
        <v>14</v>
      </c>
      <c r="BJ375" t="s">
        <v>1232</v>
      </c>
      <c r="BK375" t="s">
        <v>98</v>
      </c>
      <c r="BL375" t="s">
        <v>1233</v>
      </c>
      <c r="BM375" t="s">
        <v>7162</v>
      </c>
      <c r="BN375" t="s">
        <v>74</v>
      </c>
      <c r="BO375" t="s">
        <v>263</v>
      </c>
      <c r="BP375" t="s">
        <v>74</v>
      </c>
      <c r="BQ375" t="s">
        <v>74</v>
      </c>
      <c r="BR375" t="s">
        <v>101</v>
      </c>
      <c r="BS375" t="s">
        <v>7180</v>
      </c>
      <c r="BT375" t="str">
        <f>HYPERLINK("https%3A%2F%2Fwww.webofscience.com%2Fwos%2Fwoscc%2Ffull-record%2FWOS:000271035000002","View Full Record in Web of Science")</f>
        <v>View Full Record in Web of Science</v>
      </c>
    </row>
    <row r="376" spans="1:72" x14ac:dyDescent="0.15">
      <c r="A376" t="s">
        <v>72</v>
      </c>
      <c r="B376" t="s">
        <v>7181</v>
      </c>
      <c r="C376" t="s">
        <v>74</v>
      </c>
      <c r="D376" t="s">
        <v>74</v>
      </c>
      <c r="E376" t="s">
        <v>74</v>
      </c>
      <c r="F376" t="s">
        <v>7182</v>
      </c>
      <c r="G376" t="s">
        <v>74</v>
      </c>
      <c r="H376" t="s">
        <v>74</v>
      </c>
      <c r="I376" t="s">
        <v>7183</v>
      </c>
      <c r="J376" t="s">
        <v>1224</v>
      </c>
      <c r="K376" t="s">
        <v>74</v>
      </c>
      <c r="L376" t="s">
        <v>74</v>
      </c>
      <c r="M376" t="s">
        <v>78</v>
      </c>
      <c r="N376" t="s">
        <v>79</v>
      </c>
      <c r="O376" t="s">
        <v>74</v>
      </c>
      <c r="P376" t="s">
        <v>74</v>
      </c>
      <c r="Q376" t="s">
        <v>74</v>
      </c>
      <c r="R376" t="s">
        <v>74</v>
      </c>
      <c r="S376" t="s">
        <v>74</v>
      </c>
      <c r="T376" t="s">
        <v>7184</v>
      </c>
      <c r="U376" t="s">
        <v>7185</v>
      </c>
      <c r="V376" t="s">
        <v>7186</v>
      </c>
      <c r="W376" t="s">
        <v>7187</v>
      </c>
      <c r="X376" t="s">
        <v>7188</v>
      </c>
      <c r="Y376" t="s">
        <v>7189</v>
      </c>
      <c r="Z376" t="s">
        <v>7190</v>
      </c>
      <c r="AA376" t="s">
        <v>74</v>
      </c>
      <c r="AB376" t="s">
        <v>74</v>
      </c>
      <c r="AC376" t="s">
        <v>7191</v>
      </c>
      <c r="AD376" t="s">
        <v>4611</v>
      </c>
      <c r="AE376" t="s">
        <v>7192</v>
      </c>
      <c r="AF376" t="s">
        <v>74</v>
      </c>
      <c r="AG376">
        <v>64</v>
      </c>
      <c r="AH376">
        <v>36</v>
      </c>
      <c r="AI376">
        <v>44</v>
      </c>
      <c r="AJ376">
        <v>2</v>
      </c>
      <c r="AK376">
        <v>34</v>
      </c>
      <c r="AL376" t="s">
        <v>1226</v>
      </c>
      <c r="AM376" t="s">
        <v>684</v>
      </c>
      <c r="AN376" t="s">
        <v>1227</v>
      </c>
      <c r="AO376" t="s">
        <v>1228</v>
      </c>
      <c r="AP376" t="s">
        <v>1250</v>
      </c>
      <c r="AQ376" t="s">
        <v>74</v>
      </c>
      <c r="AR376" t="s">
        <v>1229</v>
      </c>
      <c r="AS376" t="s">
        <v>1230</v>
      </c>
      <c r="AT376" t="s">
        <v>7132</v>
      </c>
      <c r="AU376">
        <v>2009</v>
      </c>
      <c r="AV376">
        <v>21</v>
      </c>
      <c r="AW376">
        <v>5</v>
      </c>
      <c r="AX376" t="s">
        <v>74</v>
      </c>
      <c r="AY376" t="s">
        <v>74</v>
      </c>
      <c r="AZ376" t="s">
        <v>74</v>
      </c>
      <c r="BA376" t="s">
        <v>74</v>
      </c>
      <c r="BB376">
        <v>427</v>
      </c>
      <c r="BC376">
        <v>438</v>
      </c>
      <c r="BD376" t="s">
        <v>74</v>
      </c>
      <c r="BE376" t="s">
        <v>7193</v>
      </c>
      <c r="BF376" t="str">
        <f>HYPERLINK("http://dx.doi.org/10.1017/S0954102009990204","http://dx.doi.org/10.1017/S0954102009990204")</f>
        <v>http://dx.doi.org/10.1017/S0954102009990204</v>
      </c>
      <c r="BG376" t="s">
        <v>74</v>
      </c>
      <c r="BH376" t="s">
        <v>74</v>
      </c>
      <c r="BI376">
        <v>12</v>
      </c>
      <c r="BJ376" t="s">
        <v>1232</v>
      </c>
      <c r="BK376" t="s">
        <v>98</v>
      </c>
      <c r="BL376" t="s">
        <v>1233</v>
      </c>
      <c r="BM376" t="s">
        <v>7162</v>
      </c>
      <c r="BN376" t="s">
        <v>74</v>
      </c>
      <c r="BO376" t="s">
        <v>74</v>
      </c>
      <c r="BP376" t="s">
        <v>74</v>
      </c>
      <c r="BQ376" t="s">
        <v>74</v>
      </c>
      <c r="BR376" t="s">
        <v>101</v>
      </c>
      <c r="BS376" t="s">
        <v>7194</v>
      </c>
      <c r="BT376" t="str">
        <f>HYPERLINK("https%3A%2F%2Fwww.webofscience.com%2Fwos%2Fwoscc%2Ffull-record%2FWOS:000271035000003","View Full Record in Web of Science")</f>
        <v>View Full Record in Web of Science</v>
      </c>
    </row>
    <row r="377" spans="1:72" x14ac:dyDescent="0.15">
      <c r="A377" t="s">
        <v>72</v>
      </c>
      <c r="B377" t="s">
        <v>7195</v>
      </c>
      <c r="C377" t="s">
        <v>74</v>
      </c>
      <c r="D377" t="s">
        <v>74</v>
      </c>
      <c r="E377" t="s">
        <v>74</v>
      </c>
      <c r="F377" t="s">
        <v>7196</v>
      </c>
      <c r="G377" t="s">
        <v>74</v>
      </c>
      <c r="H377" t="s">
        <v>74</v>
      </c>
      <c r="I377" t="s">
        <v>7197</v>
      </c>
      <c r="J377" t="s">
        <v>1224</v>
      </c>
      <c r="K377" t="s">
        <v>74</v>
      </c>
      <c r="L377" t="s">
        <v>74</v>
      </c>
      <c r="M377" t="s">
        <v>78</v>
      </c>
      <c r="N377" t="s">
        <v>79</v>
      </c>
      <c r="O377" t="s">
        <v>74</v>
      </c>
      <c r="P377" t="s">
        <v>74</v>
      </c>
      <c r="Q377" t="s">
        <v>74</v>
      </c>
      <c r="R377" t="s">
        <v>74</v>
      </c>
      <c r="S377" t="s">
        <v>74</v>
      </c>
      <c r="T377" t="s">
        <v>7198</v>
      </c>
      <c r="U377" t="s">
        <v>7199</v>
      </c>
      <c r="V377" t="s">
        <v>7200</v>
      </c>
      <c r="W377" t="s">
        <v>7201</v>
      </c>
      <c r="X377" t="s">
        <v>7202</v>
      </c>
      <c r="Y377" t="s">
        <v>2734</v>
      </c>
      <c r="Z377" t="s">
        <v>7203</v>
      </c>
      <c r="AA377" t="s">
        <v>7204</v>
      </c>
      <c r="AB377" t="s">
        <v>2737</v>
      </c>
      <c r="AC377" t="s">
        <v>74</v>
      </c>
      <c r="AD377" t="s">
        <v>74</v>
      </c>
      <c r="AE377" t="s">
        <v>74</v>
      </c>
      <c r="AF377" t="s">
        <v>74</v>
      </c>
      <c r="AG377">
        <v>45</v>
      </c>
      <c r="AH377">
        <v>16</v>
      </c>
      <c r="AI377">
        <v>17</v>
      </c>
      <c r="AJ377">
        <v>1</v>
      </c>
      <c r="AK377">
        <v>3</v>
      </c>
      <c r="AL377" t="s">
        <v>1226</v>
      </c>
      <c r="AM377" t="s">
        <v>684</v>
      </c>
      <c r="AN377" t="s">
        <v>1227</v>
      </c>
      <c r="AO377" t="s">
        <v>1228</v>
      </c>
      <c r="AP377" t="s">
        <v>1250</v>
      </c>
      <c r="AQ377" t="s">
        <v>74</v>
      </c>
      <c r="AR377" t="s">
        <v>1229</v>
      </c>
      <c r="AS377" t="s">
        <v>1230</v>
      </c>
      <c r="AT377" t="s">
        <v>7132</v>
      </c>
      <c r="AU377">
        <v>2009</v>
      </c>
      <c r="AV377">
        <v>21</v>
      </c>
      <c r="AW377">
        <v>5</v>
      </c>
      <c r="AX377" t="s">
        <v>74</v>
      </c>
      <c r="AY377" t="s">
        <v>74</v>
      </c>
      <c r="AZ377" t="s">
        <v>74</v>
      </c>
      <c r="BA377" t="s">
        <v>74</v>
      </c>
      <c r="BB377">
        <v>439</v>
      </c>
      <c r="BC377">
        <v>448</v>
      </c>
      <c r="BD377" t="s">
        <v>74</v>
      </c>
      <c r="BE377" t="s">
        <v>7205</v>
      </c>
      <c r="BF377" t="str">
        <f>HYPERLINK("http://dx.doi.org/10.1017/S0954102009990150","http://dx.doi.org/10.1017/S0954102009990150")</f>
        <v>http://dx.doi.org/10.1017/S0954102009990150</v>
      </c>
      <c r="BG377" t="s">
        <v>74</v>
      </c>
      <c r="BH377" t="s">
        <v>74</v>
      </c>
      <c r="BI377">
        <v>10</v>
      </c>
      <c r="BJ377" t="s">
        <v>1232</v>
      </c>
      <c r="BK377" t="s">
        <v>98</v>
      </c>
      <c r="BL377" t="s">
        <v>1233</v>
      </c>
      <c r="BM377" t="s">
        <v>7162</v>
      </c>
      <c r="BN377" t="s">
        <v>74</v>
      </c>
      <c r="BO377" t="s">
        <v>74</v>
      </c>
      <c r="BP377" t="s">
        <v>74</v>
      </c>
      <c r="BQ377" t="s">
        <v>74</v>
      </c>
      <c r="BR377" t="s">
        <v>101</v>
      </c>
      <c r="BS377" t="s">
        <v>7206</v>
      </c>
      <c r="BT377" t="str">
        <f>HYPERLINK("https%3A%2F%2Fwww.webofscience.com%2Fwos%2Fwoscc%2Ffull-record%2FWOS:000271035000004","View Full Record in Web of Science")</f>
        <v>View Full Record in Web of Science</v>
      </c>
    </row>
    <row r="378" spans="1:72" x14ac:dyDescent="0.15">
      <c r="A378" t="s">
        <v>72</v>
      </c>
      <c r="B378" t="s">
        <v>7207</v>
      </c>
      <c r="C378" t="s">
        <v>74</v>
      </c>
      <c r="D378" t="s">
        <v>74</v>
      </c>
      <c r="E378" t="s">
        <v>74</v>
      </c>
      <c r="F378" t="s">
        <v>7208</v>
      </c>
      <c r="G378" t="s">
        <v>74</v>
      </c>
      <c r="H378" t="s">
        <v>74</v>
      </c>
      <c r="I378" t="s">
        <v>7209</v>
      </c>
      <c r="J378" t="s">
        <v>1224</v>
      </c>
      <c r="K378" t="s">
        <v>74</v>
      </c>
      <c r="L378" t="s">
        <v>74</v>
      </c>
      <c r="M378" t="s">
        <v>78</v>
      </c>
      <c r="N378" t="s">
        <v>79</v>
      </c>
      <c r="O378" t="s">
        <v>74</v>
      </c>
      <c r="P378" t="s">
        <v>74</v>
      </c>
      <c r="Q378" t="s">
        <v>74</v>
      </c>
      <c r="R378" t="s">
        <v>74</v>
      </c>
      <c r="S378" t="s">
        <v>74</v>
      </c>
      <c r="T378" t="s">
        <v>7210</v>
      </c>
      <c r="U378" t="s">
        <v>7211</v>
      </c>
      <c r="V378" t="s">
        <v>7212</v>
      </c>
      <c r="W378" t="s">
        <v>7213</v>
      </c>
      <c r="X378" t="s">
        <v>7214</v>
      </c>
      <c r="Y378" t="s">
        <v>7215</v>
      </c>
      <c r="Z378" t="s">
        <v>5509</v>
      </c>
      <c r="AA378" t="s">
        <v>74</v>
      </c>
      <c r="AB378" t="s">
        <v>7216</v>
      </c>
      <c r="AC378" t="s">
        <v>7217</v>
      </c>
      <c r="AD378" t="s">
        <v>7218</v>
      </c>
      <c r="AE378" t="s">
        <v>7219</v>
      </c>
      <c r="AF378" t="s">
        <v>74</v>
      </c>
      <c r="AG378">
        <v>45</v>
      </c>
      <c r="AH378">
        <v>95</v>
      </c>
      <c r="AI378">
        <v>103</v>
      </c>
      <c r="AJ378">
        <v>1</v>
      </c>
      <c r="AK378">
        <v>75</v>
      </c>
      <c r="AL378" t="s">
        <v>1226</v>
      </c>
      <c r="AM378" t="s">
        <v>684</v>
      </c>
      <c r="AN378" t="s">
        <v>1227</v>
      </c>
      <c r="AO378" t="s">
        <v>1228</v>
      </c>
      <c r="AP378" t="s">
        <v>1250</v>
      </c>
      <c r="AQ378" t="s">
        <v>74</v>
      </c>
      <c r="AR378" t="s">
        <v>1229</v>
      </c>
      <c r="AS378" t="s">
        <v>1230</v>
      </c>
      <c r="AT378" t="s">
        <v>7132</v>
      </c>
      <c r="AU378">
        <v>2009</v>
      </c>
      <c r="AV378">
        <v>21</v>
      </c>
      <c r="AW378">
        <v>5</v>
      </c>
      <c r="AX378" t="s">
        <v>74</v>
      </c>
      <c r="AY378" t="s">
        <v>74</v>
      </c>
      <c r="AZ378" t="s">
        <v>74</v>
      </c>
      <c r="BA378" t="s">
        <v>74</v>
      </c>
      <c r="BB378">
        <v>449</v>
      </c>
      <c r="BC378">
        <v>456</v>
      </c>
      <c r="BD378" t="s">
        <v>74</v>
      </c>
      <c r="BE378" t="s">
        <v>7220</v>
      </c>
      <c r="BF378" t="str">
        <f>HYPERLINK("http://dx.doi.org/10.1017/S0954102009990198","http://dx.doi.org/10.1017/S0954102009990198")</f>
        <v>http://dx.doi.org/10.1017/S0954102009990198</v>
      </c>
      <c r="BG378" t="s">
        <v>74</v>
      </c>
      <c r="BH378" t="s">
        <v>74</v>
      </c>
      <c r="BI378">
        <v>8</v>
      </c>
      <c r="BJ378" t="s">
        <v>1232</v>
      </c>
      <c r="BK378" t="s">
        <v>98</v>
      </c>
      <c r="BL378" t="s">
        <v>1233</v>
      </c>
      <c r="BM378" t="s">
        <v>7162</v>
      </c>
      <c r="BN378" t="s">
        <v>74</v>
      </c>
      <c r="BO378" t="s">
        <v>74</v>
      </c>
      <c r="BP378" t="s">
        <v>74</v>
      </c>
      <c r="BQ378" t="s">
        <v>74</v>
      </c>
      <c r="BR378" t="s">
        <v>101</v>
      </c>
      <c r="BS378" t="s">
        <v>7221</v>
      </c>
      <c r="BT378" t="str">
        <f>HYPERLINK("https%3A%2F%2Fwww.webofscience.com%2Fwos%2Fwoscc%2Ffull-record%2FWOS:000271035000005","View Full Record in Web of Science")</f>
        <v>View Full Record in Web of Science</v>
      </c>
    </row>
    <row r="379" spans="1:72" x14ac:dyDescent="0.15">
      <c r="A379" t="s">
        <v>72</v>
      </c>
      <c r="B379" t="s">
        <v>7222</v>
      </c>
      <c r="C379" t="s">
        <v>74</v>
      </c>
      <c r="D379" t="s">
        <v>74</v>
      </c>
      <c r="E379" t="s">
        <v>74</v>
      </c>
      <c r="F379" t="s">
        <v>7223</v>
      </c>
      <c r="G379" t="s">
        <v>74</v>
      </c>
      <c r="H379" t="s">
        <v>74</v>
      </c>
      <c r="I379" t="s">
        <v>7224</v>
      </c>
      <c r="J379" t="s">
        <v>1224</v>
      </c>
      <c r="K379" t="s">
        <v>74</v>
      </c>
      <c r="L379" t="s">
        <v>74</v>
      </c>
      <c r="M379" t="s">
        <v>78</v>
      </c>
      <c r="N379" t="s">
        <v>79</v>
      </c>
      <c r="O379" t="s">
        <v>74</v>
      </c>
      <c r="P379" t="s">
        <v>74</v>
      </c>
      <c r="Q379" t="s">
        <v>74</v>
      </c>
      <c r="R379" t="s">
        <v>74</v>
      </c>
      <c r="S379" t="s">
        <v>74</v>
      </c>
      <c r="T379" t="s">
        <v>7225</v>
      </c>
      <c r="U379" t="s">
        <v>7226</v>
      </c>
      <c r="V379" t="s">
        <v>7227</v>
      </c>
      <c r="W379" t="s">
        <v>7228</v>
      </c>
      <c r="X379" t="s">
        <v>6737</v>
      </c>
      <c r="Y379" t="s">
        <v>7229</v>
      </c>
      <c r="Z379" t="s">
        <v>7230</v>
      </c>
      <c r="AA379" t="s">
        <v>74</v>
      </c>
      <c r="AB379" t="s">
        <v>74</v>
      </c>
      <c r="AC379" t="s">
        <v>7231</v>
      </c>
      <c r="AD379" t="s">
        <v>7232</v>
      </c>
      <c r="AE379" t="s">
        <v>7233</v>
      </c>
      <c r="AF379" t="s">
        <v>74</v>
      </c>
      <c r="AG379">
        <v>47</v>
      </c>
      <c r="AH379">
        <v>13</v>
      </c>
      <c r="AI379">
        <v>13</v>
      </c>
      <c r="AJ379">
        <v>0</v>
      </c>
      <c r="AK379">
        <v>9</v>
      </c>
      <c r="AL379" t="s">
        <v>1226</v>
      </c>
      <c r="AM379" t="s">
        <v>684</v>
      </c>
      <c r="AN379" t="s">
        <v>1227</v>
      </c>
      <c r="AO379" t="s">
        <v>1228</v>
      </c>
      <c r="AP379" t="s">
        <v>1250</v>
      </c>
      <c r="AQ379" t="s">
        <v>74</v>
      </c>
      <c r="AR379" t="s">
        <v>1229</v>
      </c>
      <c r="AS379" t="s">
        <v>1230</v>
      </c>
      <c r="AT379" t="s">
        <v>7132</v>
      </c>
      <c r="AU379">
        <v>2009</v>
      </c>
      <c r="AV379">
        <v>21</v>
      </c>
      <c r="AW379">
        <v>5</v>
      </c>
      <c r="AX379" t="s">
        <v>74</v>
      </c>
      <c r="AY379" t="s">
        <v>74</v>
      </c>
      <c r="AZ379" t="s">
        <v>74</v>
      </c>
      <c r="BA379" t="s">
        <v>74</v>
      </c>
      <c r="BB379">
        <v>457</v>
      </c>
      <c r="BC379">
        <v>470</v>
      </c>
      <c r="BD379" t="s">
        <v>74</v>
      </c>
      <c r="BE379" t="s">
        <v>7234</v>
      </c>
      <c r="BF379" t="str">
        <f>HYPERLINK("http://dx.doi.org/10.1017/S0954102009990125","http://dx.doi.org/10.1017/S0954102009990125")</f>
        <v>http://dx.doi.org/10.1017/S0954102009990125</v>
      </c>
      <c r="BG379" t="s">
        <v>74</v>
      </c>
      <c r="BH379" t="s">
        <v>74</v>
      </c>
      <c r="BI379">
        <v>14</v>
      </c>
      <c r="BJ379" t="s">
        <v>1232</v>
      </c>
      <c r="BK379" t="s">
        <v>98</v>
      </c>
      <c r="BL379" t="s">
        <v>1233</v>
      </c>
      <c r="BM379" t="s">
        <v>7162</v>
      </c>
      <c r="BN379" t="s">
        <v>74</v>
      </c>
      <c r="BO379" t="s">
        <v>808</v>
      </c>
      <c r="BP379" t="s">
        <v>74</v>
      </c>
      <c r="BQ379" t="s">
        <v>74</v>
      </c>
      <c r="BR379" t="s">
        <v>101</v>
      </c>
      <c r="BS379" t="s">
        <v>7235</v>
      </c>
      <c r="BT379" t="str">
        <f>HYPERLINK("https%3A%2F%2Fwww.webofscience.com%2Fwos%2Fwoscc%2Ffull-record%2FWOS:000271035000006","View Full Record in Web of Science")</f>
        <v>View Full Record in Web of Science</v>
      </c>
    </row>
    <row r="380" spans="1:72" x14ac:dyDescent="0.15">
      <c r="A380" t="s">
        <v>72</v>
      </c>
      <c r="B380" t="s">
        <v>7236</v>
      </c>
      <c r="C380" t="s">
        <v>74</v>
      </c>
      <c r="D380" t="s">
        <v>74</v>
      </c>
      <c r="E380" t="s">
        <v>74</v>
      </c>
      <c r="F380" t="s">
        <v>7237</v>
      </c>
      <c r="G380" t="s">
        <v>74</v>
      </c>
      <c r="H380" t="s">
        <v>74</v>
      </c>
      <c r="I380" t="s">
        <v>7238</v>
      </c>
      <c r="J380" t="s">
        <v>1224</v>
      </c>
      <c r="K380" t="s">
        <v>74</v>
      </c>
      <c r="L380" t="s">
        <v>74</v>
      </c>
      <c r="M380" t="s">
        <v>78</v>
      </c>
      <c r="N380" t="s">
        <v>79</v>
      </c>
      <c r="O380" t="s">
        <v>74</v>
      </c>
      <c r="P380" t="s">
        <v>74</v>
      </c>
      <c r="Q380" t="s">
        <v>74</v>
      </c>
      <c r="R380" t="s">
        <v>74</v>
      </c>
      <c r="S380" t="s">
        <v>74</v>
      </c>
      <c r="T380" t="s">
        <v>7239</v>
      </c>
      <c r="U380" t="s">
        <v>7240</v>
      </c>
      <c r="V380" t="s">
        <v>7241</v>
      </c>
      <c r="W380" t="s">
        <v>7242</v>
      </c>
      <c r="X380" t="s">
        <v>7118</v>
      </c>
      <c r="Y380" t="s">
        <v>7243</v>
      </c>
      <c r="Z380" t="s">
        <v>7244</v>
      </c>
      <c r="AA380" t="s">
        <v>3028</v>
      </c>
      <c r="AB380" t="s">
        <v>3029</v>
      </c>
      <c r="AC380" t="s">
        <v>74</v>
      </c>
      <c r="AD380" t="s">
        <v>74</v>
      </c>
      <c r="AE380" t="s">
        <v>74</v>
      </c>
      <c r="AF380" t="s">
        <v>74</v>
      </c>
      <c r="AG380">
        <v>24</v>
      </c>
      <c r="AH380">
        <v>39</v>
      </c>
      <c r="AI380">
        <v>41</v>
      </c>
      <c r="AJ380">
        <v>0</v>
      </c>
      <c r="AK380">
        <v>20</v>
      </c>
      <c r="AL380" t="s">
        <v>1226</v>
      </c>
      <c r="AM380" t="s">
        <v>684</v>
      </c>
      <c r="AN380" t="s">
        <v>1227</v>
      </c>
      <c r="AO380" t="s">
        <v>1228</v>
      </c>
      <c r="AP380" t="s">
        <v>74</v>
      </c>
      <c r="AQ380" t="s">
        <v>74</v>
      </c>
      <c r="AR380" t="s">
        <v>1229</v>
      </c>
      <c r="AS380" t="s">
        <v>1230</v>
      </c>
      <c r="AT380" t="s">
        <v>7132</v>
      </c>
      <c r="AU380">
        <v>2009</v>
      </c>
      <c r="AV380">
        <v>21</v>
      </c>
      <c r="AW380">
        <v>5</v>
      </c>
      <c r="AX380" t="s">
        <v>74</v>
      </c>
      <c r="AY380" t="s">
        <v>74</v>
      </c>
      <c r="AZ380" t="s">
        <v>74</v>
      </c>
      <c r="BA380" t="s">
        <v>74</v>
      </c>
      <c r="BB380">
        <v>471</v>
      </c>
      <c r="BC380">
        <v>475</v>
      </c>
      <c r="BD380" t="s">
        <v>74</v>
      </c>
      <c r="BE380" t="s">
        <v>7245</v>
      </c>
      <c r="BF380" t="str">
        <f>HYPERLINK("http://dx.doi.org/10.1017/S0954102009990162","http://dx.doi.org/10.1017/S0954102009990162")</f>
        <v>http://dx.doi.org/10.1017/S0954102009990162</v>
      </c>
      <c r="BG380" t="s">
        <v>74</v>
      </c>
      <c r="BH380" t="s">
        <v>74</v>
      </c>
      <c r="BI380">
        <v>5</v>
      </c>
      <c r="BJ380" t="s">
        <v>1232</v>
      </c>
      <c r="BK380" t="s">
        <v>98</v>
      </c>
      <c r="BL380" t="s">
        <v>1233</v>
      </c>
      <c r="BM380" t="s">
        <v>7162</v>
      </c>
      <c r="BN380" t="s">
        <v>74</v>
      </c>
      <c r="BO380" t="s">
        <v>74</v>
      </c>
      <c r="BP380" t="s">
        <v>74</v>
      </c>
      <c r="BQ380" t="s">
        <v>74</v>
      </c>
      <c r="BR380" t="s">
        <v>101</v>
      </c>
      <c r="BS380" t="s">
        <v>7246</v>
      </c>
      <c r="BT380" t="str">
        <f>HYPERLINK("https%3A%2F%2Fwww.webofscience.com%2Fwos%2Fwoscc%2Ffull-record%2FWOS:000271035000007","View Full Record in Web of Science")</f>
        <v>View Full Record in Web of Science</v>
      </c>
    </row>
    <row r="381" spans="1:72" x14ac:dyDescent="0.15">
      <c r="A381" t="s">
        <v>72</v>
      </c>
      <c r="B381" t="s">
        <v>7247</v>
      </c>
      <c r="C381" t="s">
        <v>74</v>
      </c>
      <c r="D381" t="s">
        <v>74</v>
      </c>
      <c r="E381" t="s">
        <v>74</v>
      </c>
      <c r="F381" t="s">
        <v>7248</v>
      </c>
      <c r="G381" t="s">
        <v>74</v>
      </c>
      <c r="H381" t="s">
        <v>74</v>
      </c>
      <c r="I381" t="s">
        <v>7249</v>
      </c>
      <c r="J381" t="s">
        <v>1224</v>
      </c>
      <c r="K381" t="s">
        <v>74</v>
      </c>
      <c r="L381" t="s">
        <v>74</v>
      </c>
      <c r="M381" t="s">
        <v>78</v>
      </c>
      <c r="N381" t="s">
        <v>79</v>
      </c>
      <c r="O381" t="s">
        <v>74</v>
      </c>
      <c r="P381" t="s">
        <v>74</v>
      </c>
      <c r="Q381" t="s">
        <v>74</v>
      </c>
      <c r="R381" t="s">
        <v>74</v>
      </c>
      <c r="S381" t="s">
        <v>74</v>
      </c>
      <c r="T381" t="s">
        <v>7250</v>
      </c>
      <c r="U381" t="s">
        <v>7251</v>
      </c>
      <c r="V381" t="s">
        <v>7252</v>
      </c>
      <c r="W381" t="s">
        <v>7253</v>
      </c>
      <c r="X381" t="s">
        <v>7254</v>
      </c>
      <c r="Y381" t="s">
        <v>7255</v>
      </c>
      <c r="Z381" t="s">
        <v>7256</v>
      </c>
      <c r="AA381" t="s">
        <v>74</v>
      </c>
      <c r="AB381" t="s">
        <v>74</v>
      </c>
      <c r="AC381" t="s">
        <v>7257</v>
      </c>
      <c r="AD381" t="s">
        <v>7257</v>
      </c>
      <c r="AE381" t="s">
        <v>7258</v>
      </c>
      <c r="AF381" t="s">
        <v>74</v>
      </c>
      <c r="AG381">
        <v>49</v>
      </c>
      <c r="AH381">
        <v>12</v>
      </c>
      <c r="AI381">
        <v>13</v>
      </c>
      <c r="AJ381">
        <v>0</v>
      </c>
      <c r="AK381">
        <v>20</v>
      </c>
      <c r="AL381" t="s">
        <v>1226</v>
      </c>
      <c r="AM381" t="s">
        <v>684</v>
      </c>
      <c r="AN381" t="s">
        <v>1227</v>
      </c>
      <c r="AO381" t="s">
        <v>1228</v>
      </c>
      <c r="AP381" t="s">
        <v>1250</v>
      </c>
      <c r="AQ381" t="s">
        <v>74</v>
      </c>
      <c r="AR381" t="s">
        <v>1229</v>
      </c>
      <c r="AS381" t="s">
        <v>1230</v>
      </c>
      <c r="AT381" t="s">
        <v>7132</v>
      </c>
      <c r="AU381">
        <v>2009</v>
      </c>
      <c r="AV381">
        <v>21</v>
      </c>
      <c r="AW381">
        <v>5</v>
      </c>
      <c r="AX381" t="s">
        <v>74</v>
      </c>
      <c r="AY381" t="s">
        <v>74</v>
      </c>
      <c r="AZ381" t="s">
        <v>74</v>
      </c>
      <c r="BA381" t="s">
        <v>74</v>
      </c>
      <c r="BB381">
        <v>477</v>
      </c>
      <c r="BC381">
        <v>482</v>
      </c>
      <c r="BD381" t="s">
        <v>74</v>
      </c>
      <c r="BE381" t="s">
        <v>7259</v>
      </c>
      <c r="BF381" t="str">
        <f>HYPERLINK("http://dx.doi.org/10.1017/S095410200900203X","http://dx.doi.org/10.1017/S095410200900203X")</f>
        <v>http://dx.doi.org/10.1017/S095410200900203X</v>
      </c>
      <c r="BG381" t="s">
        <v>74</v>
      </c>
      <c r="BH381" t="s">
        <v>74</v>
      </c>
      <c r="BI381">
        <v>6</v>
      </c>
      <c r="BJ381" t="s">
        <v>1232</v>
      </c>
      <c r="BK381" t="s">
        <v>98</v>
      </c>
      <c r="BL381" t="s">
        <v>1233</v>
      </c>
      <c r="BM381" t="s">
        <v>7162</v>
      </c>
      <c r="BN381" t="s">
        <v>74</v>
      </c>
      <c r="BO381" t="s">
        <v>74</v>
      </c>
      <c r="BP381" t="s">
        <v>74</v>
      </c>
      <c r="BQ381" t="s">
        <v>74</v>
      </c>
      <c r="BR381" t="s">
        <v>101</v>
      </c>
      <c r="BS381" t="s">
        <v>7260</v>
      </c>
      <c r="BT381" t="str">
        <f>HYPERLINK("https%3A%2F%2Fwww.webofscience.com%2Fwos%2Fwoscc%2Ffull-record%2FWOS:000271035000008","View Full Record in Web of Science")</f>
        <v>View Full Record in Web of Science</v>
      </c>
    </row>
    <row r="382" spans="1:72" x14ac:dyDescent="0.15">
      <c r="A382" t="s">
        <v>72</v>
      </c>
      <c r="B382" t="s">
        <v>7261</v>
      </c>
      <c r="C382" t="s">
        <v>74</v>
      </c>
      <c r="D382" t="s">
        <v>74</v>
      </c>
      <c r="E382" t="s">
        <v>74</v>
      </c>
      <c r="F382" t="s">
        <v>7262</v>
      </c>
      <c r="G382" t="s">
        <v>74</v>
      </c>
      <c r="H382" t="s">
        <v>74</v>
      </c>
      <c r="I382" t="s">
        <v>7263</v>
      </c>
      <c r="J382" t="s">
        <v>1224</v>
      </c>
      <c r="K382" t="s">
        <v>74</v>
      </c>
      <c r="L382" t="s">
        <v>74</v>
      </c>
      <c r="M382" t="s">
        <v>78</v>
      </c>
      <c r="N382" t="s">
        <v>79</v>
      </c>
      <c r="O382" t="s">
        <v>74</v>
      </c>
      <c r="P382" t="s">
        <v>74</v>
      </c>
      <c r="Q382" t="s">
        <v>74</v>
      </c>
      <c r="R382" t="s">
        <v>74</v>
      </c>
      <c r="S382" t="s">
        <v>74</v>
      </c>
      <c r="T382" t="s">
        <v>7264</v>
      </c>
      <c r="U382" t="s">
        <v>7265</v>
      </c>
      <c r="V382" t="s">
        <v>7266</v>
      </c>
      <c r="W382" t="s">
        <v>7267</v>
      </c>
      <c r="X382" t="s">
        <v>7268</v>
      </c>
      <c r="Y382" t="s">
        <v>7269</v>
      </c>
      <c r="Z382" t="s">
        <v>7270</v>
      </c>
      <c r="AA382" t="s">
        <v>74</v>
      </c>
      <c r="AB382" t="s">
        <v>74</v>
      </c>
      <c r="AC382" t="s">
        <v>7271</v>
      </c>
      <c r="AD382" t="s">
        <v>7272</v>
      </c>
      <c r="AE382" t="s">
        <v>7273</v>
      </c>
      <c r="AF382" t="s">
        <v>74</v>
      </c>
      <c r="AG382">
        <v>74</v>
      </c>
      <c r="AH382">
        <v>3</v>
      </c>
      <c r="AI382">
        <v>4</v>
      </c>
      <c r="AJ382">
        <v>0</v>
      </c>
      <c r="AK382">
        <v>5</v>
      </c>
      <c r="AL382" t="s">
        <v>1226</v>
      </c>
      <c r="AM382" t="s">
        <v>684</v>
      </c>
      <c r="AN382" t="s">
        <v>1227</v>
      </c>
      <c r="AO382" t="s">
        <v>1228</v>
      </c>
      <c r="AP382" t="s">
        <v>1250</v>
      </c>
      <c r="AQ382" t="s">
        <v>74</v>
      </c>
      <c r="AR382" t="s">
        <v>1229</v>
      </c>
      <c r="AS382" t="s">
        <v>1230</v>
      </c>
      <c r="AT382" t="s">
        <v>7132</v>
      </c>
      <c r="AU382">
        <v>2009</v>
      </c>
      <c r="AV382">
        <v>21</v>
      </c>
      <c r="AW382">
        <v>5</v>
      </c>
      <c r="AX382" t="s">
        <v>74</v>
      </c>
      <c r="AY382" t="s">
        <v>74</v>
      </c>
      <c r="AZ382" t="s">
        <v>74</v>
      </c>
      <c r="BA382" t="s">
        <v>74</v>
      </c>
      <c r="BB382">
        <v>483</v>
      </c>
      <c r="BC382">
        <v>499</v>
      </c>
      <c r="BD382" t="s">
        <v>74</v>
      </c>
      <c r="BE382" t="s">
        <v>7274</v>
      </c>
      <c r="BF382" t="str">
        <f>HYPERLINK("http://dx.doi.org/10.1017/S0954102009990186","http://dx.doi.org/10.1017/S0954102009990186")</f>
        <v>http://dx.doi.org/10.1017/S0954102009990186</v>
      </c>
      <c r="BG382" t="s">
        <v>74</v>
      </c>
      <c r="BH382" t="s">
        <v>74</v>
      </c>
      <c r="BI382">
        <v>17</v>
      </c>
      <c r="BJ382" t="s">
        <v>1232</v>
      </c>
      <c r="BK382" t="s">
        <v>98</v>
      </c>
      <c r="BL382" t="s">
        <v>1233</v>
      </c>
      <c r="BM382" t="s">
        <v>7162</v>
      </c>
      <c r="BN382" t="s">
        <v>74</v>
      </c>
      <c r="BO382" t="s">
        <v>74</v>
      </c>
      <c r="BP382" t="s">
        <v>74</v>
      </c>
      <c r="BQ382" t="s">
        <v>74</v>
      </c>
      <c r="BR382" t="s">
        <v>101</v>
      </c>
      <c r="BS382" t="s">
        <v>7275</v>
      </c>
      <c r="BT382" t="str">
        <f>HYPERLINK("https%3A%2F%2Fwww.webofscience.com%2Fwos%2Fwoscc%2Ffull-record%2FWOS:000271035000009","View Full Record in Web of Science")</f>
        <v>View Full Record in Web of Science</v>
      </c>
    </row>
    <row r="383" spans="1:72" x14ac:dyDescent="0.15">
      <c r="A383" t="s">
        <v>72</v>
      </c>
      <c r="B383" t="s">
        <v>7276</v>
      </c>
      <c r="C383" t="s">
        <v>74</v>
      </c>
      <c r="D383" t="s">
        <v>74</v>
      </c>
      <c r="E383" t="s">
        <v>74</v>
      </c>
      <c r="F383" t="s">
        <v>7277</v>
      </c>
      <c r="G383" t="s">
        <v>74</v>
      </c>
      <c r="H383" t="s">
        <v>74</v>
      </c>
      <c r="I383" t="s">
        <v>7278</v>
      </c>
      <c r="J383" t="s">
        <v>1224</v>
      </c>
      <c r="K383" t="s">
        <v>74</v>
      </c>
      <c r="L383" t="s">
        <v>74</v>
      </c>
      <c r="M383" t="s">
        <v>78</v>
      </c>
      <c r="N383" t="s">
        <v>79</v>
      </c>
      <c r="O383" t="s">
        <v>74</v>
      </c>
      <c r="P383" t="s">
        <v>74</v>
      </c>
      <c r="Q383" t="s">
        <v>74</v>
      </c>
      <c r="R383" t="s">
        <v>74</v>
      </c>
      <c r="S383" t="s">
        <v>74</v>
      </c>
      <c r="T383" t="s">
        <v>7279</v>
      </c>
      <c r="U383" t="s">
        <v>7280</v>
      </c>
      <c r="V383" t="s">
        <v>7281</v>
      </c>
      <c r="W383" t="s">
        <v>7282</v>
      </c>
      <c r="X383" t="s">
        <v>7283</v>
      </c>
      <c r="Y383" t="s">
        <v>7284</v>
      </c>
      <c r="Z383" t="s">
        <v>7285</v>
      </c>
      <c r="AA383" t="s">
        <v>74</v>
      </c>
      <c r="AB383" t="s">
        <v>74</v>
      </c>
      <c r="AC383" t="s">
        <v>7286</v>
      </c>
      <c r="AD383" t="s">
        <v>7287</v>
      </c>
      <c r="AE383" t="s">
        <v>7288</v>
      </c>
      <c r="AF383" t="s">
        <v>74</v>
      </c>
      <c r="AG383">
        <v>36</v>
      </c>
      <c r="AH383">
        <v>6</v>
      </c>
      <c r="AI383">
        <v>6</v>
      </c>
      <c r="AJ383">
        <v>0</v>
      </c>
      <c r="AK383">
        <v>2</v>
      </c>
      <c r="AL383" t="s">
        <v>1226</v>
      </c>
      <c r="AM383" t="s">
        <v>684</v>
      </c>
      <c r="AN383" t="s">
        <v>1227</v>
      </c>
      <c r="AO383" t="s">
        <v>1228</v>
      </c>
      <c r="AP383" t="s">
        <v>1250</v>
      </c>
      <c r="AQ383" t="s">
        <v>74</v>
      </c>
      <c r="AR383" t="s">
        <v>1229</v>
      </c>
      <c r="AS383" t="s">
        <v>1230</v>
      </c>
      <c r="AT383" t="s">
        <v>7132</v>
      </c>
      <c r="AU383">
        <v>2009</v>
      </c>
      <c r="AV383">
        <v>21</v>
      </c>
      <c r="AW383">
        <v>5</v>
      </c>
      <c r="AX383" t="s">
        <v>74</v>
      </c>
      <c r="AY383" t="s">
        <v>74</v>
      </c>
      <c r="AZ383" t="s">
        <v>74</v>
      </c>
      <c r="BA383" t="s">
        <v>74</v>
      </c>
      <c r="BB383">
        <v>501</v>
      </c>
      <c r="BC383">
        <v>504</v>
      </c>
      <c r="BD383" t="s">
        <v>74</v>
      </c>
      <c r="BE383" t="s">
        <v>7289</v>
      </c>
      <c r="BF383" t="str">
        <f>HYPERLINK("http://dx.doi.org/10.1017/S0954102009990228","http://dx.doi.org/10.1017/S0954102009990228")</f>
        <v>http://dx.doi.org/10.1017/S0954102009990228</v>
      </c>
      <c r="BG383" t="s">
        <v>74</v>
      </c>
      <c r="BH383" t="s">
        <v>74</v>
      </c>
      <c r="BI383">
        <v>4</v>
      </c>
      <c r="BJ383" t="s">
        <v>1232</v>
      </c>
      <c r="BK383" t="s">
        <v>98</v>
      </c>
      <c r="BL383" t="s">
        <v>1233</v>
      </c>
      <c r="BM383" t="s">
        <v>7162</v>
      </c>
      <c r="BN383" t="s">
        <v>74</v>
      </c>
      <c r="BO383" t="s">
        <v>239</v>
      </c>
      <c r="BP383" t="s">
        <v>74</v>
      </c>
      <c r="BQ383" t="s">
        <v>74</v>
      </c>
      <c r="BR383" t="s">
        <v>101</v>
      </c>
      <c r="BS383" t="s">
        <v>7290</v>
      </c>
      <c r="BT383" t="str">
        <f>HYPERLINK("https%3A%2F%2Fwww.webofscience.com%2Fwos%2Fwoscc%2Ffull-record%2FWOS:000271035000010","View Full Record in Web of Science")</f>
        <v>View Full Record in Web of Science</v>
      </c>
    </row>
    <row r="384" spans="1:72" x14ac:dyDescent="0.15">
      <c r="A384" t="s">
        <v>72</v>
      </c>
      <c r="B384" t="s">
        <v>7291</v>
      </c>
      <c r="C384" t="s">
        <v>74</v>
      </c>
      <c r="D384" t="s">
        <v>74</v>
      </c>
      <c r="E384" t="s">
        <v>74</v>
      </c>
      <c r="F384" t="s">
        <v>7292</v>
      </c>
      <c r="G384" t="s">
        <v>74</v>
      </c>
      <c r="H384" t="s">
        <v>74</v>
      </c>
      <c r="I384" t="s">
        <v>7293</v>
      </c>
      <c r="J384" t="s">
        <v>1224</v>
      </c>
      <c r="K384" t="s">
        <v>74</v>
      </c>
      <c r="L384" t="s">
        <v>74</v>
      </c>
      <c r="M384" t="s">
        <v>78</v>
      </c>
      <c r="N384" t="s">
        <v>79</v>
      </c>
      <c r="O384" t="s">
        <v>74</v>
      </c>
      <c r="P384" t="s">
        <v>74</v>
      </c>
      <c r="Q384" t="s">
        <v>74</v>
      </c>
      <c r="R384" t="s">
        <v>74</v>
      </c>
      <c r="S384" t="s">
        <v>74</v>
      </c>
      <c r="T384" t="s">
        <v>7294</v>
      </c>
      <c r="U384" t="s">
        <v>7295</v>
      </c>
      <c r="V384" t="s">
        <v>7296</v>
      </c>
      <c r="W384" t="s">
        <v>7297</v>
      </c>
      <c r="X384" t="s">
        <v>7298</v>
      </c>
      <c r="Y384" t="s">
        <v>7299</v>
      </c>
      <c r="Z384" t="s">
        <v>7300</v>
      </c>
      <c r="AA384" t="s">
        <v>7301</v>
      </c>
      <c r="AB384" t="s">
        <v>7302</v>
      </c>
      <c r="AC384" t="s">
        <v>7303</v>
      </c>
      <c r="AD384" t="s">
        <v>7304</v>
      </c>
      <c r="AE384" t="s">
        <v>7305</v>
      </c>
      <c r="AF384" t="s">
        <v>74</v>
      </c>
      <c r="AG384">
        <v>24</v>
      </c>
      <c r="AH384">
        <v>7</v>
      </c>
      <c r="AI384">
        <v>7</v>
      </c>
      <c r="AJ384">
        <v>0</v>
      </c>
      <c r="AK384">
        <v>9</v>
      </c>
      <c r="AL384" t="s">
        <v>1226</v>
      </c>
      <c r="AM384" t="s">
        <v>684</v>
      </c>
      <c r="AN384" t="s">
        <v>1227</v>
      </c>
      <c r="AO384" t="s">
        <v>1228</v>
      </c>
      <c r="AP384" t="s">
        <v>1250</v>
      </c>
      <c r="AQ384" t="s">
        <v>74</v>
      </c>
      <c r="AR384" t="s">
        <v>1229</v>
      </c>
      <c r="AS384" t="s">
        <v>1230</v>
      </c>
      <c r="AT384" t="s">
        <v>7132</v>
      </c>
      <c r="AU384">
        <v>2009</v>
      </c>
      <c r="AV384">
        <v>21</v>
      </c>
      <c r="AW384">
        <v>5</v>
      </c>
      <c r="AX384" t="s">
        <v>74</v>
      </c>
      <c r="AY384" t="s">
        <v>74</v>
      </c>
      <c r="AZ384" t="s">
        <v>74</v>
      </c>
      <c r="BA384" t="s">
        <v>74</v>
      </c>
      <c r="BB384">
        <v>505</v>
      </c>
      <c r="BC384">
        <v>513</v>
      </c>
      <c r="BD384" t="s">
        <v>74</v>
      </c>
      <c r="BE384" t="s">
        <v>7306</v>
      </c>
      <c r="BF384" t="str">
        <f>HYPERLINK("http://dx.doi.org/10.1017/S0954102009002053","http://dx.doi.org/10.1017/S0954102009002053")</f>
        <v>http://dx.doi.org/10.1017/S0954102009002053</v>
      </c>
      <c r="BG384" t="s">
        <v>74</v>
      </c>
      <c r="BH384" t="s">
        <v>74</v>
      </c>
      <c r="BI384">
        <v>9</v>
      </c>
      <c r="BJ384" t="s">
        <v>1232</v>
      </c>
      <c r="BK384" t="s">
        <v>98</v>
      </c>
      <c r="BL384" t="s">
        <v>1233</v>
      </c>
      <c r="BM384" t="s">
        <v>7162</v>
      </c>
      <c r="BN384" t="s">
        <v>74</v>
      </c>
      <c r="BO384" t="s">
        <v>74</v>
      </c>
      <c r="BP384" t="s">
        <v>74</v>
      </c>
      <c r="BQ384" t="s">
        <v>74</v>
      </c>
      <c r="BR384" t="s">
        <v>101</v>
      </c>
      <c r="BS384" t="s">
        <v>7307</v>
      </c>
      <c r="BT384" t="str">
        <f>HYPERLINK("https%3A%2F%2Fwww.webofscience.com%2Fwos%2Fwoscc%2Ffull-record%2FWOS:000271035000011","View Full Record in Web of Science")</f>
        <v>View Full Record in Web of Science</v>
      </c>
    </row>
    <row r="385" spans="1:72" x14ac:dyDescent="0.15">
      <c r="A385" t="s">
        <v>72</v>
      </c>
      <c r="B385" t="s">
        <v>7308</v>
      </c>
      <c r="C385" t="s">
        <v>74</v>
      </c>
      <c r="D385" t="s">
        <v>74</v>
      </c>
      <c r="E385" t="s">
        <v>74</v>
      </c>
      <c r="F385" t="s">
        <v>7309</v>
      </c>
      <c r="G385" t="s">
        <v>74</v>
      </c>
      <c r="H385" t="s">
        <v>74</v>
      </c>
      <c r="I385" t="s">
        <v>7310</v>
      </c>
      <c r="J385" t="s">
        <v>1224</v>
      </c>
      <c r="K385" t="s">
        <v>74</v>
      </c>
      <c r="L385" t="s">
        <v>74</v>
      </c>
      <c r="M385" t="s">
        <v>78</v>
      </c>
      <c r="N385" t="s">
        <v>79</v>
      </c>
      <c r="O385" t="s">
        <v>74</v>
      </c>
      <c r="P385" t="s">
        <v>74</v>
      </c>
      <c r="Q385" t="s">
        <v>74</v>
      </c>
      <c r="R385" t="s">
        <v>74</v>
      </c>
      <c r="S385" t="s">
        <v>74</v>
      </c>
      <c r="T385" t="s">
        <v>7311</v>
      </c>
      <c r="U385" t="s">
        <v>7312</v>
      </c>
      <c r="V385" t="s">
        <v>7313</v>
      </c>
      <c r="W385" t="s">
        <v>7314</v>
      </c>
      <c r="X385" t="s">
        <v>7315</v>
      </c>
      <c r="Y385" t="s">
        <v>7316</v>
      </c>
      <c r="Z385" t="s">
        <v>7317</v>
      </c>
      <c r="AA385" t="s">
        <v>7318</v>
      </c>
      <c r="AB385" t="s">
        <v>7319</v>
      </c>
      <c r="AC385" t="s">
        <v>7320</v>
      </c>
      <c r="AD385" t="s">
        <v>7321</v>
      </c>
      <c r="AE385" t="s">
        <v>7322</v>
      </c>
      <c r="AF385" t="s">
        <v>74</v>
      </c>
      <c r="AG385">
        <v>51</v>
      </c>
      <c r="AH385">
        <v>96</v>
      </c>
      <c r="AI385">
        <v>113</v>
      </c>
      <c r="AJ385">
        <v>2</v>
      </c>
      <c r="AK385">
        <v>39</v>
      </c>
      <c r="AL385" t="s">
        <v>1226</v>
      </c>
      <c r="AM385" t="s">
        <v>684</v>
      </c>
      <c r="AN385" t="s">
        <v>1227</v>
      </c>
      <c r="AO385" t="s">
        <v>1228</v>
      </c>
      <c r="AP385" t="s">
        <v>1250</v>
      </c>
      <c r="AQ385" t="s">
        <v>74</v>
      </c>
      <c r="AR385" t="s">
        <v>1229</v>
      </c>
      <c r="AS385" t="s">
        <v>1230</v>
      </c>
      <c r="AT385" t="s">
        <v>7132</v>
      </c>
      <c r="AU385">
        <v>2009</v>
      </c>
      <c r="AV385">
        <v>21</v>
      </c>
      <c r="AW385">
        <v>5</v>
      </c>
      <c r="AX385" t="s">
        <v>74</v>
      </c>
      <c r="AY385" t="s">
        <v>74</v>
      </c>
      <c r="AZ385" t="s">
        <v>74</v>
      </c>
      <c r="BA385" t="s">
        <v>74</v>
      </c>
      <c r="BB385">
        <v>515</v>
      </c>
      <c r="BC385">
        <v>532</v>
      </c>
      <c r="BD385" t="s">
        <v>74</v>
      </c>
      <c r="BE385" t="s">
        <v>7323</v>
      </c>
      <c r="BF385" t="str">
        <f>HYPERLINK("http://dx.doi.org/10.1017/S095410200999023X","http://dx.doi.org/10.1017/S095410200999023X")</f>
        <v>http://dx.doi.org/10.1017/S095410200999023X</v>
      </c>
      <c r="BG385" t="s">
        <v>74</v>
      </c>
      <c r="BH385" t="s">
        <v>74</v>
      </c>
      <c r="BI385">
        <v>18</v>
      </c>
      <c r="BJ385" t="s">
        <v>1232</v>
      </c>
      <c r="BK385" t="s">
        <v>98</v>
      </c>
      <c r="BL385" t="s">
        <v>1233</v>
      </c>
      <c r="BM385" t="s">
        <v>7162</v>
      </c>
      <c r="BN385" t="s">
        <v>74</v>
      </c>
      <c r="BO385" t="s">
        <v>74</v>
      </c>
      <c r="BP385" t="s">
        <v>74</v>
      </c>
      <c r="BQ385" t="s">
        <v>74</v>
      </c>
      <c r="BR385" t="s">
        <v>101</v>
      </c>
      <c r="BS385" t="s">
        <v>7324</v>
      </c>
      <c r="BT385" t="str">
        <f>HYPERLINK("https%3A%2F%2Fwww.webofscience.com%2Fwos%2Fwoscc%2Ffull-record%2FWOS:000271035000012","View Full Record in Web of Science")</f>
        <v>View Full Record in Web of Science</v>
      </c>
    </row>
    <row r="386" spans="1:72" x14ac:dyDescent="0.15">
      <c r="A386" t="s">
        <v>72</v>
      </c>
      <c r="B386" t="s">
        <v>7325</v>
      </c>
      <c r="C386" t="s">
        <v>74</v>
      </c>
      <c r="D386" t="s">
        <v>74</v>
      </c>
      <c r="E386" t="s">
        <v>74</v>
      </c>
      <c r="F386" t="s">
        <v>7326</v>
      </c>
      <c r="G386" t="s">
        <v>74</v>
      </c>
      <c r="H386" t="s">
        <v>74</v>
      </c>
      <c r="I386" t="s">
        <v>7327</v>
      </c>
      <c r="J386" t="s">
        <v>1224</v>
      </c>
      <c r="K386" t="s">
        <v>74</v>
      </c>
      <c r="L386" t="s">
        <v>74</v>
      </c>
      <c r="M386" t="s">
        <v>78</v>
      </c>
      <c r="N386" t="s">
        <v>79</v>
      </c>
      <c r="O386" t="s">
        <v>74</v>
      </c>
      <c r="P386" t="s">
        <v>74</v>
      </c>
      <c r="Q386" t="s">
        <v>74</v>
      </c>
      <c r="R386" t="s">
        <v>74</v>
      </c>
      <c r="S386" t="s">
        <v>74</v>
      </c>
      <c r="T386" t="s">
        <v>74</v>
      </c>
      <c r="U386" t="s">
        <v>7328</v>
      </c>
      <c r="V386" t="s">
        <v>74</v>
      </c>
      <c r="W386" t="s">
        <v>7329</v>
      </c>
      <c r="X386" t="s">
        <v>7330</v>
      </c>
      <c r="Y386" t="s">
        <v>7331</v>
      </c>
      <c r="Z386" t="s">
        <v>7332</v>
      </c>
      <c r="AA386" t="s">
        <v>74</v>
      </c>
      <c r="AB386" t="s">
        <v>7333</v>
      </c>
      <c r="AC386" t="s">
        <v>74</v>
      </c>
      <c r="AD386" t="s">
        <v>74</v>
      </c>
      <c r="AE386" t="s">
        <v>74</v>
      </c>
      <c r="AF386" t="s">
        <v>74</v>
      </c>
      <c r="AG386">
        <v>5</v>
      </c>
      <c r="AH386">
        <v>0</v>
      </c>
      <c r="AI386">
        <v>0</v>
      </c>
      <c r="AJ386">
        <v>0</v>
      </c>
      <c r="AK386">
        <v>1</v>
      </c>
      <c r="AL386" t="s">
        <v>1226</v>
      </c>
      <c r="AM386" t="s">
        <v>684</v>
      </c>
      <c r="AN386" t="s">
        <v>1227</v>
      </c>
      <c r="AO386" t="s">
        <v>1228</v>
      </c>
      <c r="AP386" t="s">
        <v>74</v>
      </c>
      <c r="AQ386" t="s">
        <v>74</v>
      </c>
      <c r="AR386" t="s">
        <v>1229</v>
      </c>
      <c r="AS386" t="s">
        <v>1230</v>
      </c>
      <c r="AT386" t="s">
        <v>7132</v>
      </c>
      <c r="AU386">
        <v>2009</v>
      </c>
      <c r="AV386">
        <v>21</v>
      </c>
      <c r="AW386">
        <v>5</v>
      </c>
      <c r="AX386" t="s">
        <v>74</v>
      </c>
      <c r="AY386" t="s">
        <v>74</v>
      </c>
      <c r="AZ386" t="s">
        <v>74</v>
      </c>
      <c r="BA386" t="s">
        <v>74</v>
      </c>
      <c r="BB386">
        <v>533</v>
      </c>
      <c r="BC386">
        <v>534</v>
      </c>
      <c r="BD386" t="s">
        <v>74</v>
      </c>
      <c r="BE386" t="s">
        <v>7334</v>
      </c>
      <c r="BF386" t="str">
        <f>HYPERLINK("http://dx.doi.org/10.1017/S0954102009990174","http://dx.doi.org/10.1017/S0954102009990174")</f>
        <v>http://dx.doi.org/10.1017/S0954102009990174</v>
      </c>
      <c r="BG386" t="s">
        <v>74</v>
      </c>
      <c r="BH386" t="s">
        <v>74</v>
      </c>
      <c r="BI386">
        <v>2</v>
      </c>
      <c r="BJ386" t="s">
        <v>1232</v>
      </c>
      <c r="BK386" t="s">
        <v>98</v>
      </c>
      <c r="BL386" t="s">
        <v>1233</v>
      </c>
      <c r="BM386" t="s">
        <v>7162</v>
      </c>
      <c r="BN386" t="s">
        <v>74</v>
      </c>
      <c r="BO386" t="s">
        <v>74</v>
      </c>
      <c r="BP386" t="s">
        <v>74</v>
      </c>
      <c r="BQ386" t="s">
        <v>74</v>
      </c>
      <c r="BR386" t="s">
        <v>101</v>
      </c>
      <c r="BS386" t="s">
        <v>7335</v>
      </c>
      <c r="BT386" t="str">
        <f>HYPERLINK("https%3A%2F%2Fwww.webofscience.com%2Fwos%2Fwoscc%2Ffull-record%2FWOS:000271035000013","View Full Record in Web of Science")</f>
        <v>View Full Record in Web of Science</v>
      </c>
    </row>
    <row r="387" spans="1:72" x14ac:dyDescent="0.15">
      <c r="A387" t="s">
        <v>72</v>
      </c>
      <c r="B387" t="s">
        <v>7336</v>
      </c>
      <c r="C387" t="s">
        <v>74</v>
      </c>
      <c r="D387" t="s">
        <v>74</v>
      </c>
      <c r="E387" t="s">
        <v>74</v>
      </c>
      <c r="F387" t="s">
        <v>7337</v>
      </c>
      <c r="G387" t="s">
        <v>74</v>
      </c>
      <c r="H387" t="s">
        <v>74</v>
      </c>
      <c r="I387" t="s">
        <v>7338</v>
      </c>
      <c r="J387" t="s">
        <v>1414</v>
      </c>
      <c r="K387" t="s">
        <v>74</v>
      </c>
      <c r="L387" t="s">
        <v>74</v>
      </c>
      <c r="M387" t="s">
        <v>78</v>
      </c>
      <c r="N387" t="s">
        <v>79</v>
      </c>
      <c r="O387" t="s">
        <v>74</v>
      </c>
      <c r="P387" t="s">
        <v>74</v>
      </c>
      <c r="Q387" t="s">
        <v>74</v>
      </c>
      <c r="R387" t="s">
        <v>74</v>
      </c>
      <c r="S387" t="s">
        <v>74</v>
      </c>
      <c r="T387" t="s">
        <v>74</v>
      </c>
      <c r="U387" t="s">
        <v>7339</v>
      </c>
      <c r="V387" t="s">
        <v>7340</v>
      </c>
      <c r="W387" t="s">
        <v>7341</v>
      </c>
      <c r="X387" t="s">
        <v>7342</v>
      </c>
      <c r="Y387" t="s">
        <v>7343</v>
      </c>
      <c r="Z387" t="s">
        <v>7344</v>
      </c>
      <c r="AA387" t="s">
        <v>7345</v>
      </c>
      <c r="AB387" t="s">
        <v>7346</v>
      </c>
      <c r="AC387" t="s">
        <v>7347</v>
      </c>
      <c r="AD387" t="s">
        <v>7348</v>
      </c>
      <c r="AE387" t="s">
        <v>7349</v>
      </c>
      <c r="AF387" t="s">
        <v>74</v>
      </c>
      <c r="AG387">
        <v>42</v>
      </c>
      <c r="AH387">
        <v>95</v>
      </c>
      <c r="AI387">
        <v>110</v>
      </c>
      <c r="AJ387">
        <v>1</v>
      </c>
      <c r="AK387">
        <v>44</v>
      </c>
      <c r="AL387" t="s">
        <v>1426</v>
      </c>
      <c r="AM387" t="s">
        <v>227</v>
      </c>
      <c r="AN387" t="s">
        <v>1427</v>
      </c>
      <c r="AO387" t="s">
        <v>1428</v>
      </c>
      <c r="AP387" t="s">
        <v>7350</v>
      </c>
      <c r="AQ387" t="s">
        <v>74</v>
      </c>
      <c r="AR387" t="s">
        <v>1429</v>
      </c>
      <c r="AS387" t="s">
        <v>1430</v>
      </c>
      <c r="AT387" t="s">
        <v>7351</v>
      </c>
      <c r="AU387">
        <v>2009</v>
      </c>
      <c r="AV387">
        <v>75</v>
      </c>
      <c r="AW387">
        <v>19</v>
      </c>
      <c r="AX387" t="s">
        <v>74</v>
      </c>
      <c r="AY387" t="s">
        <v>74</v>
      </c>
      <c r="AZ387" t="s">
        <v>74</v>
      </c>
      <c r="BA387" t="s">
        <v>74</v>
      </c>
      <c r="BB387">
        <v>6258</v>
      </c>
      <c r="BC387">
        <v>6267</v>
      </c>
      <c r="BD387" t="s">
        <v>74</v>
      </c>
      <c r="BE387" t="s">
        <v>7352</v>
      </c>
      <c r="BF387" t="str">
        <f>HYPERLINK("http://dx.doi.org/10.1128/AEM.01029-09","http://dx.doi.org/10.1128/AEM.01029-09")</f>
        <v>http://dx.doi.org/10.1128/AEM.01029-09</v>
      </c>
      <c r="BG387" t="s">
        <v>74</v>
      </c>
      <c r="BH387" t="s">
        <v>74</v>
      </c>
      <c r="BI387">
        <v>10</v>
      </c>
      <c r="BJ387" t="s">
        <v>1433</v>
      </c>
      <c r="BK387" t="s">
        <v>98</v>
      </c>
      <c r="BL387" t="s">
        <v>1433</v>
      </c>
      <c r="BM387" t="s">
        <v>7353</v>
      </c>
      <c r="BN387">
        <v>19684169</v>
      </c>
      <c r="BO387" t="s">
        <v>239</v>
      </c>
      <c r="BP387" t="s">
        <v>74</v>
      </c>
      <c r="BQ387" t="s">
        <v>74</v>
      </c>
      <c r="BR387" t="s">
        <v>101</v>
      </c>
      <c r="BS387" t="s">
        <v>7354</v>
      </c>
      <c r="BT387" t="str">
        <f>HYPERLINK("https%3A%2F%2Fwww.webofscience.com%2Fwos%2Fwoscc%2Ffull-record%2FWOS:000270113200026","View Full Record in Web of Science")</f>
        <v>View Full Record in Web of Science</v>
      </c>
    </row>
    <row r="388" spans="1:72" x14ac:dyDescent="0.15">
      <c r="A388" t="s">
        <v>72</v>
      </c>
      <c r="B388" t="s">
        <v>7355</v>
      </c>
      <c r="C388" t="s">
        <v>74</v>
      </c>
      <c r="D388" t="s">
        <v>74</v>
      </c>
      <c r="E388" t="s">
        <v>74</v>
      </c>
      <c r="F388" t="s">
        <v>7356</v>
      </c>
      <c r="G388" t="s">
        <v>74</v>
      </c>
      <c r="H388" t="s">
        <v>74</v>
      </c>
      <c r="I388" t="s">
        <v>7357</v>
      </c>
      <c r="J388" t="s">
        <v>7358</v>
      </c>
      <c r="K388" t="s">
        <v>74</v>
      </c>
      <c r="L388" t="s">
        <v>74</v>
      </c>
      <c r="M388" t="s">
        <v>78</v>
      </c>
      <c r="N388" t="s">
        <v>79</v>
      </c>
      <c r="O388" t="s">
        <v>74</v>
      </c>
      <c r="P388" t="s">
        <v>74</v>
      </c>
      <c r="Q388" t="s">
        <v>74</v>
      </c>
      <c r="R388" t="s">
        <v>74</v>
      </c>
      <c r="S388" t="s">
        <v>74</v>
      </c>
      <c r="T388" t="s">
        <v>7359</v>
      </c>
      <c r="U388" t="s">
        <v>7360</v>
      </c>
      <c r="V388" t="s">
        <v>7361</v>
      </c>
      <c r="W388" t="s">
        <v>7362</v>
      </c>
      <c r="X388" t="s">
        <v>7363</v>
      </c>
      <c r="Y388" t="s">
        <v>7364</v>
      </c>
      <c r="Z388" t="s">
        <v>7365</v>
      </c>
      <c r="AA388" t="s">
        <v>74</v>
      </c>
      <c r="AB388" t="s">
        <v>7366</v>
      </c>
      <c r="AC388" t="s">
        <v>74</v>
      </c>
      <c r="AD388" t="s">
        <v>74</v>
      </c>
      <c r="AE388" t="s">
        <v>74</v>
      </c>
      <c r="AF388" t="s">
        <v>74</v>
      </c>
      <c r="AG388">
        <v>26</v>
      </c>
      <c r="AH388">
        <v>15</v>
      </c>
      <c r="AI388">
        <v>16</v>
      </c>
      <c r="AJ388">
        <v>0</v>
      </c>
      <c r="AK388">
        <v>15</v>
      </c>
      <c r="AL388" t="s">
        <v>7367</v>
      </c>
      <c r="AM388" t="s">
        <v>7368</v>
      </c>
      <c r="AN388" t="s">
        <v>7369</v>
      </c>
      <c r="AO388" t="s">
        <v>7370</v>
      </c>
      <c r="AP388" t="s">
        <v>7371</v>
      </c>
      <c r="AQ388" t="s">
        <v>74</v>
      </c>
      <c r="AR388" t="s">
        <v>7372</v>
      </c>
      <c r="AS388" t="s">
        <v>7373</v>
      </c>
      <c r="AT388" t="s">
        <v>7374</v>
      </c>
      <c r="AU388">
        <v>2009</v>
      </c>
      <c r="AV388">
        <v>22</v>
      </c>
      <c r="AW388">
        <v>4</v>
      </c>
      <c r="AX388" t="s">
        <v>74</v>
      </c>
      <c r="AY388" t="s">
        <v>74</v>
      </c>
      <c r="AZ388" t="s">
        <v>74</v>
      </c>
      <c r="BA388" t="s">
        <v>74</v>
      </c>
      <c r="BB388">
        <v>483</v>
      </c>
      <c r="BC388">
        <v>498</v>
      </c>
      <c r="BD388" t="s">
        <v>74</v>
      </c>
      <c r="BE388" t="s">
        <v>7375</v>
      </c>
      <c r="BF388" t="str">
        <f>HYPERLINK("http://dx.doi.org/10.1051/alr/2009033","http://dx.doi.org/10.1051/alr/2009033")</f>
        <v>http://dx.doi.org/10.1051/alr/2009033</v>
      </c>
      <c r="BG388" t="s">
        <v>74</v>
      </c>
      <c r="BH388" t="s">
        <v>74</v>
      </c>
      <c r="BI388">
        <v>16</v>
      </c>
      <c r="BJ388" t="s">
        <v>7376</v>
      </c>
      <c r="BK388" t="s">
        <v>4567</v>
      </c>
      <c r="BL388" t="s">
        <v>7376</v>
      </c>
      <c r="BM388" t="s">
        <v>7377</v>
      </c>
      <c r="BN388" t="s">
        <v>74</v>
      </c>
      <c r="BO388" t="s">
        <v>627</v>
      </c>
      <c r="BP388" t="s">
        <v>74</v>
      </c>
      <c r="BQ388" t="s">
        <v>74</v>
      </c>
      <c r="BR388" t="s">
        <v>101</v>
      </c>
      <c r="BS388" t="s">
        <v>7378</v>
      </c>
      <c r="BT388" t="str">
        <f>HYPERLINK("https%3A%2F%2Fwww.webofscience.com%2Fwos%2Fwoscc%2Ffull-record%2FWOS:000274527800007","View Full Record in Web of Science")</f>
        <v>View Full Record in Web of Science</v>
      </c>
    </row>
    <row r="389" spans="1:72" x14ac:dyDescent="0.15">
      <c r="A389" t="s">
        <v>72</v>
      </c>
      <c r="B389" t="s">
        <v>7379</v>
      </c>
      <c r="C389" t="s">
        <v>74</v>
      </c>
      <c r="D389" t="s">
        <v>74</v>
      </c>
      <c r="E389" t="s">
        <v>74</v>
      </c>
      <c r="F389" t="s">
        <v>7380</v>
      </c>
      <c r="G389" t="s">
        <v>74</v>
      </c>
      <c r="H389" t="s">
        <v>74</v>
      </c>
      <c r="I389" t="s">
        <v>7381</v>
      </c>
      <c r="J389" t="s">
        <v>7382</v>
      </c>
      <c r="K389" t="s">
        <v>74</v>
      </c>
      <c r="L389" t="s">
        <v>74</v>
      </c>
      <c r="M389" t="s">
        <v>78</v>
      </c>
      <c r="N389" t="s">
        <v>79</v>
      </c>
      <c r="O389" t="s">
        <v>74</v>
      </c>
      <c r="P389" t="s">
        <v>74</v>
      </c>
      <c r="Q389" t="s">
        <v>74</v>
      </c>
      <c r="R389" t="s">
        <v>74</v>
      </c>
      <c r="S389" t="s">
        <v>74</v>
      </c>
      <c r="T389" t="s">
        <v>7383</v>
      </c>
      <c r="U389" t="s">
        <v>7384</v>
      </c>
      <c r="V389" t="s">
        <v>7385</v>
      </c>
      <c r="W389" t="s">
        <v>7386</v>
      </c>
      <c r="X389" t="s">
        <v>7387</v>
      </c>
      <c r="Y389" t="s">
        <v>7388</v>
      </c>
      <c r="Z389" t="s">
        <v>7389</v>
      </c>
      <c r="AA389" t="s">
        <v>7390</v>
      </c>
      <c r="AB389" t="s">
        <v>7391</v>
      </c>
      <c r="AC389" t="s">
        <v>7392</v>
      </c>
      <c r="AD389" t="s">
        <v>7393</v>
      </c>
      <c r="AE389" t="s">
        <v>7394</v>
      </c>
      <c r="AF389" t="s">
        <v>74</v>
      </c>
      <c r="AG389">
        <v>10</v>
      </c>
      <c r="AH389">
        <v>6</v>
      </c>
      <c r="AI389">
        <v>6</v>
      </c>
      <c r="AJ389">
        <v>1</v>
      </c>
      <c r="AK389">
        <v>5</v>
      </c>
      <c r="AL389" t="s">
        <v>1184</v>
      </c>
      <c r="AM389" t="s">
        <v>1185</v>
      </c>
      <c r="AN389" t="s">
        <v>1186</v>
      </c>
      <c r="AO389" t="s">
        <v>7395</v>
      </c>
      <c r="AP389" t="s">
        <v>74</v>
      </c>
      <c r="AQ389" t="s">
        <v>74</v>
      </c>
      <c r="AR389" t="s">
        <v>7396</v>
      </c>
      <c r="AS389" t="s">
        <v>7397</v>
      </c>
      <c r="AT389" t="s">
        <v>7374</v>
      </c>
      <c r="AU389">
        <v>2009</v>
      </c>
      <c r="AV389">
        <v>10</v>
      </c>
      <c r="AW389">
        <v>4</v>
      </c>
      <c r="AX389" t="s">
        <v>74</v>
      </c>
      <c r="AY389" t="s">
        <v>74</v>
      </c>
      <c r="AZ389" t="s">
        <v>74</v>
      </c>
      <c r="BA389" t="s">
        <v>74</v>
      </c>
      <c r="BB389">
        <v>262</v>
      </c>
      <c r="BC389">
        <v>266</v>
      </c>
      <c r="BD389" t="s">
        <v>74</v>
      </c>
      <c r="BE389" t="s">
        <v>7398</v>
      </c>
      <c r="BF389" t="str">
        <f>HYPERLINK("http://dx.doi.org/10.1002/asl.237","http://dx.doi.org/10.1002/asl.237")</f>
        <v>http://dx.doi.org/10.1002/asl.237</v>
      </c>
      <c r="BG389" t="s">
        <v>74</v>
      </c>
      <c r="BH389" t="s">
        <v>74</v>
      </c>
      <c r="BI389">
        <v>5</v>
      </c>
      <c r="BJ389" t="s">
        <v>2347</v>
      </c>
      <c r="BK389" t="s">
        <v>98</v>
      </c>
      <c r="BL389" t="s">
        <v>2347</v>
      </c>
      <c r="BM389" t="s">
        <v>7399</v>
      </c>
      <c r="BN389" t="s">
        <v>74</v>
      </c>
      <c r="BO389" t="s">
        <v>7400</v>
      </c>
      <c r="BP389" t="s">
        <v>74</v>
      </c>
      <c r="BQ389" t="s">
        <v>74</v>
      </c>
      <c r="BR389" t="s">
        <v>101</v>
      </c>
      <c r="BS389" t="s">
        <v>7401</v>
      </c>
      <c r="BT389" t="str">
        <f>HYPERLINK("https%3A%2F%2Fwww.webofscience.com%2Fwos%2Fwoscc%2Ffull-record%2FWOS:000272961600008","View Full Record in Web of Science")</f>
        <v>View Full Record in Web of Science</v>
      </c>
    </row>
    <row r="390" spans="1:72" x14ac:dyDescent="0.15">
      <c r="A390" t="s">
        <v>72</v>
      </c>
      <c r="B390" t="s">
        <v>7402</v>
      </c>
      <c r="C390" t="s">
        <v>74</v>
      </c>
      <c r="D390" t="s">
        <v>74</v>
      </c>
      <c r="E390" t="s">
        <v>74</v>
      </c>
      <c r="F390" t="s">
        <v>7403</v>
      </c>
      <c r="G390" t="s">
        <v>74</v>
      </c>
      <c r="H390" t="s">
        <v>74</v>
      </c>
      <c r="I390" t="s">
        <v>7404</v>
      </c>
      <c r="J390" t="s">
        <v>7405</v>
      </c>
      <c r="K390" t="s">
        <v>74</v>
      </c>
      <c r="L390" t="s">
        <v>74</v>
      </c>
      <c r="M390" t="s">
        <v>78</v>
      </c>
      <c r="N390" t="s">
        <v>79</v>
      </c>
      <c r="O390" t="s">
        <v>74</v>
      </c>
      <c r="P390" t="s">
        <v>74</v>
      </c>
      <c r="Q390" t="s">
        <v>74</v>
      </c>
      <c r="R390" t="s">
        <v>74</v>
      </c>
      <c r="S390" t="s">
        <v>74</v>
      </c>
      <c r="T390" t="s">
        <v>7406</v>
      </c>
      <c r="U390" t="s">
        <v>7407</v>
      </c>
      <c r="V390" t="s">
        <v>7408</v>
      </c>
      <c r="W390" t="s">
        <v>7409</v>
      </c>
      <c r="X390" t="s">
        <v>7410</v>
      </c>
      <c r="Y390" t="s">
        <v>7411</v>
      </c>
      <c r="Z390" t="s">
        <v>7412</v>
      </c>
      <c r="AA390" t="s">
        <v>7413</v>
      </c>
      <c r="AB390" t="s">
        <v>7414</v>
      </c>
      <c r="AC390" t="s">
        <v>7415</v>
      </c>
      <c r="AD390" t="s">
        <v>7415</v>
      </c>
      <c r="AE390" t="s">
        <v>7416</v>
      </c>
      <c r="AF390" t="s">
        <v>74</v>
      </c>
      <c r="AG390">
        <v>48</v>
      </c>
      <c r="AH390">
        <v>39</v>
      </c>
      <c r="AI390">
        <v>44</v>
      </c>
      <c r="AJ390">
        <v>0</v>
      </c>
      <c r="AK390">
        <v>36</v>
      </c>
      <c r="AL390" t="s">
        <v>1894</v>
      </c>
      <c r="AM390" t="s">
        <v>1895</v>
      </c>
      <c r="AN390" t="s">
        <v>1896</v>
      </c>
      <c r="AO390" t="s">
        <v>7417</v>
      </c>
      <c r="AP390" t="s">
        <v>7418</v>
      </c>
      <c r="AQ390" t="s">
        <v>74</v>
      </c>
      <c r="AR390" t="s">
        <v>7405</v>
      </c>
      <c r="AS390" t="s">
        <v>7419</v>
      </c>
      <c r="AT390" t="s">
        <v>7132</v>
      </c>
      <c r="AU390">
        <v>2009</v>
      </c>
      <c r="AV390">
        <v>77</v>
      </c>
      <c r="AW390">
        <v>5</v>
      </c>
      <c r="AX390" t="s">
        <v>74</v>
      </c>
      <c r="AY390" t="s">
        <v>74</v>
      </c>
      <c r="AZ390" t="s">
        <v>74</v>
      </c>
      <c r="BA390" t="s">
        <v>74</v>
      </c>
      <c r="BB390">
        <v>693</v>
      </c>
      <c r="BC390">
        <v>698</v>
      </c>
      <c r="BD390" t="s">
        <v>74</v>
      </c>
      <c r="BE390" t="s">
        <v>7420</v>
      </c>
      <c r="BF390" t="str">
        <f>HYPERLINK("http://dx.doi.org/10.1016/j.chemosphere.2009.07.035","http://dx.doi.org/10.1016/j.chemosphere.2009.07.035")</f>
        <v>http://dx.doi.org/10.1016/j.chemosphere.2009.07.035</v>
      </c>
      <c r="BG390" t="s">
        <v>74</v>
      </c>
      <c r="BH390" t="s">
        <v>74</v>
      </c>
      <c r="BI390">
        <v>6</v>
      </c>
      <c r="BJ390" t="s">
        <v>515</v>
      </c>
      <c r="BK390" t="s">
        <v>98</v>
      </c>
      <c r="BL390" t="s">
        <v>516</v>
      </c>
      <c r="BM390" t="s">
        <v>7421</v>
      </c>
      <c r="BN390">
        <v>19692110</v>
      </c>
      <c r="BO390" t="s">
        <v>74</v>
      </c>
      <c r="BP390" t="s">
        <v>74</v>
      </c>
      <c r="BQ390" t="s">
        <v>74</v>
      </c>
      <c r="BR390" t="s">
        <v>101</v>
      </c>
      <c r="BS390" t="s">
        <v>7422</v>
      </c>
      <c r="BT390" t="str">
        <f>HYPERLINK("https%3A%2F%2Fwww.webofscience.com%2Fwos%2Fwoscc%2Ffull-record%2FWOS:000271445700013","View Full Record in Web of Science")</f>
        <v>View Full Record in Web of Science</v>
      </c>
    </row>
    <row r="391" spans="1:72" x14ac:dyDescent="0.15">
      <c r="A391" t="s">
        <v>72</v>
      </c>
      <c r="B391" t="s">
        <v>7423</v>
      </c>
      <c r="C391" t="s">
        <v>74</v>
      </c>
      <c r="D391" t="s">
        <v>74</v>
      </c>
      <c r="E391" t="s">
        <v>74</v>
      </c>
      <c r="F391" t="s">
        <v>7424</v>
      </c>
      <c r="G391" t="s">
        <v>74</v>
      </c>
      <c r="H391" t="s">
        <v>74</v>
      </c>
      <c r="I391" t="s">
        <v>7425</v>
      </c>
      <c r="J391" t="s">
        <v>1881</v>
      </c>
      <c r="K391" t="s">
        <v>74</v>
      </c>
      <c r="L391" t="s">
        <v>74</v>
      </c>
      <c r="M391" t="s">
        <v>78</v>
      </c>
      <c r="N391" t="s">
        <v>79</v>
      </c>
      <c r="O391" t="s">
        <v>74</v>
      </c>
      <c r="P391" t="s">
        <v>74</v>
      </c>
      <c r="Q391" t="s">
        <v>74</v>
      </c>
      <c r="R391" t="s">
        <v>74</v>
      </c>
      <c r="S391" t="s">
        <v>74</v>
      </c>
      <c r="T391" t="s">
        <v>7426</v>
      </c>
      <c r="U391" t="s">
        <v>7427</v>
      </c>
      <c r="V391" t="s">
        <v>7428</v>
      </c>
      <c r="W391" t="s">
        <v>7429</v>
      </c>
      <c r="X391" t="s">
        <v>7430</v>
      </c>
      <c r="Y391" t="s">
        <v>7431</v>
      </c>
      <c r="Z391" t="s">
        <v>7432</v>
      </c>
      <c r="AA391" t="s">
        <v>7433</v>
      </c>
      <c r="AB391" t="s">
        <v>7434</v>
      </c>
      <c r="AC391" t="s">
        <v>7435</v>
      </c>
      <c r="AD391" t="s">
        <v>7436</v>
      </c>
      <c r="AE391" t="s">
        <v>7437</v>
      </c>
      <c r="AF391" t="s">
        <v>74</v>
      </c>
      <c r="AG391">
        <v>41</v>
      </c>
      <c r="AH391">
        <v>7</v>
      </c>
      <c r="AI391">
        <v>8</v>
      </c>
      <c r="AJ391">
        <v>1</v>
      </c>
      <c r="AK391">
        <v>12</v>
      </c>
      <c r="AL391" t="s">
        <v>1894</v>
      </c>
      <c r="AM391" t="s">
        <v>1895</v>
      </c>
      <c r="AN391" t="s">
        <v>1896</v>
      </c>
      <c r="AO391" t="s">
        <v>1897</v>
      </c>
      <c r="AP391" t="s">
        <v>1898</v>
      </c>
      <c r="AQ391" t="s">
        <v>74</v>
      </c>
      <c r="AR391" t="s">
        <v>1899</v>
      </c>
      <c r="AS391" t="s">
        <v>1900</v>
      </c>
      <c r="AT391" t="s">
        <v>7132</v>
      </c>
      <c r="AU391">
        <v>2009</v>
      </c>
      <c r="AV391">
        <v>56</v>
      </c>
      <c r="AW391">
        <v>10</v>
      </c>
      <c r="AX391" t="s">
        <v>74</v>
      </c>
      <c r="AY391" t="s">
        <v>74</v>
      </c>
      <c r="AZ391" t="s">
        <v>74</v>
      </c>
      <c r="BA391" t="s">
        <v>74</v>
      </c>
      <c r="BB391">
        <v>1615</v>
      </c>
      <c r="BC391">
        <v>1632</v>
      </c>
      <c r="BD391" t="s">
        <v>74</v>
      </c>
      <c r="BE391" t="s">
        <v>7438</v>
      </c>
      <c r="BF391" t="str">
        <f>HYPERLINK("http://dx.doi.org/10.1016/j.dsr.2009.06.002","http://dx.doi.org/10.1016/j.dsr.2009.06.002")</f>
        <v>http://dx.doi.org/10.1016/j.dsr.2009.06.002</v>
      </c>
      <c r="BG391" t="s">
        <v>74</v>
      </c>
      <c r="BH391" t="s">
        <v>74</v>
      </c>
      <c r="BI391">
        <v>18</v>
      </c>
      <c r="BJ391" t="s">
        <v>806</v>
      </c>
      <c r="BK391" t="s">
        <v>98</v>
      </c>
      <c r="BL391" t="s">
        <v>806</v>
      </c>
      <c r="BM391" t="s">
        <v>7439</v>
      </c>
      <c r="BN391" t="s">
        <v>74</v>
      </c>
      <c r="BO391" t="s">
        <v>853</v>
      </c>
      <c r="BP391" t="s">
        <v>74</v>
      </c>
      <c r="BQ391" t="s">
        <v>74</v>
      </c>
      <c r="BR391" t="s">
        <v>101</v>
      </c>
      <c r="BS391" t="s">
        <v>7440</v>
      </c>
      <c r="BT391" t="str">
        <f>HYPERLINK("https%3A%2F%2Fwww.webofscience.com%2Fwos%2Fwoscc%2Ffull-record%2FWOS:000269469800002","View Full Record in Web of Science")</f>
        <v>View Full Record in Web of Science</v>
      </c>
    </row>
    <row r="392" spans="1:72" x14ac:dyDescent="0.15">
      <c r="A392" t="s">
        <v>72</v>
      </c>
      <c r="B392" t="s">
        <v>7441</v>
      </c>
      <c r="C392" t="s">
        <v>74</v>
      </c>
      <c r="D392" t="s">
        <v>74</v>
      </c>
      <c r="E392" t="s">
        <v>74</v>
      </c>
      <c r="F392" t="s">
        <v>7442</v>
      </c>
      <c r="G392" t="s">
        <v>74</v>
      </c>
      <c r="H392" t="s">
        <v>74</v>
      </c>
      <c r="I392" t="s">
        <v>7443</v>
      </c>
      <c r="J392" t="s">
        <v>1881</v>
      </c>
      <c r="K392" t="s">
        <v>74</v>
      </c>
      <c r="L392" t="s">
        <v>74</v>
      </c>
      <c r="M392" t="s">
        <v>78</v>
      </c>
      <c r="N392" t="s">
        <v>79</v>
      </c>
      <c r="O392" t="s">
        <v>74</v>
      </c>
      <c r="P392" t="s">
        <v>74</v>
      </c>
      <c r="Q392" t="s">
        <v>74</v>
      </c>
      <c r="R392" t="s">
        <v>74</v>
      </c>
      <c r="S392" t="s">
        <v>74</v>
      </c>
      <c r="T392" t="s">
        <v>7444</v>
      </c>
      <c r="U392" t="s">
        <v>7445</v>
      </c>
      <c r="V392" t="s">
        <v>7446</v>
      </c>
      <c r="W392" t="s">
        <v>7447</v>
      </c>
      <c r="X392" t="s">
        <v>7448</v>
      </c>
      <c r="Y392" t="s">
        <v>7449</v>
      </c>
      <c r="Z392" t="s">
        <v>7450</v>
      </c>
      <c r="AA392" t="s">
        <v>74</v>
      </c>
      <c r="AB392" t="s">
        <v>74</v>
      </c>
      <c r="AC392" t="s">
        <v>7451</v>
      </c>
      <c r="AD392" t="s">
        <v>278</v>
      </c>
      <c r="AE392" t="s">
        <v>7452</v>
      </c>
      <c r="AF392" t="s">
        <v>74</v>
      </c>
      <c r="AG392">
        <v>37</v>
      </c>
      <c r="AH392">
        <v>84</v>
      </c>
      <c r="AI392">
        <v>91</v>
      </c>
      <c r="AJ392">
        <v>2</v>
      </c>
      <c r="AK392">
        <v>11</v>
      </c>
      <c r="AL392" t="s">
        <v>1894</v>
      </c>
      <c r="AM392" t="s">
        <v>1895</v>
      </c>
      <c r="AN392" t="s">
        <v>1896</v>
      </c>
      <c r="AO392" t="s">
        <v>1897</v>
      </c>
      <c r="AP392" t="s">
        <v>1898</v>
      </c>
      <c r="AQ392" t="s">
        <v>74</v>
      </c>
      <c r="AR392" t="s">
        <v>1899</v>
      </c>
      <c r="AS392" t="s">
        <v>1900</v>
      </c>
      <c r="AT392" t="s">
        <v>7132</v>
      </c>
      <c r="AU392">
        <v>2009</v>
      </c>
      <c r="AV392">
        <v>56</v>
      </c>
      <c r="AW392">
        <v>10</v>
      </c>
      <c r="AX392" t="s">
        <v>74</v>
      </c>
      <c r="AY392" t="s">
        <v>74</v>
      </c>
      <c r="AZ392" t="s">
        <v>74</v>
      </c>
      <c r="BA392" t="s">
        <v>74</v>
      </c>
      <c r="BB392">
        <v>1633</v>
      </c>
      <c r="BC392">
        <v>1655</v>
      </c>
      <c r="BD392" t="s">
        <v>74</v>
      </c>
      <c r="BE392" t="s">
        <v>7453</v>
      </c>
      <c r="BF392" t="str">
        <f>HYPERLINK("http://dx.doi.org/10.1016/j.dsr.2009.05.011","http://dx.doi.org/10.1016/j.dsr.2009.05.011")</f>
        <v>http://dx.doi.org/10.1016/j.dsr.2009.05.011</v>
      </c>
      <c r="BG392" t="s">
        <v>74</v>
      </c>
      <c r="BH392" t="s">
        <v>74</v>
      </c>
      <c r="BI392">
        <v>23</v>
      </c>
      <c r="BJ392" t="s">
        <v>806</v>
      </c>
      <c r="BK392" t="s">
        <v>98</v>
      </c>
      <c r="BL392" t="s">
        <v>806</v>
      </c>
      <c r="BM392" t="s">
        <v>7439</v>
      </c>
      <c r="BN392" t="s">
        <v>74</v>
      </c>
      <c r="BO392" t="s">
        <v>74</v>
      </c>
      <c r="BP392" t="s">
        <v>74</v>
      </c>
      <c r="BQ392" t="s">
        <v>74</v>
      </c>
      <c r="BR392" t="s">
        <v>101</v>
      </c>
      <c r="BS392" t="s">
        <v>7454</v>
      </c>
      <c r="BT392" t="str">
        <f>HYPERLINK("https%3A%2F%2Fwww.webofscience.com%2Fwos%2Fwoscc%2Ffull-record%2FWOS:000269469800003","View Full Record in Web of Science")</f>
        <v>View Full Record in Web of Science</v>
      </c>
    </row>
    <row r="393" spans="1:72" x14ac:dyDescent="0.15">
      <c r="A393" t="s">
        <v>72</v>
      </c>
      <c r="B393" t="s">
        <v>7455</v>
      </c>
      <c r="C393" t="s">
        <v>74</v>
      </c>
      <c r="D393" t="s">
        <v>74</v>
      </c>
      <c r="E393" t="s">
        <v>74</v>
      </c>
      <c r="F393" t="s">
        <v>7456</v>
      </c>
      <c r="G393" t="s">
        <v>74</v>
      </c>
      <c r="H393" t="s">
        <v>74</v>
      </c>
      <c r="I393" t="s">
        <v>7457</v>
      </c>
      <c r="J393" t="s">
        <v>1881</v>
      </c>
      <c r="K393" t="s">
        <v>74</v>
      </c>
      <c r="L393" t="s">
        <v>74</v>
      </c>
      <c r="M393" t="s">
        <v>78</v>
      </c>
      <c r="N393" t="s">
        <v>79</v>
      </c>
      <c r="O393" t="s">
        <v>74</v>
      </c>
      <c r="P393" t="s">
        <v>74</v>
      </c>
      <c r="Q393" t="s">
        <v>74</v>
      </c>
      <c r="R393" t="s">
        <v>74</v>
      </c>
      <c r="S393" t="s">
        <v>74</v>
      </c>
      <c r="T393" t="s">
        <v>7458</v>
      </c>
      <c r="U393" t="s">
        <v>7459</v>
      </c>
      <c r="V393" t="s">
        <v>7460</v>
      </c>
      <c r="W393" t="s">
        <v>7461</v>
      </c>
      <c r="X393" t="s">
        <v>1390</v>
      </c>
      <c r="Y393" t="s">
        <v>7462</v>
      </c>
      <c r="Z393" t="s">
        <v>7463</v>
      </c>
      <c r="AA393" t="s">
        <v>74</v>
      </c>
      <c r="AB393" t="s">
        <v>74</v>
      </c>
      <c r="AC393" t="s">
        <v>74</v>
      </c>
      <c r="AD393" t="s">
        <v>74</v>
      </c>
      <c r="AE393" t="s">
        <v>74</v>
      </c>
      <c r="AF393" t="s">
        <v>74</v>
      </c>
      <c r="AG393">
        <v>31</v>
      </c>
      <c r="AH393">
        <v>61</v>
      </c>
      <c r="AI393">
        <v>69</v>
      </c>
      <c r="AJ393">
        <v>1</v>
      </c>
      <c r="AK393">
        <v>31</v>
      </c>
      <c r="AL393" t="s">
        <v>1894</v>
      </c>
      <c r="AM393" t="s">
        <v>1895</v>
      </c>
      <c r="AN393" t="s">
        <v>1896</v>
      </c>
      <c r="AO393" t="s">
        <v>1897</v>
      </c>
      <c r="AP393" t="s">
        <v>1898</v>
      </c>
      <c r="AQ393" t="s">
        <v>74</v>
      </c>
      <c r="AR393" t="s">
        <v>1899</v>
      </c>
      <c r="AS393" t="s">
        <v>1900</v>
      </c>
      <c r="AT393" t="s">
        <v>7132</v>
      </c>
      <c r="AU393">
        <v>2009</v>
      </c>
      <c r="AV393">
        <v>56</v>
      </c>
      <c r="AW393">
        <v>10</v>
      </c>
      <c r="AX393" t="s">
        <v>74</v>
      </c>
      <c r="AY393" t="s">
        <v>74</v>
      </c>
      <c r="AZ393" t="s">
        <v>74</v>
      </c>
      <c r="BA393" t="s">
        <v>74</v>
      </c>
      <c r="BB393">
        <v>1727</v>
      </c>
      <c r="BC393">
        <v>1741</v>
      </c>
      <c r="BD393" t="s">
        <v>74</v>
      </c>
      <c r="BE393" t="s">
        <v>7464</v>
      </c>
      <c r="BF393" t="str">
        <f>HYPERLINK("http://dx.doi.org/10.1016/j.dsr.2009.05.003","http://dx.doi.org/10.1016/j.dsr.2009.05.003")</f>
        <v>http://dx.doi.org/10.1016/j.dsr.2009.05.003</v>
      </c>
      <c r="BG393" t="s">
        <v>74</v>
      </c>
      <c r="BH393" t="s">
        <v>74</v>
      </c>
      <c r="BI393">
        <v>15</v>
      </c>
      <c r="BJ393" t="s">
        <v>806</v>
      </c>
      <c r="BK393" t="s">
        <v>98</v>
      </c>
      <c r="BL393" t="s">
        <v>806</v>
      </c>
      <c r="BM393" t="s">
        <v>7439</v>
      </c>
      <c r="BN393" t="s">
        <v>74</v>
      </c>
      <c r="BO393" t="s">
        <v>74</v>
      </c>
      <c r="BP393" t="s">
        <v>74</v>
      </c>
      <c r="BQ393" t="s">
        <v>74</v>
      </c>
      <c r="BR393" t="s">
        <v>101</v>
      </c>
      <c r="BS393" t="s">
        <v>7465</v>
      </c>
      <c r="BT393" t="str">
        <f>HYPERLINK("https%3A%2F%2Fwww.webofscience.com%2Fwos%2Fwoscc%2Ffull-record%2FWOS:000269469800009","View Full Record in Web of Science")</f>
        <v>View Full Record in Web of Science</v>
      </c>
    </row>
    <row r="394" spans="1:72" x14ac:dyDescent="0.15">
      <c r="A394" t="s">
        <v>72</v>
      </c>
      <c r="B394" t="s">
        <v>7466</v>
      </c>
      <c r="C394" t="s">
        <v>74</v>
      </c>
      <c r="D394" t="s">
        <v>74</v>
      </c>
      <c r="E394" t="s">
        <v>74</v>
      </c>
      <c r="F394" t="s">
        <v>7467</v>
      </c>
      <c r="G394" t="s">
        <v>74</v>
      </c>
      <c r="H394" t="s">
        <v>74</v>
      </c>
      <c r="I394" t="s">
        <v>7468</v>
      </c>
      <c r="J394" t="s">
        <v>7469</v>
      </c>
      <c r="K394" t="s">
        <v>74</v>
      </c>
      <c r="L394" t="s">
        <v>74</v>
      </c>
      <c r="M394" t="s">
        <v>78</v>
      </c>
      <c r="N394" t="s">
        <v>79</v>
      </c>
      <c r="O394" t="s">
        <v>74</v>
      </c>
      <c r="P394" t="s">
        <v>74</v>
      </c>
      <c r="Q394" t="s">
        <v>74</v>
      </c>
      <c r="R394" t="s">
        <v>74</v>
      </c>
      <c r="S394" t="s">
        <v>74</v>
      </c>
      <c r="T394" t="s">
        <v>7470</v>
      </c>
      <c r="U394" t="s">
        <v>7471</v>
      </c>
      <c r="V394" t="s">
        <v>7472</v>
      </c>
      <c r="W394" t="s">
        <v>7473</v>
      </c>
      <c r="X394" t="s">
        <v>7474</v>
      </c>
      <c r="Y394" t="s">
        <v>7475</v>
      </c>
      <c r="Z394" t="s">
        <v>7476</v>
      </c>
      <c r="AA394" t="s">
        <v>7477</v>
      </c>
      <c r="AB394" t="s">
        <v>7478</v>
      </c>
      <c r="AC394" t="s">
        <v>7479</v>
      </c>
      <c r="AD394" t="s">
        <v>7480</v>
      </c>
      <c r="AE394" t="s">
        <v>7481</v>
      </c>
      <c r="AF394" t="s">
        <v>74</v>
      </c>
      <c r="AG394">
        <v>65</v>
      </c>
      <c r="AH394">
        <v>52</v>
      </c>
      <c r="AI394">
        <v>54</v>
      </c>
      <c r="AJ394">
        <v>1</v>
      </c>
      <c r="AK394">
        <v>56</v>
      </c>
      <c r="AL394" t="s">
        <v>1894</v>
      </c>
      <c r="AM394" t="s">
        <v>1895</v>
      </c>
      <c r="AN394" t="s">
        <v>1896</v>
      </c>
      <c r="AO394" t="s">
        <v>7482</v>
      </c>
      <c r="AP394" t="s">
        <v>7483</v>
      </c>
      <c r="AQ394" t="s">
        <v>74</v>
      </c>
      <c r="AR394" t="s">
        <v>7484</v>
      </c>
      <c r="AS394" t="s">
        <v>7485</v>
      </c>
      <c r="AT394" t="s">
        <v>7132</v>
      </c>
      <c r="AU394">
        <v>2009</v>
      </c>
      <c r="AV394">
        <v>56</v>
      </c>
      <c r="AW394" t="s">
        <v>7486</v>
      </c>
      <c r="AX394" t="s">
        <v>74</v>
      </c>
      <c r="AY394" t="s">
        <v>74</v>
      </c>
      <c r="AZ394" t="s">
        <v>74</v>
      </c>
      <c r="BA394" t="s">
        <v>74</v>
      </c>
      <c r="BB394">
        <v>1934</v>
      </c>
      <c r="BC394">
        <v>1944</v>
      </c>
      <c r="BD394" t="s">
        <v>74</v>
      </c>
      <c r="BE394" t="s">
        <v>7487</v>
      </c>
      <c r="BF394" t="str">
        <f>HYPERLINK("http://dx.doi.org/10.1016/j.dsr2.2008.11.018","http://dx.doi.org/10.1016/j.dsr2.2008.11.018")</f>
        <v>http://dx.doi.org/10.1016/j.dsr2.2008.11.018</v>
      </c>
      <c r="BG394" t="s">
        <v>74</v>
      </c>
      <c r="BH394" t="s">
        <v>74</v>
      </c>
      <c r="BI394">
        <v>11</v>
      </c>
      <c r="BJ394" t="s">
        <v>806</v>
      </c>
      <c r="BK394" t="s">
        <v>98</v>
      </c>
      <c r="BL394" t="s">
        <v>806</v>
      </c>
      <c r="BM394" t="s">
        <v>7488</v>
      </c>
      <c r="BN394" t="s">
        <v>74</v>
      </c>
      <c r="BO394" t="s">
        <v>74</v>
      </c>
      <c r="BP394" t="s">
        <v>74</v>
      </c>
      <c r="BQ394" t="s">
        <v>74</v>
      </c>
      <c r="BR394" t="s">
        <v>101</v>
      </c>
      <c r="BS394" t="s">
        <v>7489</v>
      </c>
      <c r="BT394" t="str">
        <f>HYPERLINK("https%3A%2F%2Fwww.webofscience.com%2Fwos%2Fwoscc%2Ffull-record%2FWOS:000271141400005","View Full Record in Web of Science")</f>
        <v>View Full Record in Web of Science</v>
      </c>
    </row>
    <row r="395" spans="1:72" x14ac:dyDescent="0.15">
      <c r="A395" t="s">
        <v>72</v>
      </c>
      <c r="B395" t="s">
        <v>7236</v>
      </c>
      <c r="C395" t="s">
        <v>74</v>
      </c>
      <c r="D395" t="s">
        <v>74</v>
      </c>
      <c r="E395" t="s">
        <v>74</v>
      </c>
      <c r="F395" t="s">
        <v>7237</v>
      </c>
      <c r="G395" t="s">
        <v>74</v>
      </c>
      <c r="H395" t="s">
        <v>74</v>
      </c>
      <c r="I395" t="s">
        <v>7490</v>
      </c>
      <c r="J395" t="s">
        <v>7491</v>
      </c>
      <c r="K395" t="s">
        <v>74</v>
      </c>
      <c r="L395" t="s">
        <v>74</v>
      </c>
      <c r="M395" t="s">
        <v>78</v>
      </c>
      <c r="N395" t="s">
        <v>297</v>
      </c>
      <c r="O395" t="s">
        <v>74</v>
      </c>
      <c r="P395" t="s">
        <v>74</v>
      </c>
      <c r="Q395" t="s">
        <v>74</v>
      </c>
      <c r="R395" t="s">
        <v>74</v>
      </c>
      <c r="S395" t="s">
        <v>74</v>
      </c>
      <c r="T395" t="s">
        <v>7492</v>
      </c>
      <c r="U395" t="s">
        <v>7493</v>
      </c>
      <c r="V395" t="s">
        <v>7494</v>
      </c>
      <c r="W395" t="s">
        <v>7242</v>
      </c>
      <c r="X395" t="s">
        <v>7118</v>
      </c>
      <c r="Y395" t="s">
        <v>7495</v>
      </c>
      <c r="Z395" t="s">
        <v>7244</v>
      </c>
      <c r="AA395" t="s">
        <v>3028</v>
      </c>
      <c r="AB395" t="s">
        <v>3029</v>
      </c>
      <c r="AC395" t="s">
        <v>7496</v>
      </c>
      <c r="AD395" t="s">
        <v>7496</v>
      </c>
      <c r="AE395" t="s">
        <v>7497</v>
      </c>
      <c r="AF395" t="s">
        <v>74</v>
      </c>
      <c r="AG395">
        <v>117</v>
      </c>
      <c r="AH395">
        <v>97</v>
      </c>
      <c r="AI395">
        <v>103</v>
      </c>
      <c r="AJ395">
        <v>4</v>
      </c>
      <c r="AK395">
        <v>64</v>
      </c>
      <c r="AL395" t="s">
        <v>1184</v>
      </c>
      <c r="AM395" t="s">
        <v>1185</v>
      </c>
      <c r="AN395" t="s">
        <v>1186</v>
      </c>
      <c r="AO395" t="s">
        <v>7498</v>
      </c>
      <c r="AP395" t="s">
        <v>7499</v>
      </c>
      <c r="AQ395" t="s">
        <v>74</v>
      </c>
      <c r="AR395" t="s">
        <v>7500</v>
      </c>
      <c r="AS395" t="s">
        <v>7501</v>
      </c>
      <c r="AT395" t="s">
        <v>7132</v>
      </c>
      <c r="AU395">
        <v>2009</v>
      </c>
      <c r="AV395">
        <v>19</v>
      </c>
      <c r="AW395">
        <v>7</v>
      </c>
      <c r="AX395" t="s">
        <v>74</v>
      </c>
      <c r="AY395" t="s">
        <v>74</v>
      </c>
      <c r="AZ395" t="s">
        <v>74</v>
      </c>
      <c r="BA395" t="s">
        <v>74</v>
      </c>
      <c r="BB395">
        <v>1944</v>
      </c>
      <c r="BC395">
        <v>1959</v>
      </c>
      <c r="BD395" t="s">
        <v>74</v>
      </c>
      <c r="BE395" t="s">
        <v>7502</v>
      </c>
      <c r="BF395" t="str">
        <f>HYPERLINK("http://dx.doi.org/10.1890/08-2157.1","http://dx.doi.org/10.1890/08-2157.1")</f>
        <v>http://dx.doi.org/10.1890/08-2157.1</v>
      </c>
      <c r="BG395" t="s">
        <v>74</v>
      </c>
      <c r="BH395" t="s">
        <v>74</v>
      </c>
      <c r="BI395">
        <v>16</v>
      </c>
      <c r="BJ395" t="s">
        <v>7503</v>
      </c>
      <c r="BK395" t="s">
        <v>98</v>
      </c>
      <c r="BL395" t="s">
        <v>516</v>
      </c>
      <c r="BM395" t="s">
        <v>7504</v>
      </c>
      <c r="BN395">
        <v>19831082</v>
      </c>
      <c r="BO395" t="s">
        <v>263</v>
      </c>
      <c r="BP395" t="s">
        <v>74</v>
      </c>
      <c r="BQ395" t="s">
        <v>74</v>
      </c>
      <c r="BR395" t="s">
        <v>101</v>
      </c>
      <c r="BS395" t="s">
        <v>7505</v>
      </c>
      <c r="BT395" t="str">
        <f>HYPERLINK("https%3A%2F%2Fwww.webofscience.com%2Fwos%2Fwoscc%2Ffull-record%2FWOS:000269942500021","View Full Record in Web of Science")</f>
        <v>View Full Record in Web of Science</v>
      </c>
    </row>
    <row r="396" spans="1:72" x14ac:dyDescent="0.15">
      <c r="A396" t="s">
        <v>72</v>
      </c>
      <c r="B396" t="s">
        <v>7506</v>
      </c>
      <c r="C396" t="s">
        <v>74</v>
      </c>
      <c r="D396" t="s">
        <v>74</v>
      </c>
      <c r="E396" t="s">
        <v>74</v>
      </c>
      <c r="F396" t="s">
        <v>7507</v>
      </c>
      <c r="G396" t="s">
        <v>74</v>
      </c>
      <c r="H396" t="s">
        <v>74</v>
      </c>
      <c r="I396" t="s">
        <v>7508</v>
      </c>
      <c r="J396" t="s">
        <v>7509</v>
      </c>
      <c r="K396" t="s">
        <v>74</v>
      </c>
      <c r="L396" t="s">
        <v>74</v>
      </c>
      <c r="M396" t="s">
        <v>78</v>
      </c>
      <c r="N396" t="s">
        <v>79</v>
      </c>
      <c r="O396" t="s">
        <v>74</v>
      </c>
      <c r="P396" t="s">
        <v>74</v>
      </c>
      <c r="Q396" t="s">
        <v>74</v>
      </c>
      <c r="R396" t="s">
        <v>74</v>
      </c>
      <c r="S396" t="s">
        <v>74</v>
      </c>
      <c r="T396" t="s">
        <v>7510</v>
      </c>
      <c r="U396" t="s">
        <v>7511</v>
      </c>
      <c r="V396" t="s">
        <v>7512</v>
      </c>
      <c r="W396" t="s">
        <v>7513</v>
      </c>
      <c r="X396" t="s">
        <v>7514</v>
      </c>
      <c r="Y396" t="s">
        <v>7515</v>
      </c>
      <c r="Z396" t="s">
        <v>7516</v>
      </c>
      <c r="AA396" t="s">
        <v>7517</v>
      </c>
      <c r="AB396" t="s">
        <v>7518</v>
      </c>
      <c r="AC396" t="s">
        <v>7519</v>
      </c>
      <c r="AD396" t="s">
        <v>7520</v>
      </c>
      <c r="AE396" t="s">
        <v>7521</v>
      </c>
      <c r="AF396" t="s">
        <v>74</v>
      </c>
      <c r="AG396">
        <v>59</v>
      </c>
      <c r="AH396">
        <v>165</v>
      </c>
      <c r="AI396">
        <v>178</v>
      </c>
      <c r="AJ396">
        <v>0</v>
      </c>
      <c r="AK396">
        <v>101</v>
      </c>
      <c r="AL396" t="s">
        <v>7522</v>
      </c>
      <c r="AM396" t="s">
        <v>3085</v>
      </c>
      <c r="AN396" t="s">
        <v>3086</v>
      </c>
      <c r="AO396" t="s">
        <v>7523</v>
      </c>
      <c r="AP396" t="s">
        <v>74</v>
      </c>
      <c r="AQ396" t="s">
        <v>74</v>
      </c>
      <c r="AR396" t="s">
        <v>7524</v>
      </c>
      <c r="AS396" t="s">
        <v>7525</v>
      </c>
      <c r="AT396" t="s">
        <v>7374</v>
      </c>
      <c r="AU396">
        <v>2009</v>
      </c>
      <c r="AV396">
        <v>4</v>
      </c>
      <c r="AW396">
        <v>4</v>
      </c>
      <c r="AX396" t="s">
        <v>74</v>
      </c>
      <c r="AY396" t="s">
        <v>74</v>
      </c>
      <c r="AZ396" t="s">
        <v>74</v>
      </c>
      <c r="BA396" t="s">
        <v>74</v>
      </c>
      <c r="BB396" t="s">
        <v>74</v>
      </c>
      <c r="BC396" t="s">
        <v>74</v>
      </c>
      <c r="BD396">
        <v>45108</v>
      </c>
      <c r="BE396" t="s">
        <v>7526</v>
      </c>
      <c r="BF396" t="str">
        <f>HYPERLINK("http://dx.doi.org/10.1088/1748-9326/4/4/045108","http://dx.doi.org/10.1088/1748-9326/4/4/045108")</f>
        <v>http://dx.doi.org/10.1088/1748-9326/4/4/045108</v>
      </c>
      <c r="BG396" t="s">
        <v>74</v>
      </c>
      <c r="BH396" t="s">
        <v>74</v>
      </c>
      <c r="BI396">
        <v>12</v>
      </c>
      <c r="BJ396" t="s">
        <v>4702</v>
      </c>
      <c r="BK396" t="s">
        <v>98</v>
      </c>
      <c r="BL396" t="s">
        <v>4703</v>
      </c>
      <c r="BM396" t="s">
        <v>7527</v>
      </c>
      <c r="BN396" t="s">
        <v>74</v>
      </c>
      <c r="BO396" t="s">
        <v>2974</v>
      </c>
      <c r="BP396" t="s">
        <v>74</v>
      </c>
      <c r="BQ396" t="s">
        <v>74</v>
      </c>
      <c r="BR396" t="s">
        <v>101</v>
      </c>
      <c r="BS396" t="s">
        <v>7528</v>
      </c>
      <c r="BT396" t="str">
        <f>HYPERLINK("https%3A%2F%2Fwww.webofscience.com%2Fwos%2Fwoscc%2Ffull-record%2FWOS:000272900500053","View Full Record in Web of Science")</f>
        <v>View Full Record in Web of Science</v>
      </c>
    </row>
    <row r="397" spans="1:72" x14ac:dyDescent="0.15">
      <c r="A397" t="s">
        <v>72</v>
      </c>
      <c r="B397" t="s">
        <v>7529</v>
      </c>
      <c r="C397" t="s">
        <v>74</v>
      </c>
      <c r="D397" t="s">
        <v>74</v>
      </c>
      <c r="E397" t="s">
        <v>74</v>
      </c>
      <c r="F397" t="s">
        <v>7530</v>
      </c>
      <c r="G397" t="s">
        <v>74</v>
      </c>
      <c r="H397" t="s">
        <v>74</v>
      </c>
      <c r="I397" t="s">
        <v>7531</v>
      </c>
      <c r="J397" t="s">
        <v>7509</v>
      </c>
      <c r="K397" t="s">
        <v>74</v>
      </c>
      <c r="L397" t="s">
        <v>74</v>
      </c>
      <c r="M397" t="s">
        <v>78</v>
      </c>
      <c r="N397" t="s">
        <v>79</v>
      </c>
      <c r="O397" t="s">
        <v>74</v>
      </c>
      <c r="P397" t="s">
        <v>74</v>
      </c>
      <c r="Q397" t="s">
        <v>74</v>
      </c>
      <c r="R397" t="s">
        <v>74</v>
      </c>
      <c r="S397" t="s">
        <v>74</v>
      </c>
      <c r="T397" t="s">
        <v>7532</v>
      </c>
      <c r="U397" t="s">
        <v>7533</v>
      </c>
      <c r="V397" t="s">
        <v>7534</v>
      </c>
      <c r="W397" t="s">
        <v>7535</v>
      </c>
      <c r="X397" t="s">
        <v>7536</v>
      </c>
      <c r="Y397" t="s">
        <v>7537</v>
      </c>
      <c r="Z397" t="s">
        <v>7538</v>
      </c>
      <c r="AA397" t="s">
        <v>7539</v>
      </c>
      <c r="AB397" t="s">
        <v>7540</v>
      </c>
      <c r="AC397" t="s">
        <v>7541</v>
      </c>
      <c r="AD397" t="s">
        <v>7542</v>
      </c>
      <c r="AE397" t="s">
        <v>7543</v>
      </c>
      <c r="AF397" t="s">
        <v>74</v>
      </c>
      <c r="AG397">
        <v>51</v>
      </c>
      <c r="AH397">
        <v>33</v>
      </c>
      <c r="AI397">
        <v>33</v>
      </c>
      <c r="AJ397">
        <v>0</v>
      </c>
      <c r="AK397">
        <v>34</v>
      </c>
      <c r="AL397" t="s">
        <v>3084</v>
      </c>
      <c r="AM397" t="s">
        <v>3085</v>
      </c>
      <c r="AN397" t="s">
        <v>3086</v>
      </c>
      <c r="AO397" t="s">
        <v>7523</v>
      </c>
      <c r="AP397" t="s">
        <v>74</v>
      </c>
      <c r="AQ397" t="s">
        <v>74</v>
      </c>
      <c r="AR397" t="s">
        <v>7524</v>
      </c>
      <c r="AS397" t="s">
        <v>7525</v>
      </c>
      <c r="AT397" t="s">
        <v>7374</v>
      </c>
      <c r="AU397">
        <v>2009</v>
      </c>
      <c r="AV397">
        <v>4</v>
      </c>
      <c r="AW397">
        <v>4</v>
      </c>
      <c r="AX397" t="s">
        <v>74</v>
      </c>
      <c r="AY397" t="s">
        <v>74</v>
      </c>
      <c r="AZ397" t="s">
        <v>74</v>
      </c>
      <c r="BA397" t="s">
        <v>74</v>
      </c>
      <c r="BB397" t="s">
        <v>74</v>
      </c>
      <c r="BC397" t="s">
        <v>74</v>
      </c>
      <c r="BD397">
        <v>45109</v>
      </c>
      <c r="BE397" t="s">
        <v>7544</v>
      </c>
      <c r="BF397" t="str">
        <f>HYPERLINK("http://dx.doi.org/10.1088/1748-9326/4/4/045109","http://dx.doi.org/10.1088/1748-9326/4/4/045109")</f>
        <v>http://dx.doi.org/10.1088/1748-9326/4/4/045109</v>
      </c>
      <c r="BG397" t="s">
        <v>74</v>
      </c>
      <c r="BH397" t="s">
        <v>74</v>
      </c>
      <c r="BI397">
        <v>8</v>
      </c>
      <c r="BJ397" t="s">
        <v>4702</v>
      </c>
      <c r="BK397" t="s">
        <v>98</v>
      </c>
      <c r="BL397" t="s">
        <v>4703</v>
      </c>
      <c r="BM397" t="s">
        <v>7527</v>
      </c>
      <c r="BN397" t="s">
        <v>74</v>
      </c>
      <c r="BO397" t="s">
        <v>7545</v>
      </c>
      <c r="BP397" t="s">
        <v>74</v>
      </c>
      <c r="BQ397" t="s">
        <v>74</v>
      </c>
      <c r="BR397" t="s">
        <v>101</v>
      </c>
      <c r="BS397" t="s">
        <v>7546</v>
      </c>
      <c r="BT397" t="str">
        <f>HYPERLINK("https%3A%2F%2Fwww.webofscience.com%2Fwos%2Fwoscc%2Ffull-record%2FWOS:000272900500054","View Full Record in Web of Science")</f>
        <v>View Full Record in Web of Science</v>
      </c>
    </row>
    <row r="398" spans="1:72" x14ac:dyDescent="0.15">
      <c r="A398" t="s">
        <v>72</v>
      </c>
      <c r="B398" t="s">
        <v>7547</v>
      </c>
      <c r="C398" t="s">
        <v>74</v>
      </c>
      <c r="D398" t="s">
        <v>74</v>
      </c>
      <c r="E398" t="s">
        <v>74</v>
      </c>
      <c r="F398" t="s">
        <v>7548</v>
      </c>
      <c r="G398" t="s">
        <v>74</v>
      </c>
      <c r="H398" t="s">
        <v>74</v>
      </c>
      <c r="I398" t="s">
        <v>7549</v>
      </c>
      <c r="J398" t="s">
        <v>7550</v>
      </c>
      <c r="K398" t="s">
        <v>74</v>
      </c>
      <c r="L398" t="s">
        <v>74</v>
      </c>
      <c r="M398" t="s">
        <v>78</v>
      </c>
      <c r="N398" t="s">
        <v>79</v>
      </c>
      <c r="O398" t="s">
        <v>74</v>
      </c>
      <c r="P398" t="s">
        <v>74</v>
      </c>
      <c r="Q398" t="s">
        <v>74</v>
      </c>
      <c r="R398" t="s">
        <v>74</v>
      </c>
      <c r="S398" t="s">
        <v>74</v>
      </c>
      <c r="T398" t="s">
        <v>7551</v>
      </c>
      <c r="U398" t="s">
        <v>7552</v>
      </c>
      <c r="V398" t="s">
        <v>7553</v>
      </c>
      <c r="W398" t="s">
        <v>7554</v>
      </c>
      <c r="X398" t="s">
        <v>7555</v>
      </c>
      <c r="Y398" t="s">
        <v>7556</v>
      </c>
      <c r="Z398" t="s">
        <v>7557</v>
      </c>
      <c r="AA398" t="s">
        <v>74</v>
      </c>
      <c r="AB398" t="s">
        <v>7558</v>
      </c>
      <c r="AC398" t="s">
        <v>7559</v>
      </c>
      <c r="AD398" t="s">
        <v>7560</v>
      </c>
      <c r="AE398" t="s">
        <v>7561</v>
      </c>
      <c r="AF398" t="s">
        <v>74</v>
      </c>
      <c r="AG398">
        <v>60</v>
      </c>
      <c r="AH398">
        <v>32</v>
      </c>
      <c r="AI398">
        <v>34</v>
      </c>
      <c r="AJ398">
        <v>0</v>
      </c>
      <c r="AK398">
        <v>12</v>
      </c>
      <c r="AL398" t="s">
        <v>1850</v>
      </c>
      <c r="AM398" t="s">
        <v>684</v>
      </c>
      <c r="AN398" t="s">
        <v>3108</v>
      </c>
      <c r="AO398" t="s">
        <v>7562</v>
      </c>
      <c r="AP398" t="s">
        <v>7563</v>
      </c>
      <c r="AQ398" t="s">
        <v>74</v>
      </c>
      <c r="AR398" t="s">
        <v>7550</v>
      </c>
      <c r="AS398" t="s">
        <v>7564</v>
      </c>
      <c r="AT398" t="s">
        <v>7132</v>
      </c>
      <c r="AU398">
        <v>2009</v>
      </c>
      <c r="AV398">
        <v>55</v>
      </c>
      <c r="AW398">
        <v>4</v>
      </c>
      <c r="AX398" t="s">
        <v>74</v>
      </c>
      <c r="AY398" t="s">
        <v>74</v>
      </c>
      <c r="AZ398" t="s">
        <v>74</v>
      </c>
      <c r="BA398" t="s">
        <v>74</v>
      </c>
      <c r="BB398">
        <v>489</v>
      </c>
      <c r="BC398">
        <v>500</v>
      </c>
      <c r="BD398" t="s">
        <v>74</v>
      </c>
      <c r="BE398" t="s">
        <v>7565</v>
      </c>
      <c r="BF398" t="str">
        <f>HYPERLINK("http://dx.doi.org/10.1007/s10347-009-0179-3","http://dx.doi.org/10.1007/s10347-009-0179-3")</f>
        <v>http://dx.doi.org/10.1007/s10347-009-0179-3</v>
      </c>
      <c r="BG398" t="s">
        <v>74</v>
      </c>
      <c r="BH398" t="s">
        <v>74</v>
      </c>
      <c r="BI398">
        <v>12</v>
      </c>
      <c r="BJ398" t="s">
        <v>7566</v>
      </c>
      <c r="BK398" t="s">
        <v>98</v>
      </c>
      <c r="BL398" t="s">
        <v>7566</v>
      </c>
      <c r="BM398" t="s">
        <v>7567</v>
      </c>
      <c r="BN398" t="s">
        <v>74</v>
      </c>
      <c r="BO398" t="s">
        <v>74</v>
      </c>
      <c r="BP398" t="s">
        <v>74</v>
      </c>
      <c r="BQ398" t="s">
        <v>74</v>
      </c>
      <c r="BR398" t="s">
        <v>101</v>
      </c>
      <c r="BS398" t="s">
        <v>7568</v>
      </c>
      <c r="BT398" t="str">
        <f>HYPERLINK("https%3A%2F%2Fwww.webofscience.com%2Fwos%2Fwoscc%2Ffull-record%2FWOS:000269853000001","View Full Record in Web of Science")</f>
        <v>View Full Record in Web of Science</v>
      </c>
    </row>
    <row r="399" spans="1:72" x14ac:dyDescent="0.15">
      <c r="A399" t="s">
        <v>72</v>
      </c>
      <c r="B399" t="s">
        <v>7569</v>
      </c>
      <c r="C399" t="s">
        <v>74</v>
      </c>
      <c r="D399" t="s">
        <v>74</v>
      </c>
      <c r="E399" t="s">
        <v>74</v>
      </c>
      <c r="F399" t="s">
        <v>7570</v>
      </c>
      <c r="G399" t="s">
        <v>74</v>
      </c>
      <c r="H399" t="s">
        <v>74</v>
      </c>
      <c r="I399" t="s">
        <v>7571</v>
      </c>
      <c r="J399" t="s">
        <v>7572</v>
      </c>
      <c r="K399" t="s">
        <v>74</v>
      </c>
      <c r="L399" t="s">
        <v>74</v>
      </c>
      <c r="M399" t="s">
        <v>78</v>
      </c>
      <c r="N399" t="s">
        <v>79</v>
      </c>
      <c r="O399" t="s">
        <v>74</v>
      </c>
      <c r="P399" t="s">
        <v>74</v>
      </c>
      <c r="Q399" t="s">
        <v>74</v>
      </c>
      <c r="R399" t="s">
        <v>74</v>
      </c>
      <c r="S399" t="s">
        <v>74</v>
      </c>
      <c r="T399" t="s">
        <v>7573</v>
      </c>
      <c r="U399" t="s">
        <v>7574</v>
      </c>
      <c r="V399" t="s">
        <v>7575</v>
      </c>
      <c r="W399" t="s">
        <v>7576</v>
      </c>
      <c r="X399" t="s">
        <v>7577</v>
      </c>
      <c r="Y399" t="s">
        <v>7578</v>
      </c>
      <c r="Z399" t="s">
        <v>7579</v>
      </c>
      <c r="AA399" t="s">
        <v>74</v>
      </c>
      <c r="AB399" t="s">
        <v>7580</v>
      </c>
      <c r="AC399" t="s">
        <v>7581</v>
      </c>
      <c r="AD399" t="s">
        <v>7582</v>
      </c>
      <c r="AE399" t="s">
        <v>7583</v>
      </c>
      <c r="AF399" t="s">
        <v>74</v>
      </c>
      <c r="AG399">
        <v>33</v>
      </c>
      <c r="AH399">
        <v>6</v>
      </c>
      <c r="AI399">
        <v>8</v>
      </c>
      <c r="AJ399">
        <v>0</v>
      </c>
      <c r="AK399">
        <v>10</v>
      </c>
      <c r="AL399" t="s">
        <v>2171</v>
      </c>
      <c r="AM399" t="s">
        <v>1895</v>
      </c>
      <c r="AN399" t="s">
        <v>2172</v>
      </c>
      <c r="AO399" t="s">
        <v>7584</v>
      </c>
      <c r="AP399" t="s">
        <v>7585</v>
      </c>
      <c r="AQ399" t="s">
        <v>74</v>
      </c>
      <c r="AR399" t="s">
        <v>7586</v>
      </c>
      <c r="AS399" t="s">
        <v>7587</v>
      </c>
      <c r="AT399" t="s">
        <v>7132</v>
      </c>
      <c r="AU399">
        <v>2009</v>
      </c>
      <c r="AV399">
        <v>299</v>
      </c>
      <c r="AW399">
        <v>2</v>
      </c>
      <c r="AX399" t="s">
        <v>74</v>
      </c>
      <c r="AY399" t="s">
        <v>74</v>
      </c>
      <c r="AZ399" t="s">
        <v>74</v>
      </c>
      <c r="BA399" t="s">
        <v>74</v>
      </c>
      <c r="BB399">
        <v>232</v>
      </c>
      <c r="BC399">
        <v>240</v>
      </c>
      <c r="BD399" t="s">
        <v>74</v>
      </c>
      <c r="BE399" t="s">
        <v>7588</v>
      </c>
      <c r="BF399" t="str">
        <f>HYPERLINK("http://dx.doi.org/10.1111/j.1574-6968.2009.01756.x","http://dx.doi.org/10.1111/j.1574-6968.2009.01756.x")</f>
        <v>http://dx.doi.org/10.1111/j.1574-6968.2009.01756.x</v>
      </c>
      <c r="BG399" t="s">
        <v>74</v>
      </c>
      <c r="BH399" t="s">
        <v>74</v>
      </c>
      <c r="BI399">
        <v>9</v>
      </c>
      <c r="BJ399" t="s">
        <v>1958</v>
      </c>
      <c r="BK399" t="s">
        <v>98</v>
      </c>
      <c r="BL399" t="s">
        <v>1958</v>
      </c>
      <c r="BM399" t="s">
        <v>7589</v>
      </c>
      <c r="BN399">
        <v>19732148</v>
      </c>
      <c r="BO399" t="s">
        <v>263</v>
      </c>
      <c r="BP399" t="s">
        <v>74</v>
      </c>
      <c r="BQ399" t="s">
        <v>74</v>
      </c>
      <c r="BR399" t="s">
        <v>101</v>
      </c>
      <c r="BS399" t="s">
        <v>7590</v>
      </c>
      <c r="BT399" t="str">
        <f>HYPERLINK("https%3A%2F%2Fwww.webofscience.com%2Fwos%2Fwoscc%2Ffull-record%2FWOS:000269866500015","View Full Record in Web of Science")</f>
        <v>View Full Record in Web of Science</v>
      </c>
    </row>
    <row r="400" spans="1:72" x14ac:dyDescent="0.15">
      <c r="A400" t="s">
        <v>72</v>
      </c>
      <c r="B400" t="s">
        <v>7591</v>
      </c>
      <c r="C400" t="s">
        <v>74</v>
      </c>
      <c r="D400" t="s">
        <v>74</v>
      </c>
      <c r="E400" t="s">
        <v>74</v>
      </c>
      <c r="F400" t="s">
        <v>7592</v>
      </c>
      <c r="G400" t="s">
        <v>74</v>
      </c>
      <c r="H400" t="s">
        <v>74</v>
      </c>
      <c r="I400" t="s">
        <v>7593</v>
      </c>
      <c r="J400" t="s">
        <v>7594</v>
      </c>
      <c r="K400" t="s">
        <v>74</v>
      </c>
      <c r="L400" t="s">
        <v>74</v>
      </c>
      <c r="M400" t="s">
        <v>78</v>
      </c>
      <c r="N400" t="s">
        <v>79</v>
      </c>
      <c r="O400" t="s">
        <v>74</v>
      </c>
      <c r="P400" t="s">
        <v>74</v>
      </c>
      <c r="Q400" t="s">
        <v>74</v>
      </c>
      <c r="R400" t="s">
        <v>74</v>
      </c>
      <c r="S400" t="s">
        <v>74</v>
      </c>
      <c r="T400" t="s">
        <v>74</v>
      </c>
      <c r="U400" t="s">
        <v>7595</v>
      </c>
      <c r="V400" t="s">
        <v>74</v>
      </c>
      <c r="W400" t="s">
        <v>7596</v>
      </c>
      <c r="X400" t="s">
        <v>1309</v>
      </c>
      <c r="Y400" t="s">
        <v>7597</v>
      </c>
      <c r="Z400" t="s">
        <v>7598</v>
      </c>
      <c r="AA400" t="s">
        <v>7599</v>
      </c>
      <c r="AB400" t="s">
        <v>7600</v>
      </c>
      <c r="AC400" t="s">
        <v>7601</v>
      </c>
      <c r="AD400" t="s">
        <v>7602</v>
      </c>
      <c r="AE400" t="s">
        <v>7603</v>
      </c>
      <c r="AF400" t="s">
        <v>74</v>
      </c>
      <c r="AG400">
        <v>21</v>
      </c>
      <c r="AH400">
        <v>37</v>
      </c>
      <c r="AI400">
        <v>39</v>
      </c>
      <c r="AJ400">
        <v>1</v>
      </c>
      <c r="AK400">
        <v>35</v>
      </c>
      <c r="AL400" t="s">
        <v>2045</v>
      </c>
      <c r="AM400" t="s">
        <v>2046</v>
      </c>
      <c r="AN400" t="s">
        <v>2047</v>
      </c>
      <c r="AO400" t="s">
        <v>7604</v>
      </c>
      <c r="AP400" t="s">
        <v>74</v>
      </c>
      <c r="AQ400" t="s">
        <v>74</v>
      </c>
      <c r="AR400" t="s">
        <v>7605</v>
      </c>
      <c r="AS400" t="s">
        <v>7606</v>
      </c>
      <c r="AT400" t="s">
        <v>7132</v>
      </c>
      <c r="AU400">
        <v>2009</v>
      </c>
      <c r="AV400">
        <v>16</v>
      </c>
      <c r="AW400">
        <v>5</v>
      </c>
      <c r="AX400" t="s">
        <v>74</v>
      </c>
      <c r="AY400" t="s">
        <v>74</v>
      </c>
      <c r="AZ400" t="s">
        <v>74</v>
      </c>
      <c r="BA400" t="s">
        <v>74</v>
      </c>
      <c r="BB400">
        <v>424</v>
      </c>
      <c r="BC400">
        <v>427</v>
      </c>
      <c r="BD400" t="s">
        <v>74</v>
      </c>
      <c r="BE400" t="s">
        <v>7607</v>
      </c>
      <c r="BF400" t="str">
        <f>HYPERLINK("http://dx.doi.org/10.1111/j.1365-2400.2009.00686.x","http://dx.doi.org/10.1111/j.1365-2400.2009.00686.x")</f>
        <v>http://dx.doi.org/10.1111/j.1365-2400.2009.00686.x</v>
      </c>
      <c r="BG400" t="s">
        <v>74</v>
      </c>
      <c r="BH400" t="s">
        <v>74</v>
      </c>
      <c r="BI400">
        <v>4</v>
      </c>
      <c r="BJ400" t="s">
        <v>5108</v>
      </c>
      <c r="BK400" t="s">
        <v>98</v>
      </c>
      <c r="BL400" t="s">
        <v>5108</v>
      </c>
      <c r="BM400" t="s">
        <v>7608</v>
      </c>
      <c r="BN400" t="s">
        <v>74</v>
      </c>
      <c r="BO400" t="s">
        <v>74</v>
      </c>
      <c r="BP400" t="s">
        <v>74</v>
      </c>
      <c r="BQ400" t="s">
        <v>74</v>
      </c>
      <c r="BR400" t="s">
        <v>101</v>
      </c>
      <c r="BS400" t="s">
        <v>7609</v>
      </c>
      <c r="BT400" t="str">
        <f>HYPERLINK("https%3A%2F%2Fwww.webofscience.com%2Fwos%2Fwoscc%2Ffull-record%2FWOS:000269730100012","View Full Record in Web of Science")</f>
        <v>View Full Record in Web of Science</v>
      </c>
    </row>
    <row r="401" spans="1:72" x14ac:dyDescent="0.15">
      <c r="A401" t="s">
        <v>72</v>
      </c>
      <c r="B401" t="s">
        <v>7610</v>
      </c>
      <c r="C401" t="s">
        <v>74</v>
      </c>
      <c r="D401" t="s">
        <v>74</v>
      </c>
      <c r="E401" t="s">
        <v>74</v>
      </c>
      <c r="F401" t="s">
        <v>7611</v>
      </c>
      <c r="G401" t="s">
        <v>74</v>
      </c>
      <c r="H401" t="s">
        <v>74</v>
      </c>
      <c r="I401" t="s">
        <v>7612</v>
      </c>
      <c r="J401" t="s">
        <v>7613</v>
      </c>
      <c r="K401" t="s">
        <v>74</v>
      </c>
      <c r="L401" t="s">
        <v>74</v>
      </c>
      <c r="M401" t="s">
        <v>78</v>
      </c>
      <c r="N401" t="s">
        <v>79</v>
      </c>
      <c r="O401" t="s">
        <v>74</v>
      </c>
      <c r="P401" t="s">
        <v>74</v>
      </c>
      <c r="Q401" t="s">
        <v>74</v>
      </c>
      <c r="R401" t="s">
        <v>74</v>
      </c>
      <c r="S401" t="s">
        <v>74</v>
      </c>
      <c r="T401" t="s">
        <v>74</v>
      </c>
      <c r="U401" t="s">
        <v>7614</v>
      </c>
      <c r="V401" t="s">
        <v>7615</v>
      </c>
      <c r="W401" t="s">
        <v>7616</v>
      </c>
      <c r="X401" t="s">
        <v>7617</v>
      </c>
      <c r="Y401" t="s">
        <v>7618</v>
      </c>
      <c r="Z401" t="s">
        <v>7619</v>
      </c>
      <c r="AA401" t="s">
        <v>74</v>
      </c>
      <c r="AB401" t="s">
        <v>7620</v>
      </c>
      <c r="AC401" t="s">
        <v>7621</v>
      </c>
      <c r="AD401" t="s">
        <v>7622</v>
      </c>
      <c r="AE401" t="s">
        <v>7623</v>
      </c>
      <c r="AF401" t="s">
        <v>74</v>
      </c>
      <c r="AG401">
        <v>47</v>
      </c>
      <c r="AH401">
        <v>8</v>
      </c>
      <c r="AI401">
        <v>8</v>
      </c>
      <c r="AJ401">
        <v>0</v>
      </c>
      <c r="AK401">
        <v>4</v>
      </c>
      <c r="AL401" t="s">
        <v>1850</v>
      </c>
      <c r="AM401" t="s">
        <v>684</v>
      </c>
      <c r="AN401" t="s">
        <v>3108</v>
      </c>
      <c r="AO401" t="s">
        <v>7624</v>
      </c>
      <c r="AP401" t="s">
        <v>7625</v>
      </c>
      <c r="AQ401" t="s">
        <v>74</v>
      </c>
      <c r="AR401" t="s">
        <v>7626</v>
      </c>
      <c r="AS401" t="s">
        <v>7627</v>
      </c>
      <c r="AT401" t="s">
        <v>7132</v>
      </c>
      <c r="AU401">
        <v>2009</v>
      </c>
      <c r="AV401">
        <v>29</v>
      </c>
      <c r="AW401">
        <v>5</v>
      </c>
      <c r="AX401" t="s">
        <v>74</v>
      </c>
      <c r="AY401" t="s">
        <v>74</v>
      </c>
      <c r="AZ401" t="s">
        <v>74</v>
      </c>
      <c r="BA401" t="s">
        <v>74</v>
      </c>
      <c r="BB401">
        <v>309</v>
      </c>
      <c r="BC401">
        <v>320</v>
      </c>
      <c r="BD401" t="s">
        <v>74</v>
      </c>
      <c r="BE401" t="s">
        <v>7628</v>
      </c>
      <c r="BF401" t="str">
        <f>HYPERLINK("http://dx.doi.org/10.1007/s00367-009-0144-8","http://dx.doi.org/10.1007/s00367-009-0144-8")</f>
        <v>http://dx.doi.org/10.1007/s00367-009-0144-8</v>
      </c>
      <c r="BG401" t="s">
        <v>74</v>
      </c>
      <c r="BH401" t="s">
        <v>74</v>
      </c>
      <c r="BI401">
        <v>12</v>
      </c>
      <c r="BJ401" t="s">
        <v>4143</v>
      </c>
      <c r="BK401" t="s">
        <v>98</v>
      </c>
      <c r="BL401" t="s">
        <v>4144</v>
      </c>
      <c r="BM401" t="s">
        <v>7629</v>
      </c>
      <c r="BN401" t="s">
        <v>74</v>
      </c>
      <c r="BO401" t="s">
        <v>74</v>
      </c>
      <c r="BP401" t="s">
        <v>74</v>
      </c>
      <c r="BQ401" t="s">
        <v>74</v>
      </c>
      <c r="BR401" t="s">
        <v>101</v>
      </c>
      <c r="BS401" t="s">
        <v>7630</v>
      </c>
      <c r="BT401" t="str">
        <f>HYPERLINK("https%3A%2F%2Fwww.webofscience.com%2Fwos%2Fwoscc%2Ffull-record%2FWOS:000269853100004","View Full Record in Web of Science")</f>
        <v>View Full Record in Web of Science</v>
      </c>
    </row>
    <row r="402" spans="1:72" x14ac:dyDescent="0.15">
      <c r="A402" t="s">
        <v>72</v>
      </c>
      <c r="B402" t="s">
        <v>7631</v>
      </c>
      <c r="C402" t="s">
        <v>74</v>
      </c>
      <c r="D402" t="s">
        <v>74</v>
      </c>
      <c r="E402" t="s">
        <v>74</v>
      </c>
      <c r="F402" t="s">
        <v>7632</v>
      </c>
      <c r="G402" t="s">
        <v>74</v>
      </c>
      <c r="H402" t="s">
        <v>74</v>
      </c>
      <c r="I402" t="s">
        <v>7633</v>
      </c>
      <c r="J402" t="s">
        <v>4061</v>
      </c>
      <c r="K402" t="s">
        <v>74</v>
      </c>
      <c r="L402" t="s">
        <v>74</v>
      </c>
      <c r="M402" t="s">
        <v>78</v>
      </c>
      <c r="N402" t="s">
        <v>79</v>
      </c>
      <c r="O402" t="s">
        <v>74</v>
      </c>
      <c r="P402" t="s">
        <v>74</v>
      </c>
      <c r="Q402" t="s">
        <v>74</v>
      </c>
      <c r="R402" t="s">
        <v>74</v>
      </c>
      <c r="S402" t="s">
        <v>74</v>
      </c>
      <c r="T402" t="s">
        <v>74</v>
      </c>
      <c r="U402" t="s">
        <v>7634</v>
      </c>
      <c r="V402" t="s">
        <v>7635</v>
      </c>
      <c r="W402" t="s">
        <v>7636</v>
      </c>
      <c r="X402" t="s">
        <v>7637</v>
      </c>
      <c r="Y402" t="s">
        <v>7638</v>
      </c>
      <c r="Z402" t="s">
        <v>7639</v>
      </c>
      <c r="AA402" t="s">
        <v>7640</v>
      </c>
      <c r="AB402" t="s">
        <v>7641</v>
      </c>
      <c r="AC402" t="s">
        <v>7642</v>
      </c>
      <c r="AD402" t="s">
        <v>7643</v>
      </c>
      <c r="AE402" t="s">
        <v>7644</v>
      </c>
      <c r="AF402" t="s">
        <v>74</v>
      </c>
      <c r="AG402">
        <v>67</v>
      </c>
      <c r="AH402">
        <v>28</v>
      </c>
      <c r="AI402">
        <v>28</v>
      </c>
      <c r="AJ402">
        <v>0</v>
      </c>
      <c r="AK402">
        <v>11</v>
      </c>
      <c r="AL402" t="s">
        <v>1894</v>
      </c>
      <c r="AM402" t="s">
        <v>1895</v>
      </c>
      <c r="AN402" t="s">
        <v>1896</v>
      </c>
      <c r="AO402" t="s">
        <v>4073</v>
      </c>
      <c r="AP402" t="s">
        <v>4074</v>
      </c>
      <c r="AQ402" t="s">
        <v>74</v>
      </c>
      <c r="AR402" t="s">
        <v>4075</v>
      </c>
      <c r="AS402" t="s">
        <v>4076</v>
      </c>
      <c r="AT402" t="s">
        <v>7351</v>
      </c>
      <c r="AU402">
        <v>2009</v>
      </c>
      <c r="AV402">
        <v>73</v>
      </c>
      <c r="AW402">
        <v>19</v>
      </c>
      <c r="AX402" t="s">
        <v>74</v>
      </c>
      <c r="AY402" t="s">
        <v>74</v>
      </c>
      <c r="AZ402" t="s">
        <v>74</v>
      </c>
      <c r="BA402" t="s">
        <v>74</v>
      </c>
      <c r="BB402">
        <v>5944</v>
      </c>
      <c r="BC402">
        <v>5958</v>
      </c>
      <c r="BD402" t="s">
        <v>74</v>
      </c>
      <c r="BE402" t="s">
        <v>7645</v>
      </c>
      <c r="BF402" t="str">
        <f>HYPERLINK("http://dx.doi.org/10.1016/j.gca.2009.06.033","http://dx.doi.org/10.1016/j.gca.2009.06.033")</f>
        <v>http://dx.doi.org/10.1016/j.gca.2009.06.033</v>
      </c>
      <c r="BG402" t="s">
        <v>74</v>
      </c>
      <c r="BH402" t="s">
        <v>74</v>
      </c>
      <c r="BI402">
        <v>15</v>
      </c>
      <c r="BJ402" t="s">
        <v>261</v>
      </c>
      <c r="BK402" t="s">
        <v>98</v>
      </c>
      <c r="BL402" t="s">
        <v>261</v>
      </c>
      <c r="BM402" t="s">
        <v>7646</v>
      </c>
      <c r="BN402" t="s">
        <v>74</v>
      </c>
      <c r="BO402" t="s">
        <v>7647</v>
      </c>
      <c r="BP402" t="s">
        <v>74</v>
      </c>
      <c r="BQ402" t="s">
        <v>74</v>
      </c>
      <c r="BR402" t="s">
        <v>101</v>
      </c>
      <c r="BS402" t="s">
        <v>7648</v>
      </c>
      <c r="BT402" t="str">
        <f>HYPERLINK("https%3A%2F%2Fwww.webofscience.com%2Fwos%2Fwoscc%2Ffull-record%2FWOS:000273416400025","View Full Record in Web of Science")</f>
        <v>View Full Record in Web of Science</v>
      </c>
    </row>
    <row r="403" spans="1:72" x14ac:dyDescent="0.15">
      <c r="A403" t="s">
        <v>72</v>
      </c>
      <c r="B403" t="s">
        <v>7649</v>
      </c>
      <c r="C403" t="s">
        <v>74</v>
      </c>
      <c r="D403" t="s">
        <v>74</v>
      </c>
      <c r="E403" t="s">
        <v>74</v>
      </c>
      <c r="F403" t="s">
        <v>7650</v>
      </c>
      <c r="G403" t="s">
        <v>74</v>
      </c>
      <c r="H403" t="s">
        <v>7651</v>
      </c>
      <c r="I403" t="s">
        <v>7652</v>
      </c>
      <c r="J403" t="s">
        <v>7653</v>
      </c>
      <c r="K403" t="s">
        <v>74</v>
      </c>
      <c r="L403" t="s">
        <v>74</v>
      </c>
      <c r="M403" t="s">
        <v>78</v>
      </c>
      <c r="N403" t="s">
        <v>79</v>
      </c>
      <c r="O403" t="s">
        <v>74</v>
      </c>
      <c r="P403" t="s">
        <v>74</v>
      </c>
      <c r="Q403" t="s">
        <v>74</v>
      </c>
      <c r="R403" t="s">
        <v>74</v>
      </c>
      <c r="S403" t="s">
        <v>74</v>
      </c>
      <c r="T403" t="s">
        <v>74</v>
      </c>
      <c r="U403" t="s">
        <v>7654</v>
      </c>
      <c r="V403" t="s">
        <v>7655</v>
      </c>
      <c r="W403" t="s">
        <v>7656</v>
      </c>
      <c r="X403" t="s">
        <v>7657</v>
      </c>
      <c r="Y403" t="s">
        <v>7658</v>
      </c>
      <c r="Z403" t="s">
        <v>7659</v>
      </c>
      <c r="AA403" t="s">
        <v>7660</v>
      </c>
      <c r="AB403" t="s">
        <v>7661</v>
      </c>
      <c r="AC403" t="s">
        <v>7662</v>
      </c>
      <c r="AD403" t="s">
        <v>7663</v>
      </c>
      <c r="AE403" t="s">
        <v>7664</v>
      </c>
      <c r="AF403" t="s">
        <v>74</v>
      </c>
      <c r="AG403">
        <v>35</v>
      </c>
      <c r="AH403">
        <v>118</v>
      </c>
      <c r="AI403">
        <v>138</v>
      </c>
      <c r="AJ403">
        <v>2</v>
      </c>
      <c r="AK403">
        <v>42</v>
      </c>
      <c r="AL403" t="s">
        <v>5193</v>
      </c>
      <c r="AM403" t="s">
        <v>4515</v>
      </c>
      <c r="AN403" t="s">
        <v>5194</v>
      </c>
      <c r="AO403" t="s">
        <v>7665</v>
      </c>
      <c r="AP403" t="s">
        <v>7666</v>
      </c>
      <c r="AQ403" t="s">
        <v>74</v>
      </c>
      <c r="AR403" t="s">
        <v>7653</v>
      </c>
      <c r="AS403" t="s">
        <v>465</v>
      </c>
      <c r="AT403" t="s">
        <v>7132</v>
      </c>
      <c r="AU403">
        <v>2009</v>
      </c>
      <c r="AV403">
        <v>37</v>
      </c>
      <c r="AW403">
        <v>10</v>
      </c>
      <c r="AX403" t="s">
        <v>74</v>
      </c>
      <c r="AY403" t="s">
        <v>74</v>
      </c>
      <c r="AZ403" t="s">
        <v>74</v>
      </c>
      <c r="BA403" t="s">
        <v>74</v>
      </c>
      <c r="BB403">
        <v>955</v>
      </c>
      <c r="BC403">
        <v>958</v>
      </c>
      <c r="BD403" t="s">
        <v>74</v>
      </c>
      <c r="BE403" t="s">
        <v>7667</v>
      </c>
      <c r="BF403" t="str">
        <f>HYPERLINK("http://dx.doi.org/10.1130/G30139A.1","http://dx.doi.org/10.1130/G30139A.1")</f>
        <v>http://dx.doi.org/10.1130/G30139A.1</v>
      </c>
      <c r="BG403" t="s">
        <v>74</v>
      </c>
      <c r="BH403" t="s">
        <v>74</v>
      </c>
      <c r="BI403">
        <v>4</v>
      </c>
      <c r="BJ403" t="s">
        <v>465</v>
      </c>
      <c r="BK403" t="s">
        <v>98</v>
      </c>
      <c r="BL403" t="s">
        <v>465</v>
      </c>
      <c r="BM403" t="s">
        <v>7668</v>
      </c>
      <c r="BN403" t="s">
        <v>74</v>
      </c>
      <c r="BO403" t="s">
        <v>74</v>
      </c>
      <c r="BP403" t="s">
        <v>74</v>
      </c>
      <c r="BQ403" t="s">
        <v>74</v>
      </c>
      <c r="BR403" t="s">
        <v>101</v>
      </c>
      <c r="BS403" t="s">
        <v>7669</v>
      </c>
      <c r="BT403" t="str">
        <f>HYPERLINK("https%3A%2F%2Fwww.webofscience.com%2Fwos%2Fwoscc%2Ffull-record%2FWOS:000270386900024","View Full Record in Web of Science")</f>
        <v>View Full Record in Web of Science</v>
      </c>
    </row>
    <row r="404" spans="1:72" x14ac:dyDescent="0.15">
      <c r="A404" t="s">
        <v>72</v>
      </c>
      <c r="B404" t="s">
        <v>2077</v>
      </c>
      <c r="C404" t="s">
        <v>74</v>
      </c>
      <c r="D404" t="s">
        <v>74</v>
      </c>
      <c r="E404" t="s">
        <v>74</v>
      </c>
      <c r="F404" t="s">
        <v>2078</v>
      </c>
      <c r="G404" t="s">
        <v>74</v>
      </c>
      <c r="H404" t="s">
        <v>74</v>
      </c>
      <c r="I404" t="s">
        <v>7670</v>
      </c>
      <c r="J404" t="s">
        <v>2059</v>
      </c>
      <c r="K404" t="s">
        <v>74</v>
      </c>
      <c r="L404" t="s">
        <v>74</v>
      </c>
      <c r="M404" t="s">
        <v>78</v>
      </c>
      <c r="N404" t="s">
        <v>79</v>
      </c>
      <c r="O404" t="s">
        <v>74</v>
      </c>
      <c r="P404" t="s">
        <v>74</v>
      </c>
      <c r="Q404" t="s">
        <v>74</v>
      </c>
      <c r="R404" t="s">
        <v>74</v>
      </c>
      <c r="S404" t="s">
        <v>74</v>
      </c>
      <c r="T404" t="s">
        <v>74</v>
      </c>
      <c r="U404" t="s">
        <v>7671</v>
      </c>
      <c r="V404" t="s">
        <v>7672</v>
      </c>
      <c r="W404" t="s">
        <v>2081</v>
      </c>
      <c r="X404" t="s">
        <v>2082</v>
      </c>
      <c r="Y404" t="s">
        <v>2083</v>
      </c>
      <c r="Z404" t="s">
        <v>2084</v>
      </c>
      <c r="AA404" t="s">
        <v>7673</v>
      </c>
      <c r="AB404" t="s">
        <v>7674</v>
      </c>
      <c r="AC404" t="s">
        <v>7675</v>
      </c>
      <c r="AD404" t="s">
        <v>7676</v>
      </c>
      <c r="AE404" t="s">
        <v>74</v>
      </c>
      <c r="AF404" t="s">
        <v>74</v>
      </c>
      <c r="AG404">
        <v>30</v>
      </c>
      <c r="AH404">
        <v>1</v>
      </c>
      <c r="AI404">
        <v>1</v>
      </c>
      <c r="AJ404">
        <v>0</v>
      </c>
      <c r="AK404">
        <v>2</v>
      </c>
      <c r="AL404" t="s">
        <v>1931</v>
      </c>
      <c r="AM404" t="s">
        <v>684</v>
      </c>
      <c r="AN404" t="s">
        <v>1932</v>
      </c>
      <c r="AO404" t="s">
        <v>2070</v>
      </c>
      <c r="AP404" t="s">
        <v>74</v>
      </c>
      <c r="AQ404" t="s">
        <v>74</v>
      </c>
      <c r="AR404" t="s">
        <v>2072</v>
      </c>
      <c r="AS404" t="s">
        <v>2073</v>
      </c>
      <c r="AT404" t="s">
        <v>7132</v>
      </c>
      <c r="AU404">
        <v>2009</v>
      </c>
      <c r="AV404">
        <v>49</v>
      </c>
      <c r="AW404">
        <v>5</v>
      </c>
      <c r="AX404" t="s">
        <v>74</v>
      </c>
      <c r="AY404" t="s">
        <v>74</v>
      </c>
      <c r="AZ404" t="s">
        <v>74</v>
      </c>
      <c r="BA404" t="s">
        <v>74</v>
      </c>
      <c r="BB404">
        <v>653</v>
      </c>
      <c r="BC404">
        <v>663</v>
      </c>
      <c r="BD404" t="s">
        <v>74</v>
      </c>
      <c r="BE404" t="s">
        <v>7677</v>
      </c>
      <c r="BF404" t="str">
        <f>HYPERLINK("http://dx.doi.org/10.1134/S0016793209050120","http://dx.doi.org/10.1134/S0016793209050120")</f>
        <v>http://dx.doi.org/10.1134/S0016793209050120</v>
      </c>
      <c r="BG404" t="s">
        <v>74</v>
      </c>
      <c r="BH404" t="s">
        <v>74</v>
      </c>
      <c r="BI404">
        <v>11</v>
      </c>
      <c r="BJ404" t="s">
        <v>261</v>
      </c>
      <c r="BK404" t="s">
        <v>98</v>
      </c>
      <c r="BL404" t="s">
        <v>261</v>
      </c>
      <c r="BM404" t="s">
        <v>7678</v>
      </c>
      <c r="BN404" t="s">
        <v>74</v>
      </c>
      <c r="BO404" t="s">
        <v>74</v>
      </c>
      <c r="BP404" t="s">
        <v>74</v>
      </c>
      <c r="BQ404" t="s">
        <v>74</v>
      </c>
      <c r="BR404" t="s">
        <v>101</v>
      </c>
      <c r="BS404" t="s">
        <v>7679</v>
      </c>
      <c r="BT404" t="str">
        <f>HYPERLINK("https%3A%2F%2Fwww.webofscience.com%2Fwos%2Fwoscc%2Ffull-record%2FWOS:000270681500012","View Full Record in Web of Science")</f>
        <v>View Full Record in Web of Science</v>
      </c>
    </row>
    <row r="405" spans="1:72" x14ac:dyDescent="0.15">
      <c r="A405" t="s">
        <v>72</v>
      </c>
      <c r="B405" t="s">
        <v>7680</v>
      </c>
      <c r="C405" t="s">
        <v>74</v>
      </c>
      <c r="D405" t="s">
        <v>74</v>
      </c>
      <c r="E405" t="s">
        <v>74</v>
      </c>
      <c r="F405" t="s">
        <v>7681</v>
      </c>
      <c r="G405" t="s">
        <v>74</v>
      </c>
      <c r="H405" t="s">
        <v>74</v>
      </c>
      <c r="I405" t="s">
        <v>7682</v>
      </c>
      <c r="J405" t="s">
        <v>5241</v>
      </c>
      <c r="K405" t="s">
        <v>74</v>
      </c>
      <c r="L405" t="s">
        <v>74</v>
      </c>
      <c r="M405" t="s">
        <v>78</v>
      </c>
      <c r="N405" t="s">
        <v>79</v>
      </c>
      <c r="O405" t="s">
        <v>74</v>
      </c>
      <c r="P405" t="s">
        <v>74</v>
      </c>
      <c r="Q405" t="s">
        <v>74</v>
      </c>
      <c r="R405" t="s">
        <v>74</v>
      </c>
      <c r="S405" t="s">
        <v>74</v>
      </c>
      <c r="T405" t="s">
        <v>7683</v>
      </c>
      <c r="U405" t="s">
        <v>7684</v>
      </c>
      <c r="V405" t="s">
        <v>7685</v>
      </c>
      <c r="W405" t="s">
        <v>7686</v>
      </c>
      <c r="X405" t="s">
        <v>7687</v>
      </c>
      <c r="Y405" t="s">
        <v>7688</v>
      </c>
      <c r="Z405" t="s">
        <v>7689</v>
      </c>
      <c r="AA405" t="s">
        <v>74</v>
      </c>
      <c r="AB405" t="s">
        <v>7690</v>
      </c>
      <c r="AC405" t="s">
        <v>7691</v>
      </c>
      <c r="AD405" t="s">
        <v>7692</v>
      </c>
      <c r="AE405" t="s">
        <v>7693</v>
      </c>
      <c r="AF405" t="s">
        <v>74</v>
      </c>
      <c r="AG405">
        <v>43</v>
      </c>
      <c r="AH405">
        <v>5</v>
      </c>
      <c r="AI405">
        <v>6</v>
      </c>
      <c r="AJ405">
        <v>0</v>
      </c>
      <c r="AK405">
        <v>5</v>
      </c>
      <c r="AL405" t="s">
        <v>2171</v>
      </c>
      <c r="AM405" t="s">
        <v>1895</v>
      </c>
      <c r="AN405" t="s">
        <v>2172</v>
      </c>
      <c r="AO405" t="s">
        <v>5254</v>
      </c>
      <c r="AP405" t="s">
        <v>5255</v>
      </c>
      <c r="AQ405" t="s">
        <v>74</v>
      </c>
      <c r="AR405" t="s">
        <v>5256</v>
      </c>
      <c r="AS405" t="s">
        <v>5257</v>
      </c>
      <c r="AT405" t="s">
        <v>7132</v>
      </c>
      <c r="AU405">
        <v>2009</v>
      </c>
      <c r="AV405">
        <v>179</v>
      </c>
      <c r="AW405">
        <v>1</v>
      </c>
      <c r="AX405" t="s">
        <v>74</v>
      </c>
      <c r="AY405" t="s">
        <v>74</v>
      </c>
      <c r="AZ405" t="s">
        <v>74</v>
      </c>
      <c r="BA405" t="s">
        <v>74</v>
      </c>
      <c r="BB405">
        <v>144</v>
      </c>
      <c r="BC405">
        <v>153</v>
      </c>
      <c r="BD405" t="s">
        <v>74</v>
      </c>
      <c r="BE405" t="s">
        <v>7694</v>
      </c>
      <c r="BF405" t="str">
        <f>HYPERLINK("http://dx.doi.org/10.1111/j.1365-246X.2009.04300.x","http://dx.doi.org/10.1111/j.1365-246X.2009.04300.x")</f>
        <v>http://dx.doi.org/10.1111/j.1365-246X.2009.04300.x</v>
      </c>
      <c r="BG405" t="s">
        <v>74</v>
      </c>
      <c r="BH405" t="s">
        <v>74</v>
      </c>
      <c r="BI405">
        <v>10</v>
      </c>
      <c r="BJ405" t="s">
        <v>261</v>
      </c>
      <c r="BK405" t="s">
        <v>98</v>
      </c>
      <c r="BL405" t="s">
        <v>261</v>
      </c>
      <c r="BM405" t="s">
        <v>7695</v>
      </c>
      <c r="BN405" t="s">
        <v>74</v>
      </c>
      <c r="BO405" t="s">
        <v>4550</v>
      </c>
      <c r="BP405" t="s">
        <v>74</v>
      </c>
      <c r="BQ405" t="s">
        <v>74</v>
      </c>
      <c r="BR405" t="s">
        <v>101</v>
      </c>
      <c r="BS405" t="s">
        <v>7696</v>
      </c>
      <c r="BT405" t="str">
        <f>HYPERLINK("https%3A%2F%2Fwww.webofscience.com%2Fwos%2Fwoscc%2Ffull-record%2FWOS:000269736600011","View Full Record in Web of Science")</f>
        <v>View Full Record in Web of Science</v>
      </c>
    </row>
    <row r="406" spans="1:72" x14ac:dyDescent="0.15">
      <c r="A406" t="s">
        <v>72</v>
      </c>
      <c r="B406" t="s">
        <v>7697</v>
      </c>
      <c r="C406" t="s">
        <v>74</v>
      </c>
      <c r="D406" t="s">
        <v>74</v>
      </c>
      <c r="E406" t="s">
        <v>74</v>
      </c>
      <c r="F406" t="s">
        <v>7698</v>
      </c>
      <c r="G406" t="s">
        <v>74</v>
      </c>
      <c r="H406" t="s">
        <v>74</v>
      </c>
      <c r="I406" t="s">
        <v>7699</v>
      </c>
      <c r="J406" t="s">
        <v>7700</v>
      </c>
      <c r="K406" t="s">
        <v>74</v>
      </c>
      <c r="L406" t="s">
        <v>74</v>
      </c>
      <c r="M406" t="s">
        <v>78</v>
      </c>
      <c r="N406" t="s">
        <v>79</v>
      </c>
      <c r="O406" t="s">
        <v>74</v>
      </c>
      <c r="P406" t="s">
        <v>74</v>
      </c>
      <c r="Q406" t="s">
        <v>74</v>
      </c>
      <c r="R406" t="s">
        <v>74</v>
      </c>
      <c r="S406" t="s">
        <v>74</v>
      </c>
      <c r="T406" t="s">
        <v>7701</v>
      </c>
      <c r="U406" t="s">
        <v>7702</v>
      </c>
      <c r="V406" t="s">
        <v>7703</v>
      </c>
      <c r="W406" t="s">
        <v>7704</v>
      </c>
      <c r="X406" t="s">
        <v>7705</v>
      </c>
      <c r="Y406" t="s">
        <v>7706</v>
      </c>
      <c r="Z406" t="s">
        <v>7707</v>
      </c>
      <c r="AA406" t="s">
        <v>74</v>
      </c>
      <c r="AB406" t="s">
        <v>74</v>
      </c>
      <c r="AC406" t="s">
        <v>74</v>
      </c>
      <c r="AD406" t="s">
        <v>74</v>
      </c>
      <c r="AE406" t="s">
        <v>74</v>
      </c>
      <c r="AF406" t="s">
        <v>74</v>
      </c>
      <c r="AG406">
        <v>46</v>
      </c>
      <c r="AH406">
        <v>20</v>
      </c>
      <c r="AI406">
        <v>22</v>
      </c>
      <c r="AJ406">
        <v>2</v>
      </c>
      <c r="AK406">
        <v>97</v>
      </c>
      <c r="AL406" t="s">
        <v>1184</v>
      </c>
      <c r="AM406" t="s">
        <v>1185</v>
      </c>
      <c r="AN406" t="s">
        <v>1186</v>
      </c>
      <c r="AO406" t="s">
        <v>7708</v>
      </c>
      <c r="AP406" t="s">
        <v>7709</v>
      </c>
      <c r="AQ406" t="s">
        <v>74</v>
      </c>
      <c r="AR406" t="s">
        <v>7700</v>
      </c>
      <c r="AS406" t="s">
        <v>7710</v>
      </c>
      <c r="AT406" t="s">
        <v>7132</v>
      </c>
      <c r="AU406">
        <v>2009</v>
      </c>
      <c r="AV406">
        <v>151</v>
      </c>
      <c r="AW406">
        <v>4</v>
      </c>
      <c r="AX406" t="s">
        <v>74</v>
      </c>
      <c r="AY406" t="s">
        <v>74</v>
      </c>
      <c r="AZ406" t="s">
        <v>74</v>
      </c>
      <c r="BA406" t="s">
        <v>74</v>
      </c>
      <c r="BB406">
        <v>699</v>
      </c>
      <c r="BC406">
        <v>708</v>
      </c>
      <c r="BD406" t="s">
        <v>74</v>
      </c>
      <c r="BE406" t="s">
        <v>7711</v>
      </c>
      <c r="BF406" t="str">
        <f>HYPERLINK("http://dx.doi.org/10.1111/j.1474-919X.2009.00949.x","http://dx.doi.org/10.1111/j.1474-919X.2009.00949.x")</f>
        <v>http://dx.doi.org/10.1111/j.1474-919X.2009.00949.x</v>
      </c>
      <c r="BG406" t="s">
        <v>74</v>
      </c>
      <c r="BH406" t="s">
        <v>74</v>
      </c>
      <c r="BI406">
        <v>10</v>
      </c>
      <c r="BJ406" t="s">
        <v>2460</v>
      </c>
      <c r="BK406" t="s">
        <v>98</v>
      </c>
      <c r="BL406" t="s">
        <v>207</v>
      </c>
      <c r="BM406" t="s">
        <v>7712</v>
      </c>
      <c r="BN406" t="s">
        <v>74</v>
      </c>
      <c r="BO406" t="s">
        <v>74</v>
      </c>
      <c r="BP406" t="s">
        <v>74</v>
      </c>
      <c r="BQ406" t="s">
        <v>74</v>
      </c>
      <c r="BR406" t="s">
        <v>101</v>
      </c>
      <c r="BS406" t="s">
        <v>7713</v>
      </c>
      <c r="BT406" t="str">
        <f>HYPERLINK("https%3A%2F%2Fwww.webofscience.com%2Fwos%2Fwoscc%2Ffull-record%2FWOS:000269977000007","View Full Record in Web of Science")</f>
        <v>View Full Record in Web of Science</v>
      </c>
    </row>
    <row r="407" spans="1:72" x14ac:dyDescent="0.15">
      <c r="A407" t="s">
        <v>72</v>
      </c>
      <c r="B407" t="s">
        <v>7714</v>
      </c>
      <c r="C407" t="s">
        <v>74</v>
      </c>
      <c r="D407" t="s">
        <v>74</v>
      </c>
      <c r="E407" t="s">
        <v>74</v>
      </c>
      <c r="F407" t="s">
        <v>7715</v>
      </c>
      <c r="G407" t="s">
        <v>74</v>
      </c>
      <c r="H407" t="s">
        <v>74</v>
      </c>
      <c r="I407" t="s">
        <v>7716</v>
      </c>
      <c r="J407" t="s">
        <v>2282</v>
      </c>
      <c r="K407" t="s">
        <v>74</v>
      </c>
      <c r="L407" t="s">
        <v>74</v>
      </c>
      <c r="M407" t="s">
        <v>78</v>
      </c>
      <c r="N407" t="s">
        <v>79</v>
      </c>
      <c r="O407" t="s">
        <v>74</v>
      </c>
      <c r="P407" t="s">
        <v>74</v>
      </c>
      <c r="Q407" t="s">
        <v>74</v>
      </c>
      <c r="R407" t="s">
        <v>74</v>
      </c>
      <c r="S407" t="s">
        <v>74</v>
      </c>
      <c r="T407" t="s">
        <v>74</v>
      </c>
      <c r="U407" t="s">
        <v>7717</v>
      </c>
      <c r="V407" t="s">
        <v>7718</v>
      </c>
      <c r="W407" t="s">
        <v>7719</v>
      </c>
      <c r="X407" t="s">
        <v>7720</v>
      </c>
      <c r="Y407" t="s">
        <v>4838</v>
      </c>
      <c r="Z407" t="s">
        <v>7721</v>
      </c>
      <c r="AA407" t="s">
        <v>74</v>
      </c>
      <c r="AB407" t="s">
        <v>4841</v>
      </c>
      <c r="AC407" t="s">
        <v>7722</v>
      </c>
      <c r="AD407" t="s">
        <v>7723</v>
      </c>
      <c r="AE407" t="s">
        <v>7724</v>
      </c>
      <c r="AF407" t="s">
        <v>74</v>
      </c>
      <c r="AG407">
        <v>40</v>
      </c>
      <c r="AH407">
        <v>21</v>
      </c>
      <c r="AI407">
        <v>24</v>
      </c>
      <c r="AJ407">
        <v>0</v>
      </c>
      <c r="AK407">
        <v>8</v>
      </c>
      <c r="AL407" t="s">
        <v>2293</v>
      </c>
      <c r="AM407" t="s">
        <v>433</v>
      </c>
      <c r="AN407" t="s">
        <v>7725</v>
      </c>
      <c r="AO407" t="s">
        <v>2295</v>
      </c>
      <c r="AP407" t="s">
        <v>2296</v>
      </c>
      <c r="AQ407" t="s">
        <v>74</v>
      </c>
      <c r="AR407" t="s">
        <v>2297</v>
      </c>
      <c r="AS407" t="s">
        <v>2298</v>
      </c>
      <c r="AT407" t="s">
        <v>7132</v>
      </c>
      <c r="AU407">
        <v>2009</v>
      </c>
      <c r="AV407">
        <v>59</v>
      </c>
      <c r="AW407" t="s">
        <v>74</v>
      </c>
      <c r="AX407">
        <v>10</v>
      </c>
      <c r="AY407" t="s">
        <v>74</v>
      </c>
      <c r="AZ407" t="s">
        <v>74</v>
      </c>
      <c r="BA407" t="s">
        <v>74</v>
      </c>
      <c r="BB407">
        <v>2618</v>
      </c>
      <c r="BC407">
        <v>2623</v>
      </c>
      <c r="BD407" t="s">
        <v>74</v>
      </c>
      <c r="BE407" t="s">
        <v>7726</v>
      </c>
      <c r="BF407" t="str">
        <f>HYPERLINK("http://dx.doi.org/10.1099/ijs.0.002691-0","http://dx.doi.org/10.1099/ijs.0.002691-0")</f>
        <v>http://dx.doi.org/10.1099/ijs.0.002691-0</v>
      </c>
      <c r="BG407" t="s">
        <v>74</v>
      </c>
      <c r="BH407" t="s">
        <v>74</v>
      </c>
      <c r="BI407">
        <v>6</v>
      </c>
      <c r="BJ407" t="s">
        <v>1958</v>
      </c>
      <c r="BK407" t="s">
        <v>98</v>
      </c>
      <c r="BL407" t="s">
        <v>1958</v>
      </c>
      <c r="BM407" t="s">
        <v>7727</v>
      </c>
      <c r="BN407">
        <v>19625444</v>
      </c>
      <c r="BO407" t="s">
        <v>74</v>
      </c>
      <c r="BP407" t="s">
        <v>74</v>
      </c>
      <c r="BQ407" t="s">
        <v>74</v>
      </c>
      <c r="BR407" t="s">
        <v>101</v>
      </c>
      <c r="BS407" t="s">
        <v>7728</v>
      </c>
      <c r="BT407" t="str">
        <f>HYPERLINK("https%3A%2F%2Fwww.webofscience.com%2Fwos%2Fwoscc%2Ffull-record%2FWOS:000271211000039","View Full Record in Web of Science")</f>
        <v>View Full Record in Web of Science</v>
      </c>
    </row>
    <row r="408" spans="1:72" x14ac:dyDescent="0.15">
      <c r="A408" t="s">
        <v>72</v>
      </c>
      <c r="B408" t="s">
        <v>7729</v>
      </c>
      <c r="C408" t="s">
        <v>74</v>
      </c>
      <c r="D408" t="s">
        <v>74</v>
      </c>
      <c r="E408" t="s">
        <v>74</v>
      </c>
      <c r="F408" t="s">
        <v>7730</v>
      </c>
      <c r="G408" t="s">
        <v>74</v>
      </c>
      <c r="H408" t="s">
        <v>74</v>
      </c>
      <c r="I408" t="s">
        <v>7731</v>
      </c>
      <c r="J408" t="s">
        <v>7732</v>
      </c>
      <c r="K408" t="s">
        <v>74</v>
      </c>
      <c r="L408" t="s">
        <v>74</v>
      </c>
      <c r="M408" t="s">
        <v>78</v>
      </c>
      <c r="N408" t="s">
        <v>79</v>
      </c>
      <c r="O408" t="s">
        <v>74</v>
      </c>
      <c r="P408" t="s">
        <v>74</v>
      </c>
      <c r="Q408" t="s">
        <v>74</v>
      </c>
      <c r="R408" t="s">
        <v>74</v>
      </c>
      <c r="S408" t="s">
        <v>74</v>
      </c>
      <c r="T408" t="s">
        <v>7733</v>
      </c>
      <c r="U408" t="s">
        <v>74</v>
      </c>
      <c r="V408" t="s">
        <v>7734</v>
      </c>
      <c r="W408" t="s">
        <v>7735</v>
      </c>
      <c r="X408" t="s">
        <v>74</v>
      </c>
      <c r="Y408" t="s">
        <v>7736</v>
      </c>
      <c r="Z408" t="s">
        <v>7737</v>
      </c>
      <c r="AA408" t="s">
        <v>74</v>
      </c>
      <c r="AB408" t="s">
        <v>74</v>
      </c>
      <c r="AC408" t="s">
        <v>74</v>
      </c>
      <c r="AD408" t="s">
        <v>74</v>
      </c>
      <c r="AE408" t="s">
        <v>74</v>
      </c>
      <c r="AF408" t="s">
        <v>74</v>
      </c>
      <c r="AG408">
        <v>8</v>
      </c>
      <c r="AH408">
        <v>0</v>
      </c>
      <c r="AI408">
        <v>0</v>
      </c>
      <c r="AJ408">
        <v>0</v>
      </c>
      <c r="AK408">
        <v>3</v>
      </c>
      <c r="AL408" t="s">
        <v>7738</v>
      </c>
      <c r="AM408" t="s">
        <v>433</v>
      </c>
      <c r="AN408" t="s">
        <v>7739</v>
      </c>
      <c r="AO408" t="s">
        <v>7740</v>
      </c>
      <c r="AP408" t="s">
        <v>74</v>
      </c>
      <c r="AQ408" t="s">
        <v>74</v>
      </c>
      <c r="AR408" t="s">
        <v>7741</v>
      </c>
      <c r="AS408" t="s">
        <v>7742</v>
      </c>
      <c r="AT408" t="s">
        <v>7132</v>
      </c>
      <c r="AU408">
        <v>2009</v>
      </c>
      <c r="AV408">
        <v>62</v>
      </c>
      <c r="AW408">
        <v>10</v>
      </c>
      <c r="AX408" t="s">
        <v>74</v>
      </c>
      <c r="AY408" t="s">
        <v>74</v>
      </c>
      <c r="AZ408" t="s">
        <v>74</v>
      </c>
      <c r="BA408" t="s">
        <v>74</v>
      </c>
      <c r="BB408">
        <v>354</v>
      </c>
      <c r="BC408">
        <v>361</v>
      </c>
      <c r="BD408" t="s">
        <v>74</v>
      </c>
      <c r="BE408" t="s">
        <v>74</v>
      </c>
      <c r="BF408" t="s">
        <v>74</v>
      </c>
      <c r="BG408" t="s">
        <v>74</v>
      </c>
      <c r="BH408" t="s">
        <v>74</v>
      </c>
      <c r="BI408">
        <v>8</v>
      </c>
      <c r="BJ408" t="s">
        <v>7743</v>
      </c>
      <c r="BK408" t="s">
        <v>98</v>
      </c>
      <c r="BL408" t="s">
        <v>7744</v>
      </c>
      <c r="BM408" t="s">
        <v>7745</v>
      </c>
      <c r="BN408" t="s">
        <v>74</v>
      </c>
      <c r="BO408" t="s">
        <v>74</v>
      </c>
      <c r="BP408" t="s">
        <v>74</v>
      </c>
      <c r="BQ408" t="s">
        <v>74</v>
      </c>
      <c r="BR408" t="s">
        <v>101</v>
      </c>
      <c r="BS408" t="s">
        <v>7746</v>
      </c>
      <c r="BT408" t="str">
        <f>HYPERLINK("https%3A%2F%2Fwww.webofscience.com%2Fwos%2Fwoscc%2Ffull-record%2FWOS:000278927500002","View Full Record in Web of Science")</f>
        <v>View Full Record in Web of Science</v>
      </c>
    </row>
    <row r="409" spans="1:72" x14ac:dyDescent="0.15">
      <c r="A409" t="s">
        <v>72</v>
      </c>
      <c r="B409" t="s">
        <v>7747</v>
      </c>
      <c r="C409" t="s">
        <v>74</v>
      </c>
      <c r="D409" t="s">
        <v>74</v>
      </c>
      <c r="E409" t="s">
        <v>74</v>
      </c>
      <c r="F409" t="s">
        <v>7748</v>
      </c>
      <c r="G409" t="s">
        <v>74</v>
      </c>
      <c r="H409" t="s">
        <v>74</v>
      </c>
      <c r="I409" t="s">
        <v>7749</v>
      </c>
      <c r="J409" t="s">
        <v>7750</v>
      </c>
      <c r="K409" t="s">
        <v>74</v>
      </c>
      <c r="L409" t="s">
        <v>74</v>
      </c>
      <c r="M409" t="s">
        <v>78</v>
      </c>
      <c r="N409" t="s">
        <v>523</v>
      </c>
      <c r="O409" t="s">
        <v>74</v>
      </c>
      <c r="P409" t="s">
        <v>74</v>
      </c>
      <c r="Q409" t="s">
        <v>74</v>
      </c>
      <c r="R409" t="s">
        <v>74</v>
      </c>
      <c r="S409" t="s">
        <v>74</v>
      </c>
      <c r="T409" t="s">
        <v>7751</v>
      </c>
      <c r="U409" t="s">
        <v>7752</v>
      </c>
      <c r="V409" t="s">
        <v>7753</v>
      </c>
      <c r="W409" t="s">
        <v>7754</v>
      </c>
      <c r="X409" t="s">
        <v>7755</v>
      </c>
      <c r="Y409" t="s">
        <v>7756</v>
      </c>
      <c r="Z409" t="s">
        <v>7757</v>
      </c>
      <c r="AA409" t="s">
        <v>7758</v>
      </c>
      <c r="AB409" t="s">
        <v>7759</v>
      </c>
      <c r="AC409" t="s">
        <v>74</v>
      </c>
      <c r="AD409" t="s">
        <v>74</v>
      </c>
      <c r="AE409" t="s">
        <v>74</v>
      </c>
      <c r="AF409" t="s">
        <v>74</v>
      </c>
      <c r="AG409">
        <v>31</v>
      </c>
      <c r="AH409">
        <v>16</v>
      </c>
      <c r="AI409">
        <v>16</v>
      </c>
      <c r="AJ409">
        <v>0</v>
      </c>
      <c r="AK409">
        <v>38</v>
      </c>
      <c r="AL409" t="s">
        <v>2045</v>
      </c>
      <c r="AM409" t="s">
        <v>2046</v>
      </c>
      <c r="AN409" t="s">
        <v>2047</v>
      </c>
      <c r="AO409" t="s">
        <v>7760</v>
      </c>
      <c r="AP409" t="s">
        <v>74</v>
      </c>
      <c r="AQ409" t="s">
        <v>74</v>
      </c>
      <c r="AR409" t="s">
        <v>7761</v>
      </c>
      <c r="AS409" t="s">
        <v>7762</v>
      </c>
      <c r="AT409" t="s">
        <v>7132</v>
      </c>
      <c r="AU409">
        <v>2009</v>
      </c>
      <c r="AV409">
        <v>46</v>
      </c>
      <c r="AW409">
        <v>5</v>
      </c>
      <c r="AX409" t="s">
        <v>74</v>
      </c>
      <c r="AY409" t="s">
        <v>74</v>
      </c>
      <c r="AZ409" t="s">
        <v>74</v>
      </c>
      <c r="BA409" t="s">
        <v>74</v>
      </c>
      <c r="BB409">
        <v>1133</v>
      </c>
      <c r="BC409">
        <v>1136</v>
      </c>
      <c r="BD409" t="s">
        <v>74</v>
      </c>
      <c r="BE409" t="s">
        <v>7763</v>
      </c>
      <c r="BF409" t="str">
        <f>HYPERLINK("http://dx.doi.org/10.1111/j.1365-2664.2009.01708.x","http://dx.doi.org/10.1111/j.1365-2664.2009.01708.x")</f>
        <v>http://dx.doi.org/10.1111/j.1365-2664.2009.01708.x</v>
      </c>
      <c r="BG409" t="s">
        <v>74</v>
      </c>
      <c r="BH409" t="s">
        <v>74</v>
      </c>
      <c r="BI409">
        <v>4</v>
      </c>
      <c r="BJ409" t="s">
        <v>3114</v>
      </c>
      <c r="BK409" t="s">
        <v>98</v>
      </c>
      <c r="BL409" t="s">
        <v>3115</v>
      </c>
      <c r="BM409" t="s">
        <v>7764</v>
      </c>
      <c r="BN409" t="s">
        <v>74</v>
      </c>
      <c r="BO409" t="s">
        <v>74</v>
      </c>
      <c r="BP409" t="s">
        <v>74</v>
      </c>
      <c r="BQ409" t="s">
        <v>74</v>
      </c>
      <c r="BR409" t="s">
        <v>101</v>
      </c>
      <c r="BS409" t="s">
        <v>7765</v>
      </c>
      <c r="BT409" t="str">
        <f>HYPERLINK("https%3A%2F%2Fwww.webofscience.com%2Fwos%2Fwoscc%2Ffull-record%2FWOS:000270425100028","View Full Record in Web of Science")</f>
        <v>View Full Record in Web of Science</v>
      </c>
    </row>
    <row r="410" spans="1:72" x14ac:dyDescent="0.15">
      <c r="A410" t="s">
        <v>72</v>
      </c>
      <c r="B410" t="s">
        <v>7766</v>
      </c>
      <c r="C410" t="s">
        <v>74</v>
      </c>
      <c r="D410" t="s">
        <v>74</v>
      </c>
      <c r="E410" t="s">
        <v>74</v>
      </c>
      <c r="F410" t="s">
        <v>7767</v>
      </c>
      <c r="G410" t="s">
        <v>74</v>
      </c>
      <c r="H410" t="s">
        <v>74</v>
      </c>
      <c r="I410" t="s">
        <v>7768</v>
      </c>
      <c r="J410" t="s">
        <v>7769</v>
      </c>
      <c r="K410" t="s">
        <v>74</v>
      </c>
      <c r="L410" t="s">
        <v>74</v>
      </c>
      <c r="M410" t="s">
        <v>78</v>
      </c>
      <c r="N410" t="s">
        <v>79</v>
      </c>
      <c r="O410" t="s">
        <v>74</v>
      </c>
      <c r="P410" t="s">
        <v>74</v>
      </c>
      <c r="Q410" t="s">
        <v>74</v>
      </c>
      <c r="R410" t="s">
        <v>74</v>
      </c>
      <c r="S410" t="s">
        <v>74</v>
      </c>
      <c r="T410" t="s">
        <v>74</v>
      </c>
      <c r="U410" t="s">
        <v>7770</v>
      </c>
      <c r="V410" t="s">
        <v>7771</v>
      </c>
      <c r="W410" t="s">
        <v>7772</v>
      </c>
      <c r="X410" t="s">
        <v>7773</v>
      </c>
      <c r="Y410" t="s">
        <v>7774</v>
      </c>
      <c r="Z410" t="s">
        <v>7775</v>
      </c>
      <c r="AA410" t="s">
        <v>7776</v>
      </c>
      <c r="AB410" t="s">
        <v>7777</v>
      </c>
      <c r="AC410" t="s">
        <v>7778</v>
      </c>
      <c r="AD410" t="s">
        <v>7779</v>
      </c>
      <c r="AE410" t="s">
        <v>7780</v>
      </c>
      <c r="AF410" t="s">
        <v>74</v>
      </c>
      <c r="AG410">
        <v>25</v>
      </c>
      <c r="AH410">
        <v>10</v>
      </c>
      <c r="AI410">
        <v>12</v>
      </c>
      <c r="AJ410">
        <v>1</v>
      </c>
      <c r="AK410">
        <v>8</v>
      </c>
      <c r="AL410" t="s">
        <v>2397</v>
      </c>
      <c r="AM410" t="s">
        <v>2398</v>
      </c>
      <c r="AN410" t="s">
        <v>2399</v>
      </c>
      <c r="AO410" t="s">
        <v>7781</v>
      </c>
      <c r="AP410" t="s">
        <v>7782</v>
      </c>
      <c r="AQ410" t="s">
        <v>74</v>
      </c>
      <c r="AR410" t="s">
        <v>7783</v>
      </c>
      <c r="AS410" t="s">
        <v>7784</v>
      </c>
      <c r="AT410" t="s">
        <v>7132</v>
      </c>
      <c r="AU410">
        <v>2009</v>
      </c>
      <c r="AV410">
        <v>26</v>
      </c>
      <c r="AW410">
        <v>10</v>
      </c>
      <c r="AX410" t="s">
        <v>74</v>
      </c>
      <c r="AY410" t="s">
        <v>74</v>
      </c>
      <c r="AZ410" t="s">
        <v>74</v>
      </c>
      <c r="BA410" t="s">
        <v>74</v>
      </c>
      <c r="BB410">
        <v>2182</v>
      </c>
      <c r="BC410">
        <v>2191</v>
      </c>
      <c r="BD410" t="s">
        <v>74</v>
      </c>
      <c r="BE410" t="s">
        <v>7785</v>
      </c>
      <c r="BF410" t="str">
        <f>HYPERLINK("http://dx.doi.org/10.1175/2009JTECHA1283.1","http://dx.doi.org/10.1175/2009JTECHA1283.1")</f>
        <v>http://dx.doi.org/10.1175/2009JTECHA1283.1</v>
      </c>
      <c r="BG410" t="s">
        <v>74</v>
      </c>
      <c r="BH410" t="s">
        <v>74</v>
      </c>
      <c r="BI410">
        <v>10</v>
      </c>
      <c r="BJ410" t="s">
        <v>7786</v>
      </c>
      <c r="BK410" t="s">
        <v>98</v>
      </c>
      <c r="BL410" t="s">
        <v>7787</v>
      </c>
      <c r="BM410" t="s">
        <v>7788</v>
      </c>
      <c r="BN410" t="s">
        <v>74</v>
      </c>
      <c r="BO410" t="s">
        <v>765</v>
      </c>
      <c r="BP410" t="s">
        <v>74</v>
      </c>
      <c r="BQ410" t="s">
        <v>74</v>
      </c>
      <c r="BR410" t="s">
        <v>101</v>
      </c>
      <c r="BS410" t="s">
        <v>7789</v>
      </c>
      <c r="BT410" t="str">
        <f>HYPERLINK("https%3A%2F%2Fwww.webofscience.com%2Fwos%2Fwoscc%2Ffull-record%2FWOS:000270817600014","View Full Record in Web of Science")</f>
        <v>View Full Record in Web of Science</v>
      </c>
    </row>
    <row r="411" spans="1:72" x14ac:dyDescent="0.15">
      <c r="A411" t="s">
        <v>72</v>
      </c>
      <c r="B411" t="s">
        <v>7790</v>
      </c>
      <c r="C411" t="s">
        <v>74</v>
      </c>
      <c r="D411" t="s">
        <v>74</v>
      </c>
      <c r="E411" t="s">
        <v>74</v>
      </c>
      <c r="F411" t="s">
        <v>7791</v>
      </c>
      <c r="G411" t="s">
        <v>74</v>
      </c>
      <c r="H411" t="s">
        <v>74</v>
      </c>
      <c r="I411" t="s">
        <v>7792</v>
      </c>
      <c r="J411" t="s">
        <v>7793</v>
      </c>
      <c r="K411" t="s">
        <v>74</v>
      </c>
      <c r="L411" t="s">
        <v>74</v>
      </c>
      <c r="M411" t="s">
        <v>78</v>
      </c>
      <c r="N411" t="s">
        <v>79</v>
      </c>
      <c r="O411" t="s">
        <v>74</v>
      </c>
      <c r="P411" t="s">
        <v>74</v>
      </c>
      <c r="Q411" t="s">
        <v>74</v>
      </c>
      <c r="R411" t="s">
        <v>74</v>
      </c>
      <c r="S411" t="s">
        <v>74</v>
      </c>
      <c r="T411" t="s">
        <v>7794</v>
      </c>
      <c r="U411" t="s">
        <v>7795</v>
      </c>
      <c r="V411" t="s">
        <v>7796</v>
      </c>
      <c r="W411" t="s">
        <v>7797</v>
      </c>
      <c r="X411" t="s">
        <v>7798</v>
      </c>
      <c r="Y411" t="s">
        <v>7799</v>
      </c>
      <c r="Z411" t="s">
        <v>7800</v>
      </c>
      <c r="AA411" t="s">
        <v>74</v>
      </c>
      <c r="AB411" t="s">
        <v>74</v>
      </c>
      <c r="AC411" t="s">
        <v>7801</v>
      </c>
      <c r="AD411" t="s">
        <v>7622</v>
      </c>
      <c r="AE411" t="s">
        <v>7802</v>
      </c>
      <c r="AF411" t="s">
        <v>74</v>
      </c>
      <c r="AG411">
        <v>28</v>
      </c>
      <c r="AH411">
        <v>18</v>
      </c>
      <c r="AI411">
        <v>21</v>
      </c>
      <c r="AJ411">
        <v>1</v>
      </c>
      <c r="AK411">
        <v>11</v>
      </c>
      <c r="AL411" t="s">
        <v>2614</v>
      </c>
      <c r="AM411" t="s">
        <v>2615</v>
      </c>
      <c r="AN411" t="s">
        <v>2910</v>
      </c>
      <c r="AO411" t="s">
        <v>7803</v>
      </c>
      <c r="AP411" t="s">
        <v>7804</v>
      </c>
      <c r="AQ411" t="s">
        <v>74</v>
      </c>
      <c r="AR411" t="s">
        <v>7805</v>
      </c>
      <c r="AS411" t="s">
        <v>7806</v>
      </c>
      <c r="AT411" t="s">
        <v>7132</v>
      </c>
      <c r="AU411">
        <v>2009</v>
      </c>
      <c r="AV411">
        <v>24</v>
      </c>
      <c r="AW411">
        <v>5</v>
      </c>
      <c r="AX411" t="s">
        <v>74</v>
      </c>
      <c r="AY411" t="s">
        <v>74</v>
      </c>
      <c r="AZ411" t="s">
        <v>74</v>
      </c>
      <c r="BA411" t="s">
        <v>74</v>
      </c>
      <c r="BB411">
        <v>1133</v>
      </c>
      <c r="BC411">
        <v>1137</v>
      </c>
      <c r="BD411" t="s">
        <v>74</v>
      </c>
      <c r="BE411" t="s">
        <v>7807</v>
      </c>
      <c r="BF411" t="str">
        <f>HYPERLINK("http://dx.doi.org/10.1080/14756360802667811","http://dx.doi.org/10.1080/14756360802667811")</f>
        <v>http://dx.doi.org/10.1080/14756360802667811</v>
      </c>
      <c r="BG411" t="s">
        <v>74</v>
      </c>
      <c r="BH411" t="s">
        <v>74</v>
      </c>
      <c r="BI411">
        <v>5</v>
      </c>
      <c r="BJ411" t="s">
        <v>7808</v>
      </c>
      <c r="BK411" t="s">
        <v>98</v>
      </c>
      <c r="BL411" t="s">
        <v>181</v>
      </c>
      <c r="BM411" t="s">
        <v>7809</v>
      </c>
      <c r="BN411">
        <v>19619069</v>
      </c>
      <c r="BO411" t="s">
        <v>263</v>
      </c>
      <c r="BP411" t="s">
        <v>74</v>
      </c>
      <c r="BQ411" t="s">
        <v>74</v>
      </c>
      <c r="BR411" t="s">
        <v>101</v>
      </c>
      <c r="BS411" t="s">
        <v>7810</v>
      </c>
      <c r="BT411" t="str">
        <f>HYPERLINK("https%3A%2F%2Fwww.webofscience.com%2Fwos%2Fwoscc%2Ffull-record%2FWOS:000271613300013","View Full Record in Web of Science")</f>
        <v>View Full Record in Web of Science</v>
      </c>
    </row>
    <row r="412" spans="1:72" x14ac:dyDescent="0.15">
      <c r="A412" t="s">
        <v>72</v>
      </c>
      <c r="B412" t="s">
        <v>7811</v>
      </c>
      <c r="C412" t="s">
        <v>74</v>
      </c>
      <c r="D412" t="s">
        <v>74</v>
      </c>
      <c r="E412" t="s">
        <v>74</v>
      </c>
      <c r="F412" t="s">
        <v>7812</v>
      </c>
      <c r="G412" t="s">
        <v>74</v>
      </c>
      <c r="H412" t="s">
        <v>74</v>
      </c>
      <c r="I412" t="s">
        <v>7813</v>
      </c>
      <c r="J412" t="s">
        <v>7814</v>
      </c>
      <c r="K412" t="s">
        <v>74</v>
      </c>
      <c r="L412" t="s">
        <v>74</v>
      </c>
      <c r="M412" t="s">
        <v>78</v>
      </c>
      <c r="N412" t="s">
        <v>79</v>
      </c>
      <c r="O412" t="s">
        <v>74</v>
      </c>
      <c r="P412" t="s">
        <v>74</v>
      </c>
      <c r="Q412" t="s">
        <v>74</v>
      </c>
      <c r="R412" t="s">
        <v>74</v>
      </c>
      <c r="S412" t="s">
        <v>74</v>
      </c>
      <c r="T412" t="s">
        <v>74</v>
      </c>
      <c r="U412" t="s">
        <v>7815</v>
      </c>
      <c r="V412" t="s">
        <v>7816</v>
      </c>
      <c r="W412" t="s">
        <v>7817</v>
      </c>
      <c r="X412" t="s">
        <v>7818</v>
      </c>
      <c r="Y412" t="s">
        <v>7819</v>
      </c>
      <c r="Z412" t="s">
        <v>7820</v>
      </c>
      <c r="AA412" t="s">
        <v>7821</v>
      </c>
      <c r="AB412" t="s">
        <v>7822</v>
      </c>
      <c r="AC412" t="s">
        <v>7823</v>
      </c>
      <c r="AD412" t="s">
        <v>7824</v>
      </c>
      <c r="AE412" t="s">
        <v>7825</v>
      </c>
      <c r="AF412" t="s">
        <v>74</v>
      </c>
      <c r="AG412">
        <v>99</v>
      </c>
      <c r="AH412">
        <v>55</v>
      </c>
      <c r="AI412">
        <v>63</v>
      </c>
      <c r="AJ412">
        <v>1</v>
      </c>
      <c r="AK412">
        <v>9</v>
      </c>
      <c r="AL412" t="s">
        <v>7826</v>
      </c>
      <c r="AM412" t="s">
        <v>2517</v>
      </c>
      <c r="AN412" t="s">
        <v>7827</v>
      </c>
      <c r="AO412" t="s">
        <v>7828</v>
      </c>
      <c r="AP412" t="s">
        <v>74</v>
      </c>
      <c r="AQ412" t="s">
        <v>74</v>
      </c>
      <c r="AR412" t="s">
        <v>7829</v>
      </c>
      <c r="AS412" t="s">
        <v>7830</v>
      </c>
      <c r="AT412" t="s">
        <v>7132</v>
      </c>
      <c r="AU412">
        <v>2009</v>
      </c>
      <c r="AV412">
        <v>39</v>
      </c>
      <c r="AW412">
        <v>4</v>
      </c>
      <c r="AX412" t="s">
        <v>74</v>
      </c>
      <c r="AY412" t="s">
        <v>74</v>
      </c>
      <c r="AZ412" t="s">
        <v>74</v>
      </c>
      <c r="BA412" t="s">
        <v>74</v>
      </c>
      <c r="BB412">
        <v>300</v>
      </c>
      <c r="BC412">
        <v>315</v>
      </c>
      <c r="BD412" t="s">
        <v>74</v>
      </c>
      <c r="BE412" t="s">
        <v>7831</v>
      </c>
      <c r="BF412" t="str">
        <f>HYPERLINK("http://dx.doi.org/10.2113/gsjfr.39.4.300","http://dx.doi.org/10.2113/gsjfr.39.4.300")</f>
        <v>http://dx.doi.org/10.2113/gsjfr.39.4.300</v>
      </c>
      <c r="BG412" t="s">
        <v>74</v>
      </c>
      <c r="BH412" t="s">
        <v>74</v>
      </c>
      <c r="BI412">
        <v>16</v>
      </c>
      <c r="BJ412" t="s">
        <v>2746</v>
      </c>
      <c r="BK412" t="s">
        <v>98</v>
      </c>
      <c r="BL412" t="s">
        <v>2746</v>
      </c>
      <c r="BM412" t="s">
        <v>7832</v>
      </c>
      <c r="BN412" t="s">
        <v>74</v>
      </c>
      <c r="BO412" t="s">
        <v>74</v>
      </c>
      <c r="BP412" t="s">
        <v>74</v>
      </c>
      <c r="BQ412" t="s">
        <v>74</v>
      </c>
      <c r="BR412" t="s">
        <v>101</v>
      </c>
      <c r="BS412" t="s">
        <v>7833</v>
      </c>
      <c r="BT412" t="str">
        <f>HYPERLINK("https%3A%2F%2Fwww.webofscience.com%2Fwos%2Fwoscc%2Ffull-record%2FWOS:000271435800004","View Full Record in Web of Science")</f>
        <v>View Full Record in Web of Science</v>
      </c>
    </row>
    <row r="413" spans="1:72" x14ac:dyDescent="0.15">
      <c r="A413" t="s">
        <v>72</v>
      </c>
      <c r="B413" t="s">
        <v>7834</v>
      </c>
      <c r="C413" t="s">
        <v>74</v>
      </c>
      <c r="D413" t="s">
        <v>74</v>
      </c>
      <c r="E413" t="s">
        <v>74</v>
      </c>
      <c r="F413" t="s">
        <v>7835</v>
      </c>
      <c r="G413" t="s">
        <v>74</v>
      </c>
      <c r="H413" t="s">
        <v>74</v>
      </c>
      <c r="I413" t="s">
        <v>7836</v>
      </c>
      <c r="J413" t="s">
        <v>7837</v>
      </c>
      <c r="K413" t="s">
        <v>74</v>
      </c>
      <c r="L413" t="s">
        <v>74</v>
      </c>
      <c r="M413" t="s">
        <v>78</v>
      </c>
      <c r="N413" t="s">
        <v>79</v>
      </c>
      <c r="O413" t="s">
        <v>74</v>
      </c>
      <c r="P413" t="s">
        <v>74</v>
      </c>
      <c r="Q413" t="s">
        <v>74</v>
      </c>
      <c r="R413" t="s">
        <v>74</v>
      </c>
      <c r="S413" t="s">
        <v>74</v>
      </c>
      <c r="T413" t="s">
        <v>7838</v>
      </c>
      <c r="U413" t="s">
        <v>7839</v>
      </c>
      <c r="V413" t="s">
        <v>7840</v>
      </c>
      <c r="W413" t="s">
        <v>7841</v>
      </c>
      <c r="X413" t="s">
        <v>7842</v>
      </c>
      <c r="Y413" t="s">
        <v>7843</v>
      </c>
      <c r="Z413" t="s">
        <v>7844</v>
      </c>
      <c r="AA413" t="s">
        <v>7845</v>
      </c>
      <c r="AB413" t="s">
        <v>7846</v>
      </c>
      <c r="AC413" t="s">
        <v>7847</v>
      </c>
      <c r="AD413" t="s">
        <v>7848</v>
      </c>
      <c r="AE413" t="s">
        <v>7849</v>
      </c>
      <c r="AF413" t="s">
        <v>74</v>
      </c>
      <c r="AG413">
        <v>24</v>
      </c>
      <c r="AH413">
        <v>73</v>
      </c>
      <c r="AI413">
        <v>76</v>
      </c>
      <c r="AJ413">
        <v>1</v>
      </c>
      <c r="AK413">
        <v>29</v>
      </c>
      <c r="AL413" t="s">
        <v>1850</v>
      </c>
      <c r="AM413" t="s">
        <v>684</v>
      </c>
      <c r="AN413" t="s">
        <v>2272</v>
      </c>
      <c r="AO413" t="s">
        <v>7850</v>
      </c>
      <c r="AP413" t="s">
        <v>7851</v>
      </c>
      <c r="AQ413" t="s">
        <v>74</v>
      </c>
      <c r="AR413" t="s">
        <v>7852</v>
      </c>
      <c r="AS413" t="s">
        <v>7853</v>
      </c>
      <c r="AT413" t="s">
        <v>7132</v>
      </c>
      <c r="AU413">
        <v>2009</v>
      </c>
      <c r="AV413">
        <v>83</v>
      </c>
      <c r="AW413">
        <v>10</v>
      </c>
      <c r="AX413" t="s">
        <v>74</v>
      </c>
      <c r="AY413" t="s">
        <v>74</v>
      </c>
      <c r="AZ413" t="s">
        <v>74</v>
      </c>
      <c r="BA413" t="s">
        <v>74</v>
      </c>
      <c r="BB413">
        <v>953</v>
      </c>
      <c r="BC413">
        <v>966</v>
      </c>
      <c r="BD413" t="s">
        <v>74</v>
      </c>
      <c r="BE413" t="s">
        <v>7854</v>
      </c>
      <c r="BF413" t="str">
        <f>HYPERLINK("http://dx.doi.org/10.1007/s00190-009-0313-6","http://dx.doi.org/10.1007/s00190-009-0313-6")</f>
        <v>http://dx.doi.org/10.1007/s00190-009-0313-6</v>
      </c>
      <c r="BG413" t="s">
        <v>74</v>
      </c>
      <c r="BH413" t="s">
        <v>74</v>
      </c>
      <c r="BI413">
        <v>14</v>
      </c>
      <c r="BJ413" t="s">
        <v>7855</v>
      </c>
      <c r="BK413" t="s">
        <v>98</v>
      </c>
      <c r="BL413" t="s">
        <v>7855</v>
      </c>
      <c r="BM413" t="s">
        <v>7856</v>
      </c>
      <c r="BN413" t="s">
        <v>74</v>
      </c>
      <c r="BO413" t="s">
        <v>74</v>
      </c>
      <c r="BP413" t="s">
        <v>74</v>
      </c>
      <c r="BQ413" t="s">
        <v>74</v>
      </c>
      <c r="BR413" t="s">
        <v>101</v>
      </c>
      <c r="BS413" t="s">
        <v>7857</v>
      </c>
      <c r="BT413" t="str">
        <f>HYPERLINK("https%3A%2F%2Fwww.webofscience.com%2Fwos%2Fwoscc%2Ffull-record%2FWOS:000270178600006","View Full Record in Web of Science")</f>
        <v>View Full Record in Web of Science</v>
      </c>
    </row>
    <row r="414" spans="1:72" x14ac:dyDescent="0.15">
      <c r="A414" t="s">
        <v>72</v>
      </c>
      <c r="B414" t="s">
        <v>7858</v>
      </c>
      <c r="C414" t="s">
        <v>74</v>
      </c>
      <c r="D414" t="s">
        <v>74</v>
      </c>
      <c r="E414" t="s">
        <v>74</v>
      </c>
      <c r="F414" t="s">
        <v>7859</v>
      </c>
      <c r="G414" t="s">
        <v>74</v>
      </c>
      <c r="H414" t="s">
        <v>74</v>
      </c>
      <c r="I414" t="s">
        <v>7860</v>
      </c>
      <c r="J414" t="s">
        <v>5573</v>
      </c>
      <c r="K414" t="s">
        <v>74</v>
      </c>
      <c r="L414" t="s">
        <v>74</v>
      </c>
      <c r="M414" t="s">
        <v>78</v>
      </c>
      <c r="N414" t="s">
        <v>1965</v>
      </c>
      <c r="O414" t="s">
        <v>7861</v>
      </c>
      <c r="P414" t="s">
        <v>7862</v>
      </c>
      <c r="Q414" t="s">
        <v>7863</v>
      </c>
      <c r="R414" t="s">
        <v>74</v>
      </c>
      <c r="S414" t="s">
        <v>74</v>
      </c>
      <c r="T414" t="s">
        <v>7864</v>
      </c>
      <c r="U414" t="s">
        <v>7865</v>
      </c>
      <c r="V414" t="s">
        <v>7866</v>
      </c>
      <c r="W414" t="s">
        <v>7867</v>
      </c>
      <c r="X414" t="s">
        <v>7868</v>
      </c>
      <c r="Y414" t="s">
        <v>7869</v>
      </c>
      <c r="Z414" t="s">
        <v>7870</v>
      </c>
      <c r="AA414" t="s">
        <v>7871</v>
      </c>
      <c r="AB414" t="s">
        <v>7872</v>
      </c>
      <c r="AC414" t="s">
        <v>74</v>
      </c>
      <c r="AD414" t="s">
        <v>74</v>
      </c>
      <c r="AE414" t="s">
        <v>74</v>
      </c>
      <c r="AF414" t="s">
        <v>74</v>
      </c>
      <c r="AG414">
        <v>47</v>
      </c>
      <c r="AH414">
        <v>180</v>
      </c>
      <c r="AI414">
        <v>197</v>
      </c>
      <c r="AJ414">
        <v>7</v>
      </c>
      <c r="AK414">
        <v>87</v>
      </c>
      <c r="AL414" t="s">
        <v>280</v>
      </c>
      <c r="AM414" t="s">
        <v>281</v>
      </c>
      <c r="AN414" t="s">
        <v>282</v>
      </c>
      <c r="AO414" t="s">
        <v>5586</v>
      </c>
      <c r="AP414" t="s">
        <v>74</v>
      </c>
      <c r="AQ414" t="s">
        <v>74</v>
      </c>
      <c r="AR414" t="s">
        <v>5587</v>
      </c>
      <c r="AS414" t="s">
        <v>5588</v>
      </c>
      <c r="AT414" t="s">
        <v>7132</v>
      </c>
      <c r="AU414">
        <v>2009</v>
      </c>
      <c r="AV414">
        <v>78</v>
      </c>
      <c r="AW414">
        <v>3</v>
      </c>
      <c r="AX414" t="s">
        <v>74</v>
      </c>
      <c r="AY414" t="s">
        <v>74</v>
      </c>
      <c r="AZ414" t="s">
        <v>74</v>
      </c>
      <c r="BA414" t="s">
        <v>74</v>
      </c>
      <c r="BB414">
        <v>319</v>
      </c>
      <c r="BC414">
        <v>326</v>
      </c>
      <c r="BD414" t="s">
        <v>74</v>
      </c>
      <c r="BE414" t="s">
        <v>7873</v>
      </c>
      <c r="BF414" t="str">
        <f>HYPERLINK("http://dx.doi.org/10.1016/j.jmarsys.2008.11.018","http://dx.doi.org/10.1016/j.jmarsys.2008.11.018")</f>
        <v>http://dx.doi.org/10.1016/j.jmarsys.2008.11.018</v>
      </c>
      <c r="BG414" t="s">
        <v>74</v>
      </c>
      <c r="BH414" t="s">
        <v>74</v>
      </c>
      <c r="BI414">
        <v>8</v>
      </c>
      <c r="BJ414" t="s">
        <v>5590</v>
      </c>
      <c r="BK414" t="s">
        <v>1986</v>
      </c>
      <c r="BL414" t="s">
        <v>5591</v>
      </c>
      <c r="BM414" t="s">
        <v>7874</v>
      </c>
      <c r="BN414" t="s">
        <v>74</v>
      </c>
      <c r="BO414" t="s">
        <v>74</v>
      </c>
      <c r="BP414" t="s">
        <v>74</v>
      </c>
      <c r="BQ414" t="s">
        <v>74</v>
      </c>
      <c r="BR414" t="s">
        <v>101</v>
      </c>
      <c r="BS414" t="s">
        <v>7875</v>
      </c>
      <c r="BT414" t="str">
        <f>HYPERLINK("https%3A%2F%2Fwww.webofscience.com%2Fwos%2Fwoscc%2Ffull-record%2FWOS:000270697300002","View Full Record in Web of Science")</f>
        <v>View Full Record in Web of Science</v>
      </c>
    </row>
    <row r="415" spans="1:72" x14ac:dyDescent="0.15">
      <c r="A415" t="s">
        <v>72</v>
      </c>
      <c r="B415" t="s">
        <v>7876</v>
      </c>
      <c r="C415" t="s">
        <v>74</v>
      </c>
      <c r="D415" t="s">
        <v>74</v>
      </c>
      <c r="E415" t="s">
        <v>74</v>
      </c>
      <c r="F415" t="s">
        <v>7877</v>
      </c>
      <c r="G415" t="s">
        <v>74</v>
      </c>
      <c r="H415" t="s">
        <v>74</v>
      </c>
      <c r="I415" t="s">
        <v>7878</v>
      </c>
      <c r="J415" t="s">
        <v>5573</v>
      </c>
      <c r="K415" t="s">
        <v>74</v>
      </c>
      <c r="L415" t="s">
        <v>74</v>
      </c>
      <c r="M415" t="s">
        <v>78</v>
      </c>
      <c r="N415" t="s">
        <v>1965</v>
      </c>
      <c r="O415" t="s">
        <v>7861</v>
      </c>
      <c r="P415" t="s">
        <v>7862</v>
      </c>
      <c r="Q415" t="s">
        <v>7863</v>
      </c>
      <c r="R415" t="s">
        <v>74</v>
      </c>
      <c r="S415" t="s">
        <v>74</v>
      </c>
      <c r="T415" t="s">
        <v>7879</v>
      </c>
      <c r="U415" t="s">
        <v>7880</v>
      </c>
      <c r="V415" t="s">
        <v>7881</v>
      </c>
      <c r="W415" t="s">
        <v>7882</v>
      </c>
      <c r="X415" t="s">
        <v>7883</v>
      </c>
      <c r="Y415" t="s">
        <v>7884</v>
      </c>
      <c r="Z415" t="s">
        <v>7885</v>
      </c>
      <c r="AA415" t="s">
        <v>7886</v>
      </c>
      <c r="AB415" t="s">
        <v>7887</v>
      </c>
      <c r="AC415" t="s">
        <v>74</v>
      </c>
      <c r="AD415" t="s">
        <v>74</v>
      </c>
      <c r="AE415" t="s">
        <v>74</v>
      </c>
      <c r="AF415" t="s">
        <v>74</v>
      </c>
      <c r="AG415">
        <v>156</v>
      </c>
      <c r="AH415">
        <v>375</v>
      </c>
      <c r="AI415">
        <v>425</v>
      </c>
      <c r="AJ415">
        <v>4</v>
      </c>
      <c r="AK415">
        <v>218</v>
      </c>
      <c r="AL415" t="s">
        <v>305</v>
      </c>
      <c r="AM415" t="s">
        <v>281</v>
      </c>
      <c r="AN415" t="s">
        <v>306</v>
      </c>
      <c r="AO415" t="s">
        <v>5586</v>
      </c>
      <c r="AP415" t="s">
        <v>5614</v>
      </c>
      <c r="AQ415" t="s">
        <v>74</v>
      </c>
      <c r="AR415" t="s">
        <v>5587</v>
      </c>
      <c r="AS415" t="s">
        <v>5588</v>
      </c>
      <c r="AT415" t="s">
        <v>7132</v>
      </c>
      <c r="AU415">
        <v>2009</v>
      </c>
      <c r="AV415">
        <v>78</v>
      </c>
      <c r="AW415">
        <v>3</v>
      </c>
      <c r="AX415" t="s">
        <v>74</v>
      </c>
      <c r="AY415" t="s">
        <v>74</v>
      </c>
      <c r="AZ415" t="s">
        <v>1546</v>
      </c>
      <c r="BA415" t="s">
        <v>74</v>
      </c>
      <c r="BB415">
        <v>363</v>
      </c>
      <c r="BC415">
        <v>376</v>
      </c>
      <c r="BD415" t="s">
        <v>74</v>
      </c>
      <c r="BE415" t="s">
        <v>7888</v>
      </c>
      <c r="BF415" t="str">
        <f>HYPERLINK("http://dx.doi.org/10.1016/j.jmarsys.2008.11.022","http://dx.doi.org/10.1016/j.jmarsys.2008.11.022")</f>
        <v>http://dx.doi.org/10.1016/j.jmarsys.2008.11.022</v>
      </c>
      <c r="BG415" t="s">
        <v>74</v>
      </c>
      <c r="BH415" t="s">
        <v>74</v>
      </c>
      <c r="BI415">
        <v>14</v>
      </c>
      <c r="BJ415" t="s">
        <v>5590</v>
      </c>
      <c r="BK415" t="s">
        <v>1986</v>
      </c>
      <c r="BL415" t="s">
        <v>5591</v>
      </c>
      <c r="BM415" t="s">
        <v>7874</v>
      </c>
      <c r="BN415" t="s">
        <v>74</v>
      </c>
      <c r="BO415" t="s">
        <v>74</v>
      </c>
      <c r="BP415" t="s">
        <v>74</v>
      </c>
      <c r="BQ415" t="s">
        <v>74</v>
      </c>
      <c r="BR415" t="s">
        <v>101</v>
      </c>
      <c r="BS415" t="s">
        <v>7889</v>
      </c>
      <c r="BT415" t="str">
        <f>HYPERLINK("https%3A%2F%2Fwww.webofscience.com%2Fwos%2Fwoscc%2Ffull-record%2FWOS:000270697300006","View Full Record in Web of Science")</f>
        <v>View Full Record in Web of Science</v>
      </c>
    </row>
    <row r="416" spans="1:72" x14ac:dyDescent="0.15">
      <c r="A416" t="s">
        <v>72</v>
      </c>
      <c r="B416" t="s">
        <v>7890</v>
      </c>
      <c r="C416" t="s">
        <v>74</v>
      </c>
      <c r="D416" t="s">
        <v>74</v>
      </c>
      <c r="E416" t="s">
        <v>74</v>
      </c>
      <c r="F416" t="s">
        <v>7891</v>
      </c>
      <c r="G416" t="s">
        <v>74</v>
      </c>
      <c r="H416" t="s">
        <v>74</v>
      </c>
      <c r="I416" t="s">
        <v>7892</v>
      </c>
      <c r="J416" t="s">
        <v>5573</v>
      </c>
      <c r="K416" t="s">
        <v>74</v>
      </c>
      <c r="L416" t="s">
        <v>74</v>
      </c>
      <c r="M416" t="s">
        <v>78</v>
      </c>
      <c r="N416" t="s">
        <v>1965</v>
      </c>
      <c r="O416" t="s">
        <v>7861</v>
      </c>
      <c r="P416" t="s">
        <v>7862</v>
      </c>
      <c r="Q416" t="s">
        <v>7863</v>
      </c>
      <c r="R416" t="s">
        <v>74</v>
      </c>
      <c r="S416" t="s">
        <v>74</v>
      </c>
      <c r="T416" t="s">
        <v>7893</v>
      </c>
      <c r="U416" t="s">
        <v>7894</v>
      </c>
      <c r="V416" t="s">
        <v>7895</v>
      </c>
      <c r="W416" t="s">
        <v>7896</v>
      </c>
      <c r="X416" t="s">
        <v>7897</v>
      </c>
      <c r="Y416" t="s">
        <v>7898</v>
      </c>
      <c r="Z416" t="s">
        <v>7899</v>
      </c>
      <c r="AA416" t="s">
        <v>7900</v>
      </c>
      <c r="AB416" t="s">
        <v>7901</v>
      </c>
      <c r="AC416" t="s">
        <v>74</v>
      </c>
      <c r="AD416" t="s">
        <v>74</v>
      </c>
      <c r="AE416" t="s">
        <v>74</v>
      </c>
      <c r="AF416" t="s">
        <v>74</v>
      </c>
      <c r="AG416">
        <v>55</v>
      </c>
      <c r="AH416">
        <v>72</v>
      </c>
      <c r="AI416">
        <v>77</v>
      </c>
      <c r="AJ416">
        <v>2</v>
      </c>
      <c r="AK416">
        <v>21</v>
      </c>
      <c r="AL416" t="s">
        <v>280</v>
      </c>
      <c r="AM416" t="s">
        <v>281</v>
      </c>
      <c r="AN416" t="s">
        <v>282</v>
      </c>
      <c r="AO416" t="s">
        <v>5586</v>
      </c>
      <c r="AP416" t="s">
        <v>74</v>
      </c>
      <c r="AQ416" t="s">
        <v>74</v>
      </c>
      <c r="AR416" t="s">
        <v>5587</v>
      </c>
      <c r="AS416" t="s">
        <v>5588</v>
      </c>
      <c r="AT416" t="s">
        <v>7132</v>
      </c>
      <c r="AU416">
        <v>2009</v>
      </c>
      <c r="AV416">
        <v>78</v>
      </c>
      <c r="AW416">
        <v>3</v>
      </c>
      <c r="AX416" t="s">
        <v>74</v>
      </c>
      <c r="AY416" t="s">
        <v>74</v>
      </c>
      <c r="AZ416" t="s">
        <v>74</v>
      </c>
      <c r="BA416" t="s">
        <v>74</v>
      </c>
      <c r="BB416">
        <v>377</v>
      </c>
      <c r="BC416">
        <v>393</v>
      </c>
      <c r="BD416" t="s">
        <v>74</v>
      </c>
      <c r="BE416" t="s">
        <v>7902</v>
      </c>
      <c r="BF416" t="str">
        <f>HYPERLINK("http://dx.doi.org/10.1016/j.jmarsys.2008.11.017","http://dx.doi.org/10.1016/j.jmarsys.2008.11.017")</f>
        <v>http://dx.doi.org/10.1016/j.jmarsys.2008.11.017</v>
      </c>
      <c r="BG416" t="s">
        <v>74</v>
      </c>
      <c r="BH416" t="s">
        <v>74</v>
      </c>
      <c r="BI416">
        <v>17</v>
      </c>
      <c r="BJ416" t="s">
        <v>5590</v>
      </c>
      <c r="BK416" t="s">
        <v>1986</v>
      </c>
      <c r="BL416" t="s">
        <v>5591</v>
      </c>
      <c r="BM416" t="s">
        <v>7874</v>
      </c>
      <c r="BN416" t="s">
        <v>74</v>
      </c>
      <c r="BO416" t="s">
        <v>74</v>
      </c>
      <c r="BP416" t="s">
        <v>74</v>
      </c>
      <c r="BQ416" t="s">
        <v>74</v>
      </c>
      <c r="BR416" t="s">
        <v>101</v>
      </c>
      <c r="BS416" t="s">
        <v>7903</v>
      </c>
      <c r="BT416" t="str">
        <f>HYPERLINK("https%3A%2F%2Fwww.webofscience.com%2Fwos%2Fwoscc%2Ffull-record%2FWOS:000270697300007","View Full Record in Web of Science")</f>
        <v>View Full Record in Web of Science</v>
      </c>
    </row>
    <row r="417" spans="1:72" x14ac:dyDescent="0.15">
      <c r="A417" t="s">
        <v>72</v>
      </c>
      <c r="B417" t="s">
        <v>7904</v>
      </c>
      <c r="C417" t="s">
        <v>74</v>
      </c>
      <c r="D417" t="s">
        <v>74</v>
      </c>
      <c r="E417" t="s">
        <v>74</v>
      </c>
      <c r="F417" t="s">
        <v>7905</v>
      </c>
      <c r="G417" t="s">
        <v>74</v>
      </c>
      <c r="H417" t="s">
        <v>74</v>
      </c>
      <c r="I417" t="s">
        <v>7906</v>
      </c>
      <c r="J417" t="s">
        <v>7907</v>
      </c>
      <c r="K417" t="s">
        <v>74</v>
      </c>
      <c r="L417" t="s">
        <v>74</v>
      </c>
      <c r="M417" t="s">
        <v>78</v>
      </c>
      <c r="N417" t="s">
        <v>79</v>
      </c>
      <c r="O417" t="s">
        <v>74</v>
      </c>
      <c r="P417" t="s">
        <v>74</v>
      </c>
      <c r="Q417" t="s">
        <v>74</v>
      </c>
      <c r="R417" t="s">
        <v>74</v>
      </c>
      <c r="S417" t="s">
        <v>74</v>
      </c>
      <c r="T417" t="s">
        <v>7908</v>
      </c>
      <c r="U417" t="s">
        <v>7909</v>
      </c>
      <c r="V417" t="s">
        <v>7910</v>
      </c>
      <c r="W417" t="s">
        <v>7911</v>
      </c>
      <c r="X417" t="s">
        <v>5487</v>
      </c>
      <c r="Y417" t="s">
        <v>7912</v>
      </c>
      <c r="Z417" t="s">
        <v>7913</v>
      </c>
      <c r="AA417" t="s">
        <v>7914</v>
      </c>
      <c r="AB417" t="s">
        <v>7915</v>
      </c>
      <c r="AC417" t="s">
        <v>7916</v>
      </c>
      <c r="AD417" t="s">
        <v>170</v>
      </c>
      <c r="AE417" t="s">
        <v>7917</v>
      </c>
      <c r="AF417" t="s">
        <v>74</v>
      </c>
      <c r="AG417">
        <v>45</v>
      </c>
      <c r="AH417">
        <v>8</v>
      </c>
      <c r="AI417">
        <v>8</v>
      </c>
      <c r="AJ417">
        <v>0</v>
      </c>
      <c r="AK417">
        <v>2</v>
      </c>
      <c r="AL417" t="s">
        <v>7918</v>
      </c>
      <c r="AM417" t="s">
        <v>2675</v>
      </c>
      <c r="AN417" t="s">
        <v>7919</v>
      </c>
      <c r="AO417" t="s">
        <v>7920</v>
      </c>
      <c r="AP417" t="s">
        <v>7921</v>
      </c>
      <c r="AQ417" t="s">
        <v>74</v>
      </c>
      <c r="AR417" t="s">
        <v>7922</v>
      </c>
      <c r="AS417" t="s">
        <v>7923</v>
      </c>
      <c r="AT417" t="s">
        <v>7132</v>
      </c>
      <c r="AU417">
        <v>2009</v>
      </c>
      <c r="AV417">
        <v>47</v>
      </c>
      <c r="AW417">
        <v>5</v>
      </c>
      <c r="AX417" t="s">
        <v>74</v>
      </c>
      <c r="AY417" t="s">
        <v>74</v>
      </c>
      <c r="AZ417" t="s">
        <v>74</v>
      </c>
      <c r="BA417" t="s">
        <v>74</v>
      </c>
      <c r="BB417">
        <v>517</v>
      </c>
      <c r="BC417">
        <v>523</v>
      </c>
      <c r="BD417" t="s">
        <v>74</v>
      </c>
      <c r="BE417" t="s">
        <v>7924</v>
      </c>
      <c r="BF417" t="str">
        <f>HYPERLINK("http://dx.doi.org/10.1007/s12275-009-0225-4","http://dx.doi.org/10.1007/s12275-009-0225-4")</f>
        <v>http://dx.doi.org/10.1007/s12275-009-0225-4</v>
      </c>
      <c r="BG417" t="s">
        <v>74</v>
      </c>
      <c r="BH417" t="s">
        <v>74</v>
      </c>
      <c r="BI417">
        <v>7</v>
      </c>
      <c r="BJ417" t="s">
        <v>1958</v>
      </c>
      <c r="BK417" t="s">
        <v>98</v>
      </c>
      <c r="BL417" t="s">
        <v>1958</v>
      </c>
      <c r="BM417" t="s">
        <v>7925</v>
      </c>
      <c r="BN417">
        <v>19851722</v>
      </c>
      <c r="BO417" t="s">
        <v>74</v>
      </c>
      <c r="BP417" t="s">
        <v>74</v>
      </c>
      <c r="BQ417" t="s">
        <v>74</v>
      </c>
      <c r="BR417" t="s">
        <v>101</v>
      </c>
      <c r="BS417" t="s">
        <v>7926</v>
      </c>
      <c r="BT417" t="str">
        <f>HYPERLINK("https%3A%2F%2Fwww.webofscience.com%2Fwos%2Fwoscc%2Ffull-record%2FWOS:000271088900001","View Full Record in Web of Science")</f>
        <v>View Full Record in Web of Science</v>
      </c>
    </row>
    <row r="418" spans="1:72" x14ac:dyDescent="0.15">
      <c r="A418" t="s">
        <v>72</v>
      </c>
      <c r="B418" t="s">
        <v>7927</v>
      </c>
      <c r="C418" t="s">
        <v>74</v>
      </c>
      <c r="D418" t="s">
        <v>74</v>
      </c>
      <c r="E418" t="s">
        <v>74</v>
      </c>
      <c r="F418" t="s">
        <v>7928</v>
      </c>
      <c r="G418" t="s">
        <v>74</v>
      </c>
      <c r="H418" t="s">
        <v>74</v>
      </c>
      <c r="I418" t="s">
        <v>7929</v>
      </c>
      <c r="J418" t="s">
        <v>7930</v>
      </c>
      <c r="K418" t="s">
        <v>74</v>
      </c>
      <c r="L418" t="s">
        <v>74</v>
      </c>
      <c r="M418" t="s">
        <v>78</v>
      </c>
      <c r="N418" t="s">
        <v>79</v>
      </c>
      <c r="O418" t="s">
        <v>74</v>
      </c>
      <c r="P418" t="s">
        <v>74</v>
      </c>
      <c r="Q418" t="s">
        <v>74</v>
      </c>
      <c r="R418" t="s">
        <v>74</v>
      </c>
      <c r="S418" t="s">
        <v>74</v>
      </c>
      <c r="T418" t="s">
        <v>74</v>
      </c>
      <c r="U418" t="s">
        <v>7931</v>
      </c>
      <c r="V418" t="s">
        <v>7932</v>
      </c>
      <c r="W418" t="s">
        <v>7933</v>
      </c>
      <c r="X418" t="s">
        <v>7934</v>
      </c>
      <c r="Y418" t="s">
        <v>7935</v>
      </c>
      <c r="Z418" t="s">
        <v>7936</v>
      </c>
      <c r="AA418" t="s">
        <v>7937</v>
      </c>
      <c r="AB418" t="s">
        <v>7938</v>
      </c>
      <c r="AC418" t="s">
        <v>7939</v>
      </c>
      <c r="AD418" t="s">
        <v>7940</v>
      </c>
      <c r="AE418" t="s">
        <v>7941</v>
      </c>
      <c r="AF418" t="s">
        <v>74</v>
      </c>
      <c r="AG418">
        <v>13</v>
      </c>
      <c r="AH418">
        <v>25</v>
      </c>
      <c r="AI418">
        <v>28</v>
      </c>
      <c r="AJ418">
        <v>1</v>
      </c>
      <c r="AK418">
        <v>13</v>
      </c>
      <c r="AL418" t="s">
        <v>887</v>
      </c>
      <c r="AM418" t="s">
        <v>227</v>
      </c>
      <c r="AN418" t="s">
        <v>888</v>
      </c>
      <c r="AO418" t="s">
        <v>7942</v>
      </c>
      <c r="AP418" t="s">
        <v>7943</v>
      </c>
      <c r="AQ418" t="s">
        <v>74</v>
      </c>
      <c r="AR418" t="s">
        <v>7944</v>
      </c>
      <c r="AS418" t="s">
        <v>7945</v>
      </c>
      <c r="AT418" t="s">
        <v>7132</v>
      </c>
      <c r="AU418">
        <v>2009</v>
      </c>
      <c r="AV418">
        <v>72</v>
      </c>
      <c r="AW418">
        <v>10</v>
      </c>
      <c r="AX418" t="s">
        <v>74</v>
      </c>
      <c r="AY418" t="s">
        <v>74</v>
      </c>
      <c r="AZ418" t="s">
        <v>74</v>
      </c>
      <c r="BA418" t="s">
        <v>74</v>
      </c>
      <c r="BB418">
        <v>1842</v>
      </c>
      <c r="BC418">
        <v>1846</v>
      </c>
      <c r="BD418" t="s">
        <v>74</v>
      </c>
      <c r="BE418" t="s">
        <v>7946</v>
      </c>
      <c r="BF418" t="str">
        <f>HYPERLINK("http://dx.doi.org/10.1021/np900382x","http://dx.doi.org/10.1021/np900382x")</f>
        <v>http://dx.doi.org/10.1021/np900382x</v>
      </c>
      <c r="BG418" t="s">
        <v>74</v>
      </c>
      <c r="BH418" t="s">
        <v>74</v>
      </c>
      <c r="BI418">
        <v>5</v>
      </c>
      <c r="BJ418" t="s">
        <v>7947</v>
      </c>
      <c r="BK418" t="s">
        <v>896</v>
      </c>
      <c r="BL418" t="s">
        <v>7948</v>
      </c>
      <c r="BM418" t="s">
        <v>7949</v>
      </c>
      <c r="BN418">
        <v>19848433</v>
      </c>
      <c r="BO418" t="s">
        <v>74</v>
      </c>
      <c r="BP418" t="s">
        <v>74</v>
      </c>
      <c r="BQ418" t="s">
        <v>74</v>
      </c>
      <c r="BR418" t="s">
        <v>101</v>
      </c>
      <c r="BS418" t="s">
        <v>7950</v>
      </c>
      <c r="BT418" t="str">
        <f>HYPERLINK("https%3A%2F%2Fwww.webofscience.com%2Fwos%2Fwoscc%2Ffull-record%2FWOS:000271950400018","View Full Record in Web of Science")</f>
        <v>View Full Record in Web of Science</v>
      </c>
    </row>
    <row r="419" spans="1:72" x14ac:dyDescent="0.15">
      <c r="A419" t="s">
        <v>72</v>
      </c>
      <c r="B419" t="s">
        <v>7951</v>
      </c>
      <c r="C419" t="s">
        <v>74</v>
      </c>
      <c r="D419" t="s">
        <v>74</v>
      </c>
      <c r="E419" t="s">
        <v>74</v>
      </c>
      <c r="F419" t="s">
        <v>7952</v>
      </c>
      <c r="G419" t="s">
        <v>74</v>
      </c>
      <c r="H419" t="s">
        <v>74</v>
      </c>
      <c r="I419" t="s">
        <v>7953</v>
      </c>
      <c r="J419" t="s">
        <v>7954</v>
      </c>
      <c r="K419" t="s">
        <v>74</v>
      </c>
      <c r="L419" t="s">
        <v>74</v>
      </c>
      <c r="M419" t="s">
        <v>78</v>
      </c>
      <c r="N419" t="s">
        <v>79</v>
      </c>
      <c r="O419" t="s">
        <v>74</v>
      </c>
      <c r="P419" t="s">
        <v>74</v>
      </c>
      <c r="Q419" t="s">
        <v>74</v>
      </c>
      <c r="R419" t="s">
        <v>74</v>
      </c>
      <c r="S419" t="s">
        <v>74</v>
      </c>
      <c r="T419" t="s">
        <v>7955</v>
      </c>
      <c r="U419" t="s">
        <v>7956</v>
      </c>
      <c r="V419" t="s">
        <v>7957</v>
      </c>
      <c r="W419" t="s">
        <v>7958</v>
      </c>
      <c r="X419" t="s">
        <v>7959</v>
      </c>
      <c r="Y419" t="s">
        <v>7960</v>
      </c>
      <c r="Z419" t="s">
        <v>7961</v>
      </c>
      <c r="AA419" t="s">
        <v>74</v>
      </c>
      <c r="AB419" t="s">
        <v>74</v>
      </c>
      <c r="AC419" t="s">
        <v>7962</v>
      </c>
      <c r="AD419" t="s">
        <v>7963</v>
      </c>
      <c r="AE419" t="s">
        <v>7964</v>
      </c>
      <c r="AF419" t="s">
        <v>74</v>
      </c>
      <c r="AG419">
        <v>42</v>
      </c>
      <c r="AH419">
        <v>4</v>
      </c>
      <c r="AI419">
        <v>5</v>
      </c>
      <c r="AJ419">
        <v>0</v>
      </c>
      <c r="AK419">
        <v>6</v>
      </c>
      <c r="AL419" t="s">
        <v>1850</v>
      </c>
      <c r="AM419" t="s">
        <v>1851</v>
      </c>
      <c r="AN419" t="s">
        <v>1852</v>
      </c>
      <c r="AO419" t="s">
        <v>7965</v>
      </c>
      <c r="AP419" t="s">
        <v>74</v>
      </c>
      <c r="AQ419" t="s">
        <v>74</v>
      </c>
      <c r="AR419" t="s">
        <v>7966</v>
      </c>
      <c r="AS419" t="s">
        <v>7967</v>
      </c>
      <c r="AT419" t="s">
        <v>7132</v>
      </c>
      <c r="AU419">
        <v>2009</v>
      </c>
      <c r="AV419">
        <v>65</v>
      </c>
      <c r="AW419">
        <v>5</v>
      </c>
      <c r="AX419" t="s">
        <v>74</v>
      </c>
      <c r="AY419" t="s">
        <v>74</v>
      </c>
      <c r="AZ419" t="s">
        <v>74</v>
      </c>
      <c r="BA419" t="s">
        <v>74</v>
      </c>
      <c r="BB419">
        <v>587</v>
      </c>
      <c r="BC419">
        <v>603</v>
      </c>
      <c r="BD419" t="s">
        <v>74</v>
      </c>
      <c r="BE419" t="s">
        <v>7968</v>
      </c>
      <c r="BF419" t="str">
        <f>HYPERLINK("http://dx.doi.org/10.1007/s10872-009-0050-8","http://dx.doi.org/10.1007/s10872-009-0050-8")</f>
        <v>http://dx.doi.org/10.1007/s10872-009-0050-8</v>
      </c>
      <c r="BG419" t="s">
        <v>74</v>
      </c>
      <c r="BH419" t="s">
        <v>74</v>
      </c>
      <c r="BI419">
        <v>17</v>
      </c>
      <c r="BJ419" t="s">
        <v>806</v>
      </c>
      <c r="BK419" t="s">
        <v>98</v>
      </c>
      <c r="BL419" t="s">
        <v>806</v>
      </c>
      <c r="BM419" t="s">
        <v>7969</v>
      </c>
      <c r="BN419" t="s">
        <v>74</v>
      </c>
      <c r="BO419" t="s">
        <v>74</v>
      </c>
      <c r="BP419" t="s">
        <v>74</v>
      </c>
      <c r="BQ419" t="s">
        <v>74</v>
      </c>
      <c r="BR419" t="s">
        <v>101</v>
      </c>
      <c r="BS419" t="s">
        <v>7970</v>
      </c>
      <c r="BT419" t="str">
        <f>HYPERLINK("https%3A%2F%2Fwww.webofscience.com%2Fwos%2Fwoscc%2Ffull-record%2FWOS:000269480900001","View Full Record in Web of Science")</f>
        <v>View Full Record in Web of Science</v>
      </c>
    </row>
    <row r="420" spans="1:72" x14ac:dyDescent="0.15">
      <c r="A420" t="s">
        <v>72</v>
      </c>
      <c r="B420" t="s">
        <v>7971</v>
      </c>
      <c r="C420" t="s">
        <v>74</v>
      </c>
      <c r="D420" t="s">
        <v>74</v>
      </c>
      <c r="E420" t="s">
        <v>74</v>
      </c>
      <c r="F420" t="s">
        <v>7972</v>
      </c>
      <c r="G420" t="s">
        <v>74</v>
      </c>
      <c r="H420" t="s">
        <v>74</v>
      </c>
      <c r="I420" t="s">
        <v>7973</v>
      </c>
      <c r="J420" t="s">
        <v>2507</v>
      </c>
      <c r="K420" t="s">
        <v>74</v>
      </c>
      <c r="L420" t="s">
        <v>74</v>
      </c>
      <c r="M420" t="s">
        <v>78</v>
      </c>
      <c r="N420" t="s">
        <v>79</v>
      </c>
      <c r="O420" t="s">
        <v>74</v>
      </c>
      <c r="P420" t="s">
        <v>74</v>
      </c>
      <c r="Q420" t="s">
        <v>74</v>
      </c>
      <c r="R420" t="s">
        <v>74</v>
      </c>
      <c r="S420" t="s">
        <v>74</v>
      </c>
      <c r="T420" t="s">
        <v>74</v>
      </c>
      <c r="U420" t="s">
        <v>7974</v>
      </c>
      <c r="V420" t="s">
        <v>7975</v>
      </c>
      <c r="W420" t="s">
        <v>7976</v>
      </c>
      <c r="X420" t="s">
        <v>6075</v>
      </c>
      <c r="Y420" t="s">
        <v>7977</v>
      </c>
      <c r="Z420" t="s">
        <v>7978</v>
      </c>
      <c r="AA420" t="s">
        <v>74</v>
      </c>
      <c r="AB420" t="s">
        <v>7979</v>
      </c>
      <c r="AC420" t="s">
        <v>7980</v>
      </c>
      <c r="AD420" t="s">
        <v>7981</v>
      </c>
      <c r="AE420" t="s">
        <v>7982</v>
      </c>
      <c r="AF420" t="s">
        <v>74</v>
      </c>
      <c r="AG420">
        <v>36</v>
      </c>
      <c r="AH420">
        <v>15</v>
      </c>
      <c r="AI420">
        <v>17</v>
      </c>
      <c r="AJ420">
        <v>2</v>
      </c>
      <c r="AK420">
        <v>21</v>
      </c>
      <c r="AL420" t="s">
        <v>2516</v>
      </c>
      <c r="AM420" t="s">
        <v>2517</v>
      </c>
      <c r="AN420" t="s">
        <v>2518</v>
      </c>
      <c r="AO420" t="s">
        <v>2519</v>
      </c>
      <c r="AP420" t="s">
        <v>2520</v>
      </c>
      <c r="AQ420" t="s">
        <v>74</v>
      </c>
      <c r="AR420" t="s">
        <v>2521</v>
      </c>
      <c r="AS420" t="s">
        <v>2522</v>
      </c>
      <c r="AT420" t="s">
        <v>7132</v>
      </c>
      <c r="AU420">
        <v>2009</v>
      </c>
      <c r="AV420">
        <v>95</v>
      </c>
      <c r="AW420">
        <v>5</v>
      </c>
      <c r="AX420" t="s">
        <v>74</v>
      </c>
      <c r="AY420" t="s">
        <v>74</v>
      </c>
      <c r="AZ420" t="s">
        <v>74</v>
      </c>
      <c r="BA420" t="s">
        <v>74</v>
      </c>
      <c r="BB420">
        <v>1112</v>
      </c>
      <c r="BC420">
        <v>1119</v>
      </c>
      <c r="BD420" t="s">
        <v>74</v>
      </c>
      <c r="BE420" t="s">
        <v>7983</v>
      </c>
      <c r="BF420" t="str">
        <f>HYPERLINK("http://dx.doi.org/10.1645/GE-2002.1","http://dx.doi.org/10.1645/GE-2002.1")</f>
        <v>http://dx.doi.org/10.1645/GE-2002.1</v>
      </c>
      <c r="BG420" t="s">
        <v>74</v>
      </c>
      <c r="BH420" t="s">
        <v>74</v>
      </c>
      <c r="BI420">
        <v>8</v>
      </c>
      <c r="BJ420" t="s">
        <v>2524</v>
      </c>
      <c r="BK420" t="s">
        <v>98</v>
      </c>
      <c r="BL420" t="s">
        <v>2524</v>
      </c>
      <c r="BM420" t="s">
        <v>7984</v>
      </c>
      <c r="BN420">
        <v>19413367</v>
      </c>
      <c r="BO420" t="s">
        <v>74</v>
      </c>
      <c r="BP420" t="s">
        <v>74</v>
      </c>
      <c r="BQ420" t="s">
        <v>74</v>
      </c>
      <c r="BR420" t="s">
        <v>101</v>
      </c>
      <c r="BS420" t="s">
        <v>7985</v>
      </c>
      <c r="BT420" t="str">
        <f>HYPERLINK("https%3A%2F%2Fwww.webofscience.com%2Fwos%2Fwoscc%2Ffull-record%2FWOS:000272015500011","View Full Record in Web of Science")</f>
        <v>View Full Record in Web of Science</v>
      </c>
    </row>
    <row r="421" spans="1:72" x14ac:dyDescent="0.15">
      <c r="A421" t="s">
        <v>72</v>
      </c>
      <c r="B421" t="s">
        <v>7986</v>
      </c>
      <c r="C421" t="s">
        <v>74</v>
      </c>
      <c r="D421" t="s">
        <v>74</v>
      </c>
      <c r="E421" t="s">
        <v>74</v>
      </c>
      <c r="F421" t="s">
        <v>7987</v>
      </c>
      <c r="G421" t="s">
        <v>74</v>
      </c>
      <c r="H421" t="s">
        <v>74</v>
      </c>
      <c r="I421" t="s">
        <v>7988</v>
      </c>
      <c r="J421" t="s">
        <v>7989</v>
      </c>
      <c r="K421" t="s">
        <v>74</v>
      </c>
      <c r="L421" t="s">
        <v>74</v>
      </c>
      <c r="M421" t="s">
        <v>78</v>
      </c>
      <c r="N421" t="s">
        <v>79</v>
      </c>
      <c r="O421" t="s">
        <v>74</v>
      </c>
      <c r="P421" t="s">
        <v>74</v>
      </c>
      <c r="Q421" t="s">
        <v>74</v>
      </c>
      <c r="R421" t="s">
        <v>74</v>
      </c>
      <c r="S421" t="s">
        <v>74</v>
      </c>
      <c r="T421" t="s">
        <v>74</v>
      </c>
      <c r="U421" t="s">
        <v>7990</v>
      </c>
      <c r="V421" t="s">
        <v>7991</v>
      </c>
      <c r="W421" t="s">
        <v>7992</v>
      </c>
      <c r="X421" t="s">
        <v>7993</v>
      </c>
      <c r="Y421" t="s">
        <v>7994</v>
      </c>
      <c r="Z421" t="s">
        <v>7995</v>
      </c>
      <c r="AA421" t="s">
        <v>7996</v>
      </c>
      <c r="AB421" t="s">
        <v>7997</v>
      </c>
      <c r="AC421" t="s">
        <v>7998</v>
      </c>
      <c r="AD421" t="s">
        <v>7999</v>
      </c>
      <c r="AE421" t="s">
        <v>8000</v>
      </c>
      <c r="AF421" t="s">
        <v>74</v>
      </c>
      <c r="AG421">
        <v>84</v>
      </c>
      <c r="AH421">
        <v>26</v>
      </c>
      <c r="AI421">
        <v>35</v>
      </c>
      <c r="AJ421">
        <v>1</v>
      </c>
      <c r="AK421">
        <v>29</v>
      </c>
      <c r="AL421" t="s">
        <v>2171</v>
      </c>
      <c r="AM421" t="s">
        <v>1895</v>
      </c>
      <c r="AN421" t="s">
        <v>2172</v>
      </c>
      <c r="AO421" t="s">
        <v>8001</v>
      </c>
      <c r="AP421" t="s">
        <v>8002</v>
      </c>
      <c r="AQ421" t="s">
        <v>74</v>
      </c>
      <c r="AR421" t="s">
        <v>8003</v>
      </c>
      <c r="AS421" t="s">
        <v>8004</v>
      </c>
      <c r="AT421" t="s">
        <v>7132</v>
      </c>
      <c r="AU421">
        <v>2009</v>
      </c>
      <c r="AV421">
        <v>31</v>
      </c>
      <c r="AW421">
        <v>10</v>
      </c>
      <c r="AX421" t="s">
        <v>74</v>
      </c>
      <c r="AY421" t="s">
        <v>74</v>
      </c>
      <c r="AZ421" t="s">
        <v>74</v>
      </c>
      <c r="BA421" t="s">
        <v>74</v>
      </c>
      <c r="BB421">
        <v>1265</v>
      </c>
      <c r="BC421">
        <v>1281</v>
      </c>
      <c r="BD421" t="s">
        <v>74</v>
      </c>
      <c r="BE421" t="s">
        <v>8005</v>
      </c>
      <c r="BF421" t="str">
        <f>HYPERLINK("http://dx.doi.org/10.1093/plankt/fbp062","http://dx.doi.org/10.1093/plankt/fbp062")</f>
        <v>http://dx.doi.org/10.1093/plankt/fbp062</v>
      </c>
      <c r="BG421" t="s">
        <v>74</v>
      </c>
      <c r="BH421" t="s">
        <v>74</v>
      </c>
      <c r="BI421">
        <v>17</v>
      </c>
      <c r="BJ421" t="s">
        <v>5741</v>
      </c>
      <c r="BK421" t="s">
        <v>98</v>
      </c>
      <c r="BL421" t="s">
        <v>5741</v>
      </c>
      <c r="BM421" t="s">
        <v>8006</v>
      </c>
      <c r="BN421" t="s">
        <v>74</v>
      </c>
      <c r="BO421" t="s">
        <v>74</v>
      </c>
      <c r="BP421" t="s">
        <v>74</v>
      </c>
      <c r="BQ421" t="s">
        <v>74</v>
      </c>
      <c r="BR421" t="s">
        <v>101</v>
      </c>
      <c r="BS421" t="s">
        <v>8007</v>
      </c>
      <c r="BT421" t="str">
        <f>HYPERLINK("https%3A%2F%2Fwww.webofscience.com%2Fwos%2Fwoscc%2Ffull-record%2FWOS:000270269800012","View Full Record in Web of Science")</f>
        <v>View Full Record in Web of Science</v>
      </c>
    </row>
    <row r="422" spans="1:72" x14ac:dyDescent="0.15">
      <c r="A422" t="s">
        <v>72</v>
      </c>
      <c r="B422" t="s">
        <v>8008</v>
      </c>
      <c r="C422" t="s">
        <v>74</v>
      </c>
      <c r="D422" t="s">
        <v>74</v>
      </c>
      <c r="E422" t="s">
        <v>74</v>
      </c>
      <c r="F422" t="s">
        <v>8009</v>
      </c>
      <c r="G422" t="s">
        <v>74</v>
      </c>
      <c r="H422" t="s">
        <v>74</v>
      </c>
      <c r="I422" t="s">
        <v>8010</v>
      </c>
      <c r="J422" t="s">
        <v>7989</v>
      </c>
      <c r="K422" t="s">
        <v>74</v>
      </c>
      <c r="L422" t="s">
        <v>74</v>
      </c>
      <c r="M422" t="s">
        <v>78</v>
      </c>
      <c r="N422" t="s">
        <v>79</v>
      </c>
      <c r="O422" t="s">
        <v>74</v>
      </c>
      <c r="P422" t="s">
        <v>74</v>
      </c>
      <c r="Q422" t="s">
        <v>74</v>
      </c>
      <c r="R422" t="s">
        <v>74</v>
      </c>
      <c r="S422" t="s">
        <v>74</v>
      </c>
      <c r="T422" t="s">
        <v>74</v>
      </c>
      <c r="U422" t="s">
        <v>8011</v>
      </c>
      <c r="V422" t="s">
        <v>8012</v>
      </c>
      <c r="W422" t="s">
        <v>8013</v>
      </c>
      <c r="X422" t="s">
        <v>8014</v>
      </c>
      <c r="Y422" t="s">
        <v>8015</v>
      </c>
      <c r="Z422" t="s">
        <v>8016</v>
      </c>
      <c r="AA422" t="s">
        <v>74</v>
      </c>
      <c r="AB422" t="s">
        <v>74</v>
      </c>
      <c r="AC422" t="s">
        <v>8017</v>
      </c>
      <c r="AD422" t="s">
        <v>8018</v>
      </c>
      <c r="AE422" t="s">
        <v>8019</v>
      </c>
      <c r="AF422" t="s">
        <v>74</v>
      </c>
      <c r="AG422">
        <v>46</v>
      </c>
      <c r="AH422">
        <v>13</v>
      </c>
      <c r="AI422">
        <v>14</v>
      </c>
      <c r="AJ422">
        <v>0</v>
      </c>
      <c r="AK422">
        <v>5</v>
      </c>
      <c r="AL422" t="s">
        <v>2171</v>
      </c>
      <c r="AM422" t="s">
        <v>1895</v>
      </c>
      <c r="AN422" t="s">
        <v>2172</v>
      </c>
      <c r="AO422" t="s">
        <v>8001</v>
      </c>
      <c r="AP422" t="s">
        <v>8002</v>
      </c>
      <c r="AQ422" t="s">
        <v>74</v>
      </c>
      <c r="AR422" t="s">
        <v>8003</v>
      </c>
      <c r="AS422" t="s">
        <v>8004</v>
      </c>
      <c r="AT422" t="s">
        <v>7132</v>
      </c>
      <c r="AU422">
        <v>2009</v>
      </c>
      <c r="AV422">
        <v>31</v>
      </c>
      <c r="AW422">
        <v>10</v>
      </c>
      <c r="AX422" t="s">
        <v>74</v>
      </c>
      <c r="AY422" t="s">
        <v>74</v>
      </c>
      <c r="AZ422" t="s">
        <v>74</v>
      </c>
      <c r="BA422" t="s">
        <v>74</v>
      </c>
      <c r="BB422">
        <v>1283</v>
      </c>
      <c r="BC422">
        <v>1297</v>
      </c>
      <c r="BD422" t="s">
        <v>74</v>
      </c>
      <c r="BE422" t="s">
        <v>8020</v>
      </c>
      <c r="BF422" t="str">
        <f>HYPERLINK("http://dx.doi.org/10.1093/plankt/fbp056","http://dx.doi.org/10.1093/plankt/fbp056")</f>
        <v>http://dx.doi.org/10.1093/plankt/fbp056</v>
      </c>
      <c r="BG422" t="s">
        <v>74</v>
      </c>
      <c r="BH422" t="s">
        <v>74</v>
      </c>
      <c r="BI422">
        <v>15</v>
      </c>
      <c r="BJ422" t="s">
        <v>5741</v>
      </c>
      <c r="BK422" t="s">
        <v>98</v>
      </c>
      <c r="BL422" t="s">
        <v>5741</v>
      </c>
      <c r="BM422" t="s">
        <v>8006</v>
      </c>
      <c r="BN422" t="s">
        <v>74</v>
      </c>
      <c r="BO422" t="s">
        <v>263</v>
      </c>
      <c r="BP422" t="s">
        <v>74</v>
      </c>
      <c r="BQ422" t="s">
        <v>74</v>
      </c>
      <c r="BR422" t="s">
        <v>101</v>
      </c>
      <c r="BS422" t="s">
        <v>8021</v>
      </c>
      <c r="BT422" t="str">
        <f>HYPERLINK("https%3A%2F%2Fwww.webofscience.com%2Fwos%2Fwoscc%2Ffull-record%2FWOS:000270269800013","View Full Record in Web of Science")</f>
        <v>View Full Record in Web of Science</v>
      </c>
    </row>
    <row r="423" spans="1:72" x14ac:dyDescent="0.15">
      <c r="A423" t="s">
        <v>72</v>
      </c>
      <c r="B423" t="s">
        <v>8022</v>
      </c>
      <c r="C423" t="s">
        <v>74</v>
      </c>
      <c r="D423" t="s">
        <v>74</v>
      </c>
      <c r="E423" t="s">
        <v>74</v>
      </c>
      <c r="F423" t="s">
        <v>8023</v>
      </c>
      <c r="G423" t="s">
        <v>74</v>
      </c>
      <c r="H423" t="s">
        <v>74</v>
      </c>
      <c r="I423" t="s">
        <v>8024</v>
      </c>
      <c r="J423" t="s">
        <v>8025</v>
      </c>
      <c r="K423" t="s">
        <v>74</v>
      </c>
      <c r="L423" t="s">
        <v>74</v>
      </c>
      <c r="M423" t="s">
        <v>78</v>
      </c>
      <c r="N423" t="s">
        <v>79</v>
      </c>
      <c r="O423" t="s">
        <v>74</v>
      </c>
      <c r="P423" t="s">
        <v>74</v>
      </c>
      <c r="Q423" t="s">
        <v>74</v>
      </c>
      <c r="R423" t="s">
        <v>74</v>
      </c>
      <c r="S423" t="s">
        <v>74</v>
      </c>
      <c r="T423" t="s">
        <v>8026</v>
      </c>
      <c r="U423" t="s">
        <v>8027</v>
      </c>
      <c r="V423" t="s">
        <v>8028</v>
      </c>
      <c r="W423" t="s">
        <v>8029</v>
      </c>
      <c r="X423" t="s">
        <v>8030</v>
      </c>
      <c r="Y423" t="s">
        <v>8031</v>
      </c>
      <c r="Z423" t="s">
        <v>74</v>
      </c>
      <c r="AA423" t="s">
        <v>74</v>
      </c>
      <c r="AB423" t="s">
        <v>74</v>
      </c>
      <c r="AC423" t="s">
        <v>74</v>
      </c>
      <c r="AD423" t="s">
        <v>74</v>
      </c>
      <c r="AE423" t="s">
        <v>74</v>
      </c>
      <c r="AF423" t="s">
        <v>74</v>
      </c>
      <c r="AG423">
        <v>28</v>
      </c>
      <c r="AH423">
        <v>33</v>
      </c>
      <c r="AI423">
        <v>34</v>
      </c>
      <c r="AJ423">
        <v>2</v>
      </c>
      <c r="AK423">
        <v>26</v>
      </c>
      <c r="AL423" t="s">
        <v>887</v>
      </c>
      <c r="AM423" t="s">
        <v>227</v>
      </c>
      <c r="AN423" t="s">
        <v>888</v>
      </c>
      <c r="AO423" t="s">
        <v>8032</v>
      </c>
      <c r="AP423" t="s">
        <v>8033</v>
      </c>
      <c r="AQ423" t="s">
        <v>74</v>
      </c>
      <c r="AR423" t="s">
        <v>8034</v>
      </c>
      <c r="AS423" t="s">
        <v>8035</v>
      </c>
      <c r="AT423" t="s">
        <v>7132</v>
      </c>
      <c r="AU423">
        <v>2009</v>
      </c>
      <c r="AV423">
        <v>8</v>
      </c>
      <c r="AW423">
        <v>10</v>
      </c>
      <c r="AX423" t="s">
        <v>74</v>
      </c>
      <c r="AY423" t="s">
        <v>74</v>
      </c>
      <c r="AZ423" t="s">
        <v>74</v>
      </c>
      <c r="BA423" t="s">
        <v>74</v>
      </c>
      <c r="BB423">
        <v>4870</v>
      </c>
      <c r="BC423">
        <v>4875</v>
      </c>
      <c r="BD423" t="s">
        <v>74</v>
      </c>
      <c r="BE423" t="s">
        <v>8036</v>
      </c>
      <c r="BF423" t="str">
        <f>HYPERLINK("http://dx.doi.org/10.1021/pr900494m","http://dx.doi.org/10.1021/pr900494m")</f>
        <v>http://dx.doi.org/10.1021/pr900494m</v>
      </c>
      <c r="BG423" t="s">
        <v>74</v>
      </c>
      <c r="BH423" t="s">
        <v>74</v>
      </c>
      <c r="BI423">
        <v>6</v>
      </c>
      <c r="BJ423" t="s">
        <v>8037</v>
      </c>
      <c r="BK423" t="s">
        <v>98</v>
      </c>
      <c r="BL423" t="s">
        <v>8038</v>
      </c>
      <c r="BM423" t="s">
        <v>8039</v>
      </c>
      <c r="BN423">
        <v>19663461</v>
      </c>
      <c r="BO423" t="s">
        <v>74</v>
      </c>
      <c r="BP423" t="s">
        <v>74</v>
      </c>
      <c r="BQ423" t="s">
        <v>74</v>
      </c>
      <c r="BR423" t="s">
        <v>101</v>
      </c>
      <c r="BS423" t="s">
        <v>8040</v>
      </c>
      <c r="BT423" t="str">
        <f>HYPERLINK("https%3A%2F%2Fwww.webofscience.com%2Fwos%2Fwoscc%2Ffull-record%2FWOS:000270353900044","View Full Record in Web of Science")</f>
        <v>View Full Record in Web of Science</v>
      </c>
    </row>
    <row r="424" spans="1:72" x14ac:dyDescent="0.15">
      <c r="A424" t="s">
        <v>72</v>
      </c>
      <c r="B424" t="s">
        <v>8041</v>
      </c>
      <c r="C424" t="s">
        <v>74</v>
      </c>
      <c r="D424" t="s">
        <v>74</v>
      </c>
      <c r="E424" t="s">
        <v>74</v>
      </c>
      <c r="F424" t="s">
        <v>8042</v>
      </c>
      <c r="G424" t="s">
        <v>74</v>
      </c>
      <c r="H424" t="s">
        <v>74</v>
      </c>
      <c r="I424" t="s">
        <v>8043</v>
      </c>
      <c r="J424" t="s">
        <v>5770</v>
      </c>
      <c r="K424" t="s">
        <v>74</v>
      </c>
      <c r="L424" t="s">
        <v>74</v>
      </c>
      <c r="M424" t="s">
        <v>78</v>
      </c>
      <c r="N424" t="s">
        <v>79</v>
      </c>
      <c r="O424" t="s">
        <v>74</v>
      </c>
      <c r="P424" t="s">
        <v>74</v>
      </c>
      <c r="Q424" t="s">
        <v>74</v>
      </c>
      <c r="R424" t="s">
        <v>74</v>
      </c>
      <c r="S424" t="s">
        <v>74</v>
      </c>
      <c r="T424" t="s">
        <v>74</v>
      </c>
      <c r="U424" t="s">
        <v>8044</v>
      </c>
      <c r="V424" t="s">
        <v>8045</v>
      </c>
      <c r="W424" t="s">
        <v>8046</v>
      </c>
      <c r="X424" t="s">
        <v>725</v>
      </c>
      <c r="Y424" t="s">
        <v>8047</v>
      </c>
      <c r="Z424" t="s">
        <v>8048</v>
      </c>
      <c r="AA424" t="s">
        <v>8049</v>
      </c>
      <c r="AB424" t="s">
        <v>8050</v>
      </c>
      <c r="AC424" t="s">
        <v>8051</v>
      </c>
      <c r="AD424" t="s">
        <v>8052</v>
      </c>
      <c r="AE424" t="s">
        <v>8053</v>
      </c>
      <c r="AF424" t="s">
        <v>74</v>
      </c>
      <c r="AG424">
        <v>60</v>
      </c>
      <c r="AH424">
        <v>31</v>
      </c>
      <c r="AI424">
        <v>46</v>
      </c>
      <c r="AJ424">
        <v>2</v>
      </c>
      <c r="AK424">
        <v>43</v>
      </c>
      <c r="AL424" t="s">
        <v>2588</v>
      </c>
      <c r="AM424" t="s">
        <v>2589</v>
      </c>
      <c r="AN424" t="s">
        <v>2590</v>
      </c>
      <c r="AO424" t="s">
        <v>5779</v>
      </c>
      <c r="AP424" t="s">
        <v>5780</v>
      </c>
      <c r="AQ424" t="s">
        <v>74</v>
      </c>
      <c r="AR424" t="s">
        <v>5781</v>
      </c>
      <c r="AS424" t="s">
        <v>5782</v>
      </c>
      <c r="AT424" t="s">
        <v>7132</v>
      </c>
      <c r="AU424">
        <v>2009</v>
      </c>
      <c r="AV424">
        <v>156</v>
      </c>
      <c r="AW424">
        <v>11</v>
      </c>
      <c r="AX424" t="s">
        <v>74</v>
      </c>
      <c r="AY424" t="s">
        <v>74</v>
      </c>
      <c r="AZ424" t="s">
        <v>74</v>
      </c>
      <c r="BA424" t="s">
        <v>74</v>
      </c>
      <c r="BB424">
        <v>2289</v>
      </c>
      <c r="BC424">
        <v>2302</v>
      </c>
      <c r="BD424" t="s">
        <v>74</v>
      </c>
      <c r="BE424" t="s">
        <v>8054</v>
      </c>
      <c r="BF424" t="str">
        <f>HYPERLINK("http://dx.doi.org/10.1007/s00227-009-1256-4","http://dx.doi.org/10.1007/s00227-009-1256-4")</f>
        <v>http://dx.doi.org/10.1007/s00227-009-1256-4</v>
      </c>
      <c r="BG424" t="s">
        <v>74</v>
      </c>
      <c r="BH424" t="s">
        <v>74</v>
      </c>
      <c r="BI424">
        <v>14</v>
      </c>
      <c r="BJ424" t="s">
        <v>1052</v>
      </c>
      <c r="BK424" t="s">
        <v>98</v>
      </c>
      <c r="BL424" t="s">
        <v>1052</v>
      </c>
      <c r="BM424" t="s">
        <v>8055</v>
      </c>
      <c r="BN424" t="s">
        <v>74</v>
      </c>
      <c r="BO424" t="s">
        <v>74</v>
      </c>
      <c r="BP424" t="s">
        <v>74</v>
      </c>
      <c r="BQ424" t="s">
        <v>74</v>
      </c>
      <c r="BR424" t="s">
        <v>101</v>
      </c>
      <c r="BS424" t="s">
        <v>8056</v>
      </c>
      <c r="BT424" t="str">
        <f>HYPERLINK("https%3A%2F%2Fwww.webofscience.com%2Fwos%2Fwoscc%2Ffull-record%2FWOS:000270180900008","View Full Record in Web of Science")</f>
        <v>View Full Record in Web of Science</v>
      </c>
    </row>
    <row r="425" spans="1:72" x14ac:dyDescent="0.15">
      <c r="A425" t="s">
        <v>72</v>
      </c>
      <c r="B425" t="s">
        <v>8057</v>
      </c>
      <c r="C425" t="s">
        <v>74</v>
      </c>
      <c r="D425" t="s">
        <v>74</v>
      </c>
      <c r="E425" t="s">
        <v>74</v>
      </c>
      <c r="F425" t="s">
        <v>8058</v>
      </c>
      <c r="G425" t="s">
        <v>74</v>
      </c>
      <c r="H425" t="s">
        <v>74</v>
      </c>
      <c r="I425" t="s">
        <v>8059</v>
      </c>
      <c r="J425" t="s">
        <v>5770</v>
      </c>
      <c r="K425" t="s">
        <v>74</v>
      </c>
      <c r="L425" t="s">
        <v>74</v>
      </c>
      <c r="M425" t="s">
        <v>78</v>
      </c>
      <c r="N425" t="s">
        <v>79</v>
      </c>
      <c r="O425" t="s">
        <v>74</v>
      </c>
      <c r="P425" t="s">
        <v>74</v>
      </c>
      <c r="Q425" t="s">
        <v>74</v>
      </c>
      <c r="R425" t="s">
        <v>74</v>
      </c>
      <c r="S425" t="s">
        <v>74</v>
      </c>
      <c r="T425" t="s">
        <v>74</v>
      </c>
      <c r="U425" t="s">
        <v>8060</v>
      </c>
      <c r="V425" t="s">
        <v>8061</v>
      </c>
      <c r="W425" t="s">
        <v>8062</v>
      </c>
      <c r="X425" t="s">
        <v>8063</v>
      </c>
      <c r="Y425" t="s">
        <v>8064</v>
      </c>
      <c r="Z425" t="s">
        <v>8065</v>
      </c>
      <c r="AA425" t="s">
        <v>74</v>
      </c>
      <c r="AB425" t="s">
        <v>8066</v>
      </c>
      <c r="AC425" t="s">
        <v>8067</v>
      </c>
      <c r="AD425" t="s">
        <v>1629</v>
      </c>
      <c r="AE425" t="s">
        <v>8068</v>
      </c>
      <c r="AF425" t="s">
        <v>74</v>
      </c>
      <c r="AG425">
        <v>60</v>
      </c>
      <c r="AH425">
        <v>8</v>
      </c>
      <c r="AI425">
        <v>11</v>
      </c>
      <c r="AJ425">
        <v>0</v>
      </c>
      <c r="AK425">
        <v>15</v>
      </c>
      <c r="AL425" t="s">
        <v>2588</v>
      </c>
      <c r="AM425" t="s">
        <v>2589</v>
      </c>
      <c r="AN425" t="s">
        <v>2590</v>
      </c>
      <c r="AO425" t="s">
        <v>5779</v>
      </c>
      <c r="AP425" t="s">
        <v>5780</v>
      </c>
      <c r="AQ425" t="s">
        <v>74</v>
      </c>
      <c r="AR425" t="s">
        <v>5781</v>
      </c>
      <c r="AS425" t="s">
        <v>5782</v>
      </c>
      <c r="AT425" t="s">
        <v>7132</v>
      </c>
      <c r="AU425">
        <v>2009</v>
      </c>
      <c r="AV425">
        <v>156</v>
      </c>
      <c r="AW425">
        <v>11</v>
      </c>
      <c r="AX425" t="s">
        <v>74</v>
      </c>
      <c r="AY425" t="s">
        <v>74</v>
      </c>
      <c r="AZ425" t="s">
        <v>74</v>
      </c>
      <c r="BA425" t="s">
        <v>74</v>
      </c>
      <c r="BB425">
        <v>2391</v>
      </c>
      <c r="BC425">
        <v>2402</v>
      </c>
      <c r="BD425" t="s">
        <v>74</v>
      </c>
      <c r="BE425" t="s">
        <v>8069</v>
      </c>
      <c r="BF425" t="str">
        <f>HYPERLINK("http://dx.doi.org/10.1007/s00227-009-1268-0","http://dx.doi.org/10.1007/s00227-009-1268-0")</f>
        <v>http://dx.doi.org/10.1007/s00227-009-1268-0</v>
      </c>
      <c r="BG425" t="s">
        <v>74</v>
      </c>
      <c r="BH425" t="s">
        <v>74</v>
      </c>
      <c r="BI425">
        <v>12</v>
      </c>
      <c r="BJ425" t="s">
        <v>1052</v>
      </c>
      <c r="BK425" t="s">
        <v>98</v>
      </c>
      <c r="BL425" t="s">
        <v>1052</v>
      </c>
      <c r="BM425" t="s">
        <v>8055</v>
      </c>
      <c r="BN425" t="s">
        <v>74</v>
      </c>
      <c r="BO425" t="s">
        <v>74</v>
      </c>
      <c r="BP425" t="s">
        <v>74</v>
      </c>
      <c r="BQ425" t="s">
        <v>74</v>
      </c>
      <c r="BR425" t="s">
        <v>101</v>
      </c>
      <c r="BS425" t="s">
        <v>8070</v>
      </c>
      <c r="BT425" t="str">
        <f>HYPERLINK("https%3A%2F%2Fwww.webofscience.com%2Fwos%2Fwoscc%2Ffull-record%2FWOS:000270180900018","View Full Record in Web of Science")</f>
        <v>View Full Record in Web of Science</v>
      </c>
    </row>
    <row r="426" spans="1:72" x14ac:dyDescent="0.15">
      <c r="A426" t="s">
        <v>72</v>
      </c>
      <c r="B426" t="s">
        <v>8071</v>
      </c>
      <c r="C426" t="s">
        <v>74</v>
      </c>
      <c r="D426" t="s">
        <v>74</v>
      </c>
      <c r="E426" t="s">
        <v>74</v>
      </c>
      <c r="F426" t="s">
        <v>8072</v>
      </c>
      <c r="G426" t="s">
        <v>74</v>
      </c>
      <c r="H426" t="s">
        <v>74</v>
      </c>
      <c r="I426" t="s">
        <v>8073</v>
      </c>
      <c r="J426" t="s">
        <v>8074</v>
      </c>
      <c r="K426" t="s">
        <v>74</v>
      </c>
      <c r="L426" t="s">
        <v>74</v>
      </c>
      <c r="M426" t="s">
        <v>78</v>
      </c>
      <c r="N426" t="s">
        <v>79</v>
      </c>
      <c r="O426" t="s">
        <v>74</v>
      </c>
      <c r="P426" t="s">
        <v>74</v>
      </c>
      <c r="Q426" t="s">
        <v>74</v>
      </c>
      <c r="R426" t="s">
        <v>74</v>
      </c>
      <c r="S426" t="s">
        <v>74</v>
      </c>
      <c r="T426" t="s">
        <v>8075</v>
      </c>
      <c r="U426" t="s">
        <v>8076</v>
      </c>
      <c r="V426" t="s">
        <v>8077</v>
      </c>
      <c r="W426" t="s">
        <v>8078</v>
      </c>
      <c r="X426" t="s">
        <v>2930</v>
      </c>
      <c r="Y426" t="s">
        <v>8079</v>
      </c>
      <c r="Z426" t="s">
        <v>8080</v>
      </c>
      <c r="AA426" t="s">
        <v>74</v>
      </c>
      <c r="AB426" t="s">
        <v>74</v>
      </c>
      <c r="AC426" t="s">
        <v>8081</v>
      </c>
      <c r="AD426" t="s">
        <v>8082</v>
      </c>
      <c r="AE426" t="s">
        <v>8083</v>
      </c>
      <c r="AF426" t="s">
        <v>74</v>
      </c>
      <c r="AG426">
        <v>61</v>
      </c>
      <c r="AH426">
        <v>7</v>
      </c>
      <c r="AI426">
        <v>11</v>
      </c>
      <c r="AJ426">
        <v>1</v>
      </c>
      <c r="AK426">
        <v>12</v>
      </c>
      <c r="AL426" t="s">
        <v>1850</v>
      </c>
      <c r="AM426" t="s">
        <v>684</v>
      </c>
      <c r="AN426" t="s">
        <v>2272</v>
      </c>
      <c r="AO426" t="s">
        <v>8084</v>
      </c>
      <c r="AP426" t="s">
        <v>8085</v>
      </c>
      <c r="AQ426" t="s">
        <v>74</v>
      </c>
      <c r="AR426" t="s">
        <v>8086</v>
      </c>
      <c r="AS426" t="s">
        <v>8087</v>
      </c>
      <c r="AT426" t="s">
        <v>7132</v>
      </c>
      <c r="AU426">
        <v>2009</v>
      </c>
      <c r="AV426">
        <v>11</v>
      </c>
      <c r="AW426">
        <v>5</v>
      </c>
      <c r="AX426" t="s">
        <v>74</v>
      </c>
      <c r="AY426" t="s">
        <v>74</v>
      </c>
      <c r="AZ426" t="s">
        <v>74</v>
      </c>
      <c r="BA426" t="s">
        <v>74</v>
      </c>
      <c r="BB426">
        <v>608</v>
      </c>
      <c r="BC426">
        <v>618</v>
      </c>
      <c r="BD426" t="s">
        <v>74</v>
      </c>
      <c r="BE426" t="s">
        <v>8088</v>
      </c>
      <c r="BF426" t="str">
        <f>HYPERLINK("http://dx.doi.org/10.1007/s10126-009-9177-2","http://dx.doi.org/10.1007/s10126-009-9177-2")</f>
        <v>http://dx.doi.org/10.1007/s10126-009-9177-2</v>
      </c>
      <c r="BG426" t="s">
        <v>74</v>
      </c>
      <c r="BH426" t="s">
        <v>74</v>
      </c>
      <c r="BI426">
        <v>11</v>
      </c>
      <c r="BJ426" t="s">
        <v>8089</v>
      </c>
      <c r="BK426" t="s">
        <v>98</v>
      </c>
      <c r="BL426" t="s">
        <v>8089</v>
      </c>
      <c r="BM426" t="s">
        <v>8090</v>
      </c>
      <c r="BN426">
        <v>19194752</v>
      </c>
      <c r="BO426" t="s">
        <v>74</v>
      </c>
      <c r="BP426" t="s">
        <v>74</v>
      </c>
      <c r="BQ426" t="s">
        <v>74</v>
      </c>
      <c r="BR426" t="s">
        <v>101</v>
      </c>
      <c r="BS426" t="s">
        <v>8091</v>
      </c>
      <c r="BT426" t="str">
        <f>HYPERLINK("https%3A%2F%2Fwww.webofscience.com%2Fwos%2Fwoscc%2Ffull-record%2FWOS:000268547600007","View Full Record in Web of Science")</f>
        <v>View Full Record in Web of Science</v>
      </c>
    </row>
    <row r="427" spans="1:72" x14ac:dyDescent="0.15">
      <c r="A427" t="s">
        <v>72</v>
      </c>
      <c r="B427" t="s">
        <v>8092</v>
      </c>
      <c r="C427" t="s">
        <v>74</v>
      </c>
      <c r="D427" t="s">
        <v>74</v>
      </c>
      <c r="E427" t="s">
        <v>74</v>
      </c>
      <c r="F427" t="s">
        <v>8093</v>
      </c>
      <c r="G427" t="s">
        <v>74</v>
      </c>
      <c r="H427" t="s">
        <v>74</v>
      </c>
      <c r="I427" t="s">
        <v>8094</v>
      </c>
      <c r="J427" t="s">
        <v>8095</v>
      </c>
      <c r="K427" t="s">
        <v>74</v>
      </c>
      <c r="L427" t="s">
        <v>74</v>
      </c>
      <c r="M427" t="s">
        <v>78</v>
      </c>
      <c r="N427" t="s">
        <v>79</v>
      </c>
      <c r="O427" t="s">
        <v>74</v>
      </c>
      <c r="P427" t="s">
        <v>74</v>
      </c>
      <c r="Q427" t="s">
        <v>74</v>
      </c>
      <c r="R427" t="s">
        <v>74</v>
      </c>
      <c r="S427" t="s">
        <v>74</v>
      </c>
      <c r="T427" t="s">
        <v>8096</v>
      </c>
      <c r="U427" t="s">
        <v>8097</v>
      </c>
      <c r="V427" t="s">
        <v>8098</v>
      </c>
      <c r="W427" t="s">
        <v>8099</v>
      </c>
      <c r="X427" t="s">
        <v>8100</v>
      </c>
      <c r="Y427" t="s">
        <v>8101</v>
      </c>
      <c r="Z427" t="s">
        <v>8102</v>
      </c>
      <c r="AA427" t="s">
        <v>8103</v>
      </c>
      <c r="AB427" t="s">
        <v>74</v>
      </c>
      <c r="AC427" t="s">
        <v>8104</v>
      </c>
      <c r="AD427" t="s">
        <v>8104</v>
      </c>
      <c r="AE427" t="s">
        <v>8105</v>
      </c>
      <c r="AF427" t="s">
        <v>74</v>
      </c>
      <c r="AG427">
        <v>46</v>
      </c>
      <c r="AH427">
        <v>15</v>
      </c>
      <c r="AI427">
        <v>20</v>
      </c>
      <c r="AJ427">
        <v>1</v>
      </c>
      <c r="AK427">
        <v>17</v>
      </c>
      <c r="AL427" t="s">
        <v>3033</v>
      </c>
      <c r="AM427" t="s">
        <v>2046</v>
      </c>
      <c r="AN427" t="s">
        <v>2047</v>
      </c>
      <c r="AO427" t="s">
        <v>8106</v>
      </c>
      <c r="AP427" t="s">
        <v>74</v>
      </c>
      <c r="AQ427" t="s">
        <v>74</v>
      </c>
      <c r="AR427" t="s">
        <v>8107</v>
      </c>
      <c r="AS427" t="s">
        <v>8108</v>
      </c>
      <c r="AT427" t="s">
        <v>7132</v>
      </c>
      <c r="AU427">
        <v>2009</v>
      </c>
      <c r="AV427">
        <v>25</v>
      </c>
      <c r="AW427">
        <v>4</v>
      </c>
      <c r="AX427" t="s">
        <v>74</v>
      </c>
      <c r="AY427" t="s">
        <v>74</v>
      </c>
      <c r="AZ427" t="s">
        <v>74</v>
      </c>
      <c r="BA427" t="s">
        <v>74</v>
      </c>
      <c r="BB427">
        <v>833</v>
      </c>
      <c r="BC427">
        <v>854</v>
      </c>
      <c r="BD427" t="s">
        <v>74</v>
      </c>
      <c r="BE427" t="s">
        <v>8109</v>
      </c>
      <c r="BF427" t="str">
        <f>HYPERLINK("http://dx.doi.org/10.1111/j.1748-7692.2009.00292.x","http://dx.doi.org/10.1111/j.1748-7692.2009.00292.x")</f>
        <v>http://dx.doi.org/10.1111/j.1748-7692.2009.00292.x</v>
      </c>
      <c r="BG427" t="s">
        <v>74</v>
      </c>
      <c r="BH427" t="s">
        <v>74</v>
      </c>
      <c r="BI427">
        <v>22</v>
      </c>
      <c r="BJ427" t="s">
        <v>5520</v>
      </c>
      <c r="BK427" t="s">
        <v>98</v>
      </c>
      <c r="BL427" t="s">
        <v>5520</v>
      </c>
      <c r="BM427" t="s">
        <v>8110</v>
      </c>
      <c r="BN427" t="s">
        <v>74</v>
      </c>
      <c r="BO427" t="s">
        <v>263</v>
      </c>
      <c r="BP427" t="s">
        <v>74</v>
      </c>
      <c r="BQ427" t="s">
        <v>74</v>
      </c>
      <c r="BR427" t="s">
        <v>101</v>
      </c>
      <c r="BS427" t="s">
        <v>8111</v>
      </c>
      <c r="BT427" t="str">
        <f>HYPERLINK("https%3A%2F%2Fwww.webofscience.com%2Fwos%2Fwoscc%2Ffull-record%2FWOS:000271046600005","View Full Record in Web of Science")</f>
        <v>View Full Record in Web of Science</v>
      </c>
    </row>
    <row r="428" spans="1:72" x14ac:dyDescent="0.15">
      <c r="A428" t="s">
        <v>72</v>
      </c>
      <c r="B428" t="s">
        <v>8112</v>
      </c>
      <c r="C428" t="s">
        <v>74</v>
      </c>
      <c r="D428" t="s">
        <v>74</v>
      </c>
      <c r="E428" t="s">
        <v>74</v>
      </c>
      <c r="F428" t="s">
        <v>8113</v>
      </c>
      <c r="G428" t="s">
        <v>74</v>
      </c>
      <c r="H428" t="s">
        <v>74</v>
      </c>
      <c r="I428" t="s">
        <v>8114</v>
      </c>
      <c r="J428" t="s">
        <v>8095</v>
      </c>
      <c r="K428" t="s">
        <v>74</v>
      </c>
      <c r="L428" t="s">
        <v>74</v>
      </c>
      <c r="M428" t="s">
        <v>78</v>
      </c>
      <c r="N428" t="s">
        <v>79</v>
      </c>
      <c r="O428" t="s">
        <v>74</v>
      </c>
      <c r="P428" t="s">
        <v>74</v>
      </c>
      <c r="Q428" t="s">
        <v>74</v>
      </c>
      <c r="R428" t="s">
        <v>74</v>
      </c>
      <c r="S428" t="s">
        <v>74</v>
      </c>
      <c r="T428" t="s">
        <v>74</v>
      </c>
      <c r="U428" t="s">
        <v>8115</v>
      </c>
      <c r="V428" t="s">
        <v>74</v>
      </c>
      <c r="W428" t="s">
        <v>8116</v>
      </c>
      <c r="X428" t="s">
        <v>725</v>
      </c>
      <c r="Y428" t="s">
        <v>8117</v>
      </c>
      <c r="Z428" t="s">
        <v>8118</v>
      </c>
      <c r="AA428" t="s">
        <v>74</v>
      </c>
      <c r="AB428" t="s">
        <v>74</v>
      </c>
      <c r="AC428" t="s">
        <v>8119</v>
      </c>
      <c r="AD428" t="s">
        <v>573</v>
      </c>
      <c r="AE428" t="s">
        <v>74</v>
      </c>
      <c r="AF428" t="s">
        <v>74</v>
      </c>
      <c r="AG428">
        <v>24</v>
      </c>
      <c r="AH428">
        <v>33</v>
      </c>
      <c r="AI428">
        <v>39</v>
      </c>
      <c r="AJ428">
        <v>2</v>
      </c>
      <c r="AK428">
        <v>14</v>
      </c>
      <c r="AL428" t="s">
        <v>1184</v>
      </c>
      <c r="AM428" t="s">
        <v>1185</v>
      </c>
      <c r="AN428" t="s">
        <v>1186</v>
      </c>
      <c r="AO428" t="s">
        <v>8106</v>
      </c>
      <c r="AP428" t="s">
        <v>8120</v>
      </c>
      <c r="AQ428" t="s">
        <v>74</v>
      </c>
      <c r="AR428" t="s">
        <v>8107</v>
      </c>
      <c r="AS428" t="s">
        <v>8108</v>
      </c>
      <c r="AT428" t="s">
        <v>7132</v>
      </c>
      <c r="AU428">
        <v>2009</v>
      </c>
      <c r="AV428">
        <v>25</v>
      </c>
      <c r="AW428">
        <v>4</v>
      </c>
      <c r="AX428" t="s">
        <v>74</v>
      </c>
      <c r="AY428" t="s">
        <v>74</v>
      </c>
      <c r="AZ428" t="s">
        <v>74</v>
      </c>
      <c r="BA428" t="s">
        <v>74</v>
      </c>
      <c r="BB428">
        <v>964</v>
      </c>
      <c r="BC428">
        <v>969</v>
      </c>
      <c r="BD428" t="s">
        <v>74</v>
      </c>
      <c r="BE428" t="s">
        <v>8121</v>
      </c>
      <c r="BF428" t="str">
        <f>HYPERLINK("http://dx.doi.org/10.1111/j.1748-7692.2009.00301.x","http://dx.doi.org/10.1111/j.1748-7692.2009.00301.x")</f>
        <v>http://dx.doi.org/10.1111/j.1748-7692.2009.00301.x</v>
      </c>
      <c r="BG428" t="s">
        <v>74</v>
      </c>
      <c r="BH428" t="s">
        <v>74</v>
      </c>
      <c r="BI428">
        <v>6</v>
      </c>
      <c r="BJ428" t="s">
        <v>5520</v>
      </c>
      <c r="BK428" t="s">
        <v>98</v>
      </c>
      <c r="BL428" t="s">
        <v>5520</v>
      </c>
      <c r="BM428" t="s">
        <v>8110</v>
      </c>
      <c r="BN428" t="s">
        <v>74</v>
      </c>
      <c r="BO428" t="s">
        <v>74</v>
      </c>
      <c r="BP428" t="s">
        <v>74</v>
      </c>
      <c r="BQ428" t="s">
        <v>74</v>
      </c>
      <c r="BR428" t="s">
        <v>101</v>
      </c>
      <c r="BS428" t="s">
        <v>8122</v>
      </c>
      <c r="BT428" t="str">
        <f>HYPERLINK("https%3A%2F%2Fwww.webofscience.com%2Fwos%2Fwoscc%2Ffull-record%2FWOS:000271046600015","View Full Record in Web of Science")</f>
        <v>View Full Record in Web of Science</v>
      </c>
    </row>
    <row r="429" spans="1:72" x14ac:dyDescent="0.15">
      <c r="A429" t="s">
        <v>72</v>
      </c>
      <c r="B429" t="s">
        <v>8123</v>
      </c>
      <c r="C429" t="s">
        <v>74</v>
      </c>
      <c r="D429" t="s">
        <v>74</v>
      </c>
      <c r="E429" t="s">
        <v>74</v>
      </c>
      <c r="F429" t="s">
        <v>8124</v>
      </c>
      <c r="G429" t="s">
        <v>74</v>
      </c>
      <c r="H429" t="s">
        <v>74</v>
      </c>
      <c r="I429" t="s">
        <v>8125</v>
      </c>
      <c r="J429" t="s">
        <v>2728</v>
      </c>
      <c r="K429" t="s">
        <v>74</v>
      </c>
      <c r="L429" t="s">
        <v>74</v>
      </c>
      <c r="M429" t="s">
        <v>78</v>
      </c>
      <c r="N429" t="s">
        <v>79</v>
      </c>
      <c r="O429" t="s">
        <v>74</v>
      </c>
      <c r="P429" t="s">
        <v>74</v>
      </c>
      <c r="Q429" t="s">
        <v>74</v>
      </c>
      <c r="R429" t="s">
        <v>74</v>
      </c>
      <c r="S429" t="s">
        <v>74</v>
      </c>
      <c r="T429" t="s">
        <v>8126</v>
      </c>
      <c r="U429" t="s">
        <v>8127</v>
      </c>
      <c r="V429" t="s">
        <v>8128</v>
      </c>
      <c r="W429" t="s">
        <v>8129</v>
      </c>
      <c r="X429" t="s">
        <v>8130</v>
      </c>
      <c r="Y429" t="s">
        <v>8131</v>
      </c>
      <c r="Z429" t="s">
        <v>8132</v>
      </c>
      <c r="AA429" t="s">
        <v>8133</v>
      </c>
      <c r="AB429" t="s">
        <v>8134</v>
      </c>
      <c r="AC429" t="s">
        <v>8135</v>
      </c>
      <c r="AD429" t="s">
        <v>8136</v>
      </c>
      <c r="AE429" t="s">
        <v>8137</v>
      </c>
      <c r="AF429" t="s">
        <v>74</v>
      </c>
      <c r="AG429">
        <v>58</v>
      </c>
      <c r="AH429">
        <v>50</v>
      </c>
      <c r="AI429">
        <v>59</v>
      </c>
      <c r="AJ429">
        <v>0</v>
      </c>
      <c r="AK429">
        <v>28</v>
      </c>
      <c r="AL429" t="s">
        <v>305</v>
      </c>
      <c r="AM429" t="s">
        <v>281</v>
      </c>
      <c r="AN429" t="s">
        <v>306</v>
      </c>
      <c r="AO429" t="s">
        <v>2741</v>
      </c>
      <c r="AP429" t="s">
        <v>2742</v>
      </c>
      <c r="AQ429" t="s">
        <v>74</v>
      </c>
      <c r="AR429" t="s">
        <v>2743</v>
      </c>
      <c r="AS429" t="s">
        <v>2744</v>
      </c>
      <c r="AT429" t="s">
        <v>7132</v>
      </c>
      <c r="AU429">
        <v>2009</v>
      </c>
      <c r="AV429">
        <v>73</v>
      </c>
      <c r="AW429" t="s">
        <v>180</v>
      </c>
      <c r="AX429" t="s">
        <v>74</v>
      </c>
      <c r="AY429" t="s">
        <v>74</v>
      </c>
      <c r="AZ429" t="s">
        <v>74</v>
      </c>
      <c r="BA429" t="s">
        <v>74</v>
      </c>
      <c r="BB429">
        <v>14</v>
      </c>
      <c r="BC429">
        <v>25</v>
      </c>
      <c r="BD429" t="s">
        <v>74</v>
      </c>
      <c r="BE429" t="s">
        <v>8138</v>
      </c>
      <c r="BF429" t="str">
        <f>HYPERLINK("http://dx.doi.org/10.1016/j.marmicro.2009.06.005","http://dx.doi.org/10.1016/j.marmicro.2009.06.005")</f>
        <v>http://dx.doi.org/10.1016/j.marmicro.2009.06.005</v>
      </c>
      <c r="BG429" t="s">
        <v>74</v>
      </c>
      <c r="BH429" t="s">
        <v>74</v>
      </c>
      <c r="BI429">
        <v>12</v>
      </c>
      <c r="BJ429" t="s">
        <v>2746</v>
      </c>
      <c r="BK429" t="s">
        <v>98</v>
      </c>
      <c r="BL429" t="s">
        <v>2746</v>
      </c>
      <c r="BM429" t="s">
        <v>8139</v>
      </c>
      <c r="BN429" t="s">
        <v>74</v>
      </c>
      <c r="BO429" t="s">
        <v>8140</v>
      </c>
      <c r="BP429" t="s">
        <v>74</v>
      </c>
      <c r="BQ429" t="s">
        <v>74</v>
      </c>
      <c r="BR429" t="s">
        <v>101</v>
      </c>
      <c r="BS429" t="s">
        <v>8141</v>
      </c>
      <c r="BT429" t="str">
        <f>HYPERLINK("https%3A%2F%2Fwww.webofscience.com%2Fwos%2Fwoscc%2Ffull-record%2FWOS:000271369000002","View Full Record in Web of Science")</f>
        <v>View Full Record in Web of Science</v>
      </c>
    </row>
    <row r="430" spans="1:72" x14ac:dyDescent="0.15">
      <c r="A430" t="s">
        <v>72</v>
      </c>
      <c r="B430" t="s">
        <v>8142</v>
      </c>
      <c r="C430" t="s">
        <v>74</v>
      </c>
      <c r="D430" t="s">
        <v>74</v>
      </c>
      <c r="E430" t="s">
        <v>74</v>
      </c>
      <c r="F430" t="s">
        <v>8143</v>
      </c>
      <c r="G430" t="s">
        <v>74</v>
      </c>
      <c r="H430" t="s">
        <v>74</v>
      </c>
      <c r="I430" t="s">
        <v>8144</v>
      </c>
      <c r="J430" t="s">
        <v>8145</v>
      </c>
      <c r="K430" t="s">
        <v>74</v>
      </c>
      <c r="L430" t="s">
        <v>74</v>
      </c>
      <c r="M430" t="s">
        <v>78</v>
      </c>
      <c r="N430" t="s">
        <v>79</v>
      </c>
      <c r="O430" t="s">
        <v>74</v>
      </c>
      <c r="P430" t="s">
        <v>74</v>
      </c>
      <c r="Q430" t="s">
        <v>74</v>
      </c>
      <c r="R430" t="s">
        <v>74</v>
      </c>
      <c r="S430" t="s">
        <v>74</v>
      </c>
      <c r="T430" t="s">
        <v>8146</v>
      </c>
      <c r="U430" t="s">
        <v>8147</v>
      </c>
      <c r="V430" t="s">
        <v>8148</v>
      </c>
      <c r="W430" t="s">
        <v>8149</v>
      </c>
      <c r="X430" t="s">
        <v>8150</v>
      </c>
      <c r="Y430" t="s">
        <v>8151</v>
      </c>
      <c r="Z430" t="s">
        <v>8152</v>
      </c>
      <c r="AA430" t="s">
        <v>74</v>
      </c>
      <c r="AB430" t="s">
        <v>74</v>
      </c>
      <c r="AC430" t="s">
        <v>8153</v>
      </c>
      <c r="AD430" t="s">
        <v>8154</v>
      </c>
      <c r="AE430" t="s">
        <v>8155</v>
      </c>
      <c r="AF430" t="s">
        <v>74</v>
      </c>
      <c r="AG430">
        <v>37</v>
      </c>
      <c r="AH430">
        <v>40</v>
      </c>
      <c r="AI430">
        <v>46</v>
      </c>
      <c r="AJ430">
        <v>0</v>
      </c>
      <c r="AK430">
        <v>51</v>
      </c>
      <c r="AL430" t="s">
        <v>1894</v>
      </c>
      <c r="AM430" t="s">
        <v>1895</v>
      </c>
      <c r="AN430" t="s">
        <v>1896</v>
      </c>
      <c r="AO430" t="s">
        <v>8156</v>
      </c>
      <c r="AP430" t="s">
        <v>8157</v>
      </c>
      <c r="AQ430" t="s">
        <v>74</v>
      </c>
      <c r="AR430" t="s">
        <v>8158</v>
      </c>
      <c r="AS430" t="s">
        <v>8159</v>
      </c>
      <c r="AT430" t="s">
        <v>7132</v>
      </c>
      <c r="AU430">
        <v>2009</v>
      </c>
      <c r="AV430">
        <v>58</v>
      </c>
      <c r="AW430">
        <v>10</v>
      </c>
      <c r="AX430" t="s">
        <v>74</v>
      </c>
      <c r="AY430" t="s">
        <v>74</v>
      </c>
      <c r="AZ430" t="s">
        <v>74</v>
      </c>
      <c r="BA430" t="s">
        <v>74</v>
      </c>
      <c r="BB430">
        <v>1487</v>
      </c>
      <c r="BC430">
        <v>1495</v>
      </c>
      <c r="BD430" t="s">
        <v>74</v>
      </c>
      <c r="BE430" t="s">
        <v>8160</v>
      </c>
      <c r="BF430" t="str">
        <f>HYPERLINK("http://dx.doi.org/10.1016/j.marpolbul.2009.06.004","http://dx.doi.org/10.1016/j.marpolbul.2009.06.004")</f>
        <v>http://dx.doi.org/10.1016/j.marpolbul.2009.06.004</v>
      </c>
      <c r="BG430" t="s">
        <v>74</v>
      </c>
      <c r="BH430" t="s">
        <v>74</v>
      </c>
      <c r="BI430">
        <v>9</v>
      </c>
      <c r="BJ430" t="s">
        <v>8161</v>
      </c>
      <c r="BK430" t="s">
        <v>98</v>
      </c>
      <c r="BL430" t="s">
        <v>648</v>
      </c>
      <c r="BM430" t="s">
        <v>8162</v>
      </c>
      <c r="BN430">
        <v>19631950</v>
      </c>
      <c r="BO430" t="s">
        <v>74</v>
      </c>
      <c r="BP430" t="s">
        <v>74</v>
      </c>
      <c r="BQ430" t="s">
        <v>74</v>
      </c>
      <c r="BR430" t="s">
        <v>101</v>
      </c>
      <c r="BS430" t="s">
        <v>8163</v>
      </c>
      <c r="BT430" t="str">
        <f>HYPERLINK("https%3A%2F%2Fwww.webofscience.com%2Fwos%2Fwoscc%2Ffull-record%2FWOS:000271370800020","View Full Record in Web of Science")</f>
        <v>View Full Record in Web of Science</v>
      </c>
    </row>
    <row r="431" spans="1:72" x14ac:dyDescent="0.15">
      <c r="A431" t="s">
        <v>72</v>
      </c>
      <c r="B431" t="s">
        <v>8164</v>
      </c>
      <c r="C431" t="s">
        <v>74</v>
      </c>
      <c r="D431" t="s">
        <v>74</v>
      </c>
      <c r="E431" t="s">
        <v>74</v>
      </c>
      <c r="F431" t="s">
        <v>8165</v>
      </c>
      <c r="G431" t="s">
        <v>74</v>
      </c>
      <c r="H431" t="s">
        <v>74</v>
      </c>
      <c r="I431" t="s">
        <v>8166</v>
      </c>
      <c r="J431" t="s">
        <v>8145</v>
      </c>
      <c r="K431" t="s">
        <v>74</v>
      </c>
      <c r="L431" t="s">
        <v>74</v>
      </c>
      <c r="M431" t="s">
        <v>78</v>
      </c>
      <c r="N431" t="s">
        <v>79</v>
      </c>
      <c r="O431" t="s">
        <v>74</v>
      </c>
      <c r="P431" t="s">
        <v>74</v>
      </c>
      <c r="Q431" t="s">
        <v>74</v>
      </c>
      <c r="R431" t="s">
        <v>74</v>
      </c>
      <c r="S431" t="s">
        <v>74</v>
      </c>
      <c r="T431" t="s">
        <v>74</v>
      </c>
      <c r="U431" t="s">
        <v>8167</v>
      </c>
      <c r="V431" t="s">
        <v>74</v>
      </c>
      <c r="W431" t="s">
        <v>8168</v>
      </c>
      <c r="X431" t="s">
        <v>8169</v>
      </c>
      <c r="Y431" t="s">
        <v>8170</v>
      </c>
      <c r="Z431" t="s">
        <v>8171</v>
      </c>
      <c r="AA431" t="s">
        <v>74</v>
      </c>
      <c r="AB431" t="s">
        <v>4752</v>
      </c>
      <c r="AC431" t="s">
        <v>8172</v>
      </c>
      <c r="AD431" t="s">
        <v>170</v>
      </c>
      <c r="AE431" t="s">
        <v>8173</v>
      </c>
      <c r="AF431" t="s">
        <v>74</v>
      </c>
      <c r="AG431">
        <v>48</v>
      </c>
      <c r="AH431">
        <v>25</v>
      </c>
      <c r="AI431">
        <v>27</v>
      </c>
      <c r="AJ431">
        <v>0</v>
      </c>
      <c r="AK431">
        <v>25</v>
      </c>
      <c r="AL431" t="s">
        <v>1894</v>
      </c>
      <c r="AM431" t="s">
        <v>1895</v>
      </c>
      <c r="AN431" t="s">
        <v>1896</v>
      </c>
      <c r="AO431" t="s">
        <v>8156</v>
      </c>
      <c r="AP431" t="s">
        <v>8157</v>
      </c>
      <c r="AQ431" t="s">
        <v>74</v>
      </c>
      <c r="AR431" t="s">
        <v>8158</v>
      </c>
      <c r="AS431" t="s">
        <v>8159</v>
      </c>
      <c r="AT431" t="s">
        <v>7132</v>
      </c>
      <c r="AU431">
        <v>2009</v>
      </c>
      <c r="AV431">
        <v>58</v>
      </c>
      <c r="AW431">
        <v>10</v>
      </c>
      <c r="AX431" t="s">
        <v>74</v>
      </c>
      <c r="AY431" t="s">
        <v>74</v>
      </c>
      <c r="AZ431" t="s">
        <v>74</v>
      </c>
      <c r="BA431" t="s">
        <v>74</v>
      </c>
      <c r="BB431">
        <v>1571</v>
      </c>
      <c r="BC431">
        <v>1577</v>
      </c>
      <c r="BD431" t="s">
        <v>74</v>
      </c>
      <c r="BE431" t="s">
        <v>8174</v>
      </c>
      <c r="BF431" t="str">
        <f>HYPERLINK("http://dx.doi.org/10.1016/j.marpolbul.2009.07.013","http://dx.doi.org/10.1016/j.marpolbul.2009.07.013")</f>
        <v>http://dx.doi.org/10.1016/j.marpolbul.2009.07.013</v>
      </c>
      <c r="BG431" t="s">
        <v>74</v>
      </c>
      <c r="BH431" t="s">
        <v>74</v>
      </c>
      <c r="BI431">
        <v>7</v>
      </c>
      <c r="BJ431" t="s">
        <v>8161</v>
      </c>
      <c r="BK431" t="s">
        <v>98</v>
      </c>
      <c r="BL431" t="s">
        <v>648</v>
      </c>
      <c r="BM431" t="s">
        <v>8162</v>
      </c>
      <c r="BN431">
        <v>19682712</v>
      </c>
      <c r="BO431" t="s">
        <v>74</v>
      </c>
      <c r="BP431" t="s">
        <v>74</v>
      </c>
      <c r="BQ431" t="s">
        <v>74</v>
      </c>
      <c r="BR431" t="s">
        <v>101</v>
      </c>
      <c r="BS431" t="s">
        <v>8175</v>
      </c>
      <c r="BT431" t="str">
        <f>HYPERLINK("https%3A%2F%2Fwww.webofscience.com%2Fwos%2Fwoscc%2Ffull-record%2FWOS:000271370800031","View Full Record in Web of Science")</f>
        <v>View Full Record in Web of Science</v>
      </c>
    </row>
    <row r="432" spans="1:72" x14ac:dyDescent="0.15">
      <c r="A432" t="s">
        <v>72</v>
      </c>
      <c r="B432" t="s">
        <v>8176</v>
      </c>
      <c r="C432" t="s">
        <v>74</v>
      </c>
      <c r="D432" t="s">
        <v>74</v>
      </c>
      <c r="E432" t="s">
        <v>74</v>
      </c>
      <c r="F432" t="s">
        <v>8177</v>
      </c>
      <c r="G432" t="s">
        <v>74</v>
      </c>
      <c r="H432" t="s">
        <v>74</v>
      </c>
      <c r="I432" t="s">
        <v>8178</v>
      </c>
      <c r="J432" t="s">
        <v>8179</v>
      </c>
      <c r="K432" t="s">
        <v>74</v>
      </c>
      <c r="L432" t="s">
        <v>74</v>
      </c>
      <c r="M432" t="s">
        <v>78</v>
      </c>
      <c r="N432" t="s">
        <v>79</v>
      </c>
      <c r="O432" t="s">
        <v>74</v>
      </c>
      <c r="P432" t="s">
        <v>74</v>
      </c>
      <c r="Q432" t="s">
        <v>74</v>
      </c>
      <c r="R432" t="s">
        <v>74</v>
      </c>
      <c r="S432" t="s">
        <v>74</v>
      </c>
      <c r="T432" t="s">
        <v>74</v>
      </c>
      <c r="U432" t="s">
        <v>8180</v>
      </c>
      <c r="V432" t="s">
        <v>8181</v>
      </c>
      <c r="W432" t="s">
        <v>8182</v>
      </c>
      <c r="X432" t="s">
        <v>8183</v>
      </c>
      <c r="Y432" t="s">
        <v>8184</v>
      </c>
      <c r="Z432" t="s">
        <v>74</v>
      </c>
      <c r="AA432" t="s">
        <v>74</v>
      </c>
      <c r="AB432" t="s">
        <v>74</v>
      </c>
      <c r="AC432" t="s">
        <v>74</v>
      </c>
      <c r="AD432" t="s">
        <v>74</v>
      </c>
      <c r="AE432" t="s">
        <v>74</v>
      </c>
      <c r="AF432" t="s">
        <v>74</v>
      </c>
      <c r="AG432">
        <v>117</v>
      </c>
      <c r="AH432">
        <v>3</v>
      </c>
      <c r="AI432">
        <v>3</v>
      </c>
      <c r="AJ432">
        <v>0</v>
      </c>
      <c r="AK432">
        <v>0</v>
      </c>
      <c r="AL432" t="s">
        <v>8185</v>
      </c>
      <c r="AM432" t="s">
        <v>8186</v>
      </c>
      <c r="AN432" t="s">
        <v>8187</v>
      </c>
      <c r="AO432" t="s">
        <v>8188</v>
      </c>
      <c r="AP432" t="s">
        <v>8189</v>
      </c>
      <c r="AQ432" t="s">
        <v>74</v>
      </c>
      <c r="AR432" t="s">
        <v>8190</v>
      </c>
      <c r="AS432" t="s">
        <v>8191</v>
      </c>
      <c r="AT432" t="s">
        <v>7132</v>
      </c>
      <c r="AU432">
        <v>2009</v>
      </c>
      <c r="AV432">
        <v>10</v>
      </c>
      <c r="AW432">
        <v>2</v>
      </c>
      <c r="AX432" t="s">
        <v>74</v>
      </c>
      <c r="AY432" t="s">
        <v>74</v>
      </c>
      <c r="AZ432" t="s">
        <v>74</v>
      </c>
      <c r="BA432" t="s">
        <v>74</v>
      </c>
      <c r="BB432" t="s">
        <v>74</v>
      </c>
      <c r="BC432" t="s">
        <v>74</v>
      </c>
      <c r="BD432" t="s">
        <v>74</v>
      </c>
      <c r="BE432" t="s">
        <v>74</v>
      </c>
      <c r="BF432" t="s">
        <v>74</v>
      </c>
      <c r="BG432" t="s">
        <v>74</v>
      </c>
      <c r="BH432" t="s">
        <v>74</v>
      </c>
      <c r="BI432">
        <v>24</v>
      </c>
      <c r="BJ432" t="s">
        <v>8192</v>
      </c>
      <c r="BK432" t="s">
        <v>1028</v>
      </c>
      <c r="BL432" t="s">
        <v>8193</v>
      </c>
      <c r="BM432" t="s">
        <v>8194</v>
      </c>
      <c r="BN432" t="s">
        <v>74</v>
      </c>
      <c r="BO432" t="s">
        <v>74</v>
      </c>
      <c r="BP432" t="s">
        <v>74</v>
      </c>
      <c r="BQ432" t="s">
        <v>74</v>
      </c>
      <c r="BR432" t="s">
        <v>101</v>
      </c>
      <c r="BS432" t="s">
        <v>8195</v>
      </c>
      <c r="BT432" t="str">
        <f>HYPERLINK("https%3A%2F%2Fwww.webofscience.com%2Fwos%2Fwoscc%2Ffull-record%2FWOS:000213524300010","View Full Record in Web of Science")</f>
        <v>View Full Record in Web of Science</v>
      </c>
    </row>
    <row r="433" spans="1:72" x14ac:dyDescent="0.15">
      <c r="A433" t="s">
        <v>72</v>
      </c>
      <c r="B433" t="s">
        <v>8196</v>
      </c>
      <c r="C433" t="s">
        <v>74</v>
      </c>
      <c r="D433" t="s">
        <v>74</v>
      </c>
      <c r="E433" t="s">
        <v>74</v>
      </c>
      <c r="F433" t="s">
        <v>8197</v>
      </c>
      <c r="G433" t="s">
        <v>74</v>
      </c>
      <c r="H433" t="s">
        <v>74</v>
      </c>
      <c r="I433" t="s">
        <v>8198</v>
      </c>
      <c r="J433" t="s">
        <v>8199</v>
      </c>
      <c r="K433" t="s">
        <v>74</v>
      </c>
      <c r="L433" t="s">
        <v>74</v>
      </c>
      <c r="M433" t="s">
        <v>78</v>
      </c>
      <c r="N433" t="s">
        <v>1965</v>
      </c>
      <c r="O433" t="s">
        <v>8200</v>
      </c>
      <c r="P433" t="s">
        <v>8201</v>
      </c>
      <c r="Q433" t="s">
        <v>8202</v>
      </c>
      <c r="R433" t="s">
        <v>74</v>
      </c>
      <c r="S433" t="s">
        <v>74</v>
      </c>
      <c r="T433" t="s">
        <v>74</v>
      </c>
      <c r="U433" t="s">
        <v>8203</v>
      </c>
      <c r="V433" t="s">
        <v>8204</v>
      </c>
      <c r="W433" t="s">
        <v>8205</v>
      </c>
      <c r="X433" t="s">
        <v>8206</v>
      </c>
      <c r="Y433" t="s">
        <v>8207</v>
      </c>
      <c r="Z433" t="s">
        <v>8208</v>
      </c>
      <c r="AA433" t="s">
        <v>8209</v>
      </c>
      <c r="AB433" t="s">
        <v>8210</v>
      </c>
      <c r="AC433" t="s">
        <v>74</v>
      </c>
      <c r="AD433" t="s">
        <v>74</v>
      </c>
      <c r="AE433" t="s">
        <v>74</v>
      </c>
      <c r="AF433" t="s">
        <v>74</v>
      </c>
      <c r="AG433">
        <v>149</v>
      </c>
      <c r="AH433">
        <v>70</v>
      </c>
      <c r="AI433">
        <v>72</v>
      </c>
      <c r="AJ433">
        <v>0</v>
      </c>
      <c r="AK433">
        <v>23</v>
      </c>
      <c r="AL433" t="s">
        <v>1184</v>
      </c>
      <c r="AM433" t="s">
        <v>1185</v>
      </c>
      <c r="AN433" t="s">
        <v>1186</v>
      </c>
      <c r="AO433" t="s">
        <v>8211</v>
      </c>
      <c r="AP433" t="s">
        <v>8212</v>
      </c>
      <c r="AQ433" t="s">
        <v>74</v>
      </c>
      <c r="AR433" t="s">
        <v>8213</v>
      </c>
      <c r="AS433" t="s">
        <v>8214</v>
      </c>
      <c r="AT433" t="s">
        <v>7132</v>
      </c>
      <c r="AU433">
        <v>2009</v>
      </c>
      <c r="AV433">
        <v>44</v>
      </c>
      <c r="AW433">
        <v>10</v>
      </c>
      <c r="AX433" t="s">
        <v>74</v>
      </c>
      <c r="AY433" t="s">
        <v>74</v>
      </c>
      <c r="AZ433" t="s">
        <v>74</v>
      </c>
      <c r="BA433" t="s">
        <v>74</v>
      </c>
      <c r="BB433">
        <v>1643</v>
      </c>
      <c r="BC433">
        <v>1661</v>
      </c>
      <c r="BD433" t="s">
        <v>74</v>
      </c>
      <c r="BE433" t="s">
        <v>74</v>
      </c>
      <c r="BF433" t="s">
        <v>74</v>
      </c>
      <c r="BG433" t="s">
        <v>74</v>
      </c>
      <c r="BH433" t="s">
        <v>74</v>
      </c>
      <c r="BI433">
        <v>19</v>
      </c>
      <c r="BJ433" t="s">
        <v>261</v>
      </c>
      <c r="BK433" t="s">
        <v>1986</v>
      </c>
      <c r="BL433" t="s">
        <v>261</v>
      </c>
      <c r="BM433" t="s">
        <v>8215</v>
      </c>
      <c r="BN433" t="s">
        <v>74</v>
      </c>
      <c r="BO433" t="s">
        <v>74</v>
      </c>
      <c r="BP433" t="s">
        <v>74</v>
      </c>
      <c r="BQ433" t="s">
        <v>74</v>
      </c>
      <c r="BR433" t="s">
        <v>101</v>
      </c>
      <c r="BS433" t="s">
        <v>8216</v>
      </c>
      <c r="BT433" t="str">
        <f>HYPERLINK("https%3A%2F%2Fwww.webofscience.com%2Fwos%2Fwoscc%2Ffull-record%2FWOS:000273124800016","View Full Record in Web of Science")</f>
        <v>View Full Record in Web of Science</v>
      </c>
    </row>
    <row r="434" spans="1:72" x14ac:dyDescent="0.15">
      <c r="A434" t="s">
        <v>72</v>
      </c>
      <c r="B434" t="s">
        <v>8217</v>
      </c>
      <c r="C434" t="s">
        <v>74</v>
      </c>
      <c r="D434" t="s">
        <v>74</v>
      </c>
      <c r="E434" t="s">
        <v>74</v>
      </c>
      <c r="F434" t="s">
        <v>8218</v>
      </c>
      <c r="G434" t="s">
        <v>74</v>
      </c>
      <c r="H434" t="s">
        <v>74</v>
      </c>
      <c r="I434" t="s">
        <v>8219</v>
      </c>
      <c r="J434" t="s">
        <v>8220</v>
      </c>
      <c r="K434" t="s">
        <v>74</v>
      </c>
      <c r="L434" t="s">
        <v>74</v>
      </c>
      <c r="M434" t="s">
        <v>78</v>
      </c>
      <c r="N434" t="s">
        <v>79</v>
      </c>
      <c r="O434" t="s">
        <v>74</v>
      </c>
      <c r="P434" t="s">
        <v>74</v>
      </c>
      <c r="Q434" t="s">
        <v>74</v>
      </c>
      <c r="R434" t="s">
        <v>74</v>
      </c>
      <c r="S434" t="s">
        <v>74</v>
      </c>
      <c r="T434" t="s">
        <v>8221</v>
      </c>
      <c r="U434" t="s">
        <v>8222</v>
      </c>
      <c r="V434" t="s">
        <v>8223</v>
      </c>
      <c r="W434" t="s">
        <v>8224</v>
      </c>
      <c r="X434" t="s">
        <v>8225</v>
      </c>
      <c r="Y434" t="s">
        <v>8226</v>
      </c>
      <c r="Z434" t="s">
        <v>8227</v>
      </c>
      <c r="AA434" t="s">
        <v>74</v>
      </c>
      <c r="AB434" t="s">
        <v>74</v>
      </c>
      <c r="AC434" t="s">
        <v>8228</v>
      </c>
      <c r="AD434" t="s">
        <v>8229</v>
      </c>
      <c r="AE434" t="s">
        <v>8230</v>
      </c>
      <c r="AF434" t="s">
        <v>74</v>
      </c>
      <c r="AG434">
        <v>41</v>
      </c>
      <c r="AH434">
        <v>26</v>
      </c>
      <c r="AI434">
        <v>30</v>
      </c>
      <c r="AJ434">
        <v>0</v>
      </c>
      <c r="AK434">
        <v>6</v>
      </c>
      <c r="AL434" t="s">
        <v>2171</v>
      </c>
      <c r="AM434" t="s">
        <v>1895</v>
      </c>
      <c r="AN434" t="s">
        <v>2172</v>
      </c>
      <c r="AO434" t="s">
        <v>8231</v>
      </c>
      <c r="AP434" t="s">
        <v>8232</v>
      </c>
      <c r="AQ434" t="s">
        <v>74</v>
      </c>
      <c r="AR434" t="s">
        <v>8233</v>
      </c>
      <c r="AS434" t="s">
        <v>8234</v>
      </c>
      <c r="AT434" t="s">
        <v>7132</v>
      </c>
      <c r="AU434">
        <v>2009</v>
      </c>
      <c r="AV434">
        <v>26</v>
      </c>
      <c r="AW434">
        <v>10</v>
      </c>
      <c r="AX434" t="s">
        <v>74</v>
      </c>
      <c r="AY434" t="s">
        <v>74</v>
      </c>
      <c r="AZ434" t="s">
        <v>74</v>
      </c>
      <c r="BA434" t="s">
        <v>74</v>
      </c>
      <c r="BB434">
        <v>2217</v>
      </c>
      <c r="BC434">
        <v>2227</v>
      </c>
      <c r="BD434" t="s">
        <v>74</v>
      </c>
      <c r="BE434" t="s">
        <v>8235</v>
      </c>
      <c r="BF434" t="str">
        <f>HYPERLINK("http://dx.doi.org/10.1093/molbev/msp140","http://dx.doi.org/10.1093/molbev/msp140")</f>
        <v>http://dx.doi.org/10.1093/molbev/msp140</v>
      </c>
      <c r="BG434" t="s">
        <v>74</v>
      </c>
      <c r="BH434" t="s">
        <v>74</v>
      </c>
      <c r="BI434">
        <v>11</v>
      </c>
      <c r="BJ434" t="s">
        <v>8236</v>
      </c>
      <c r="BK434" t="s">
        <v>98</v>
      </c>
      <c r="BL434" t="s">
        <v>8236</v>
      </c>
      <c r="BM434" t="s">
        <v>8237</v>
      </c>
      <c r="BN434">
        <v>19592668</v>
      </c>
      <c r="BO434" t="s">
        <v>467</v>
      </c>
      <c r="BP434" t="s">
        <v>74</v>
      </c>
      <c r="BQ434" t="s">
        <v>74</v>
      </c>
      <c r="BR434" t="s">
        <v>101</v>
      </c>
      <c r="BS434" t="s">
        <v>8238</v>
      </c>
      <c r="BT434" t="str">
        <f>HYPERLINK("https%3A%2F%2Fwww.webofscience.com%2Fwos%2Fwoscc%2Ffull-record%2FWOS:000270268900008","View Full Record in Web of Science")</f>
        <v>View Full Record in Web of Science</v>
      </c>
    </row>
    <row r="435" spans="1:72" x14ac:dyDescent="0.15">
      <c r="A435" t="s">
        <v>72</v>
      </c>
      <c r="B435" t="s">
        <v>8239</v>
      </c>
      <c r="C435" t="s">
        <v>74</v>
      </c>
      <c r="D435" t="s">
        <v>74</v>
      </c>
      <c r="E435" t="s">
        <v>74</v>
      </c>
      <c r="F435" t="s">
        <v>8240</v>
      </c>
      <c r="G435" t="s">
        <v>74</v>
      </c>
      <c r="H435" t="s">
        <v>74</v>
      </c>
      <c r="I435" t="s">
        <v>8241</v>
      </c>
      <c r="J435" t="s">
        <v>8242</v>
      </c>
      <c r="K435" t="s">
        <v>74</v>
      </c>
      <c r="L435" t="s">
        <v>74</v>
      </c>
      <c r="M435" t="s">
        <v>78</v>
      </c>
      <c r="N435" t="s">
        <v>79</v>
      </c>
      <c r="O435" t="s">
        <v>74</v>
      </c>
      <c r="P435" t="s">
        <v>74</v>
      </c>
      <c r="Q435" t="s">
        <v>74</v>
      </c>
      <c r="R435" t="s">
        <v>74</v>
      </c>
      <c r="S435" t="s">
        <v>74</v>
      </c>
      <c r="T435" t="s">
        <v>8243</v>
      </c>
      <c r="U435" t="s">
        <v>74</v>
      </c>
      <c r="V435" t="s">
        <v>8244</v>
      </c>
      <c r="W435" t="s">
        <v>8245</v>
      </c>
      <c r="X435" t="s">
        <v>8246</v>
      </c>
      <c r="Y435" t="s">
        <v>8247</v>
      </c>
      <c r="Z435" t="s">
        <v>8248</v>
      </c>
      <c r="AA435" t="s">
        <v>74</v>
      </c>
      <c r="AB435" t="s">
        <v>74</v>
      </c>
      <c r="AC435" t="s">
        <v>8249</v>
      </c>
      <c r="AD435" t="s">
        <v>2800</v>
      </c>
      <c r="AE435" t="s">
        <v>8250</v>
      </c>
      <c r="AF435" t="s">
        <v>74</v>
      </c>
      <c r="AG435">
        <v>11</v>
      </c>
      <c r="AH435">
        <v>0</v>
      </c>
      <c r="AI435">
        <v>0</v>
      </c>
      <c r="AJ435">
        <v>0</v>
      </c>
      <c r="AK435">
        <v>0</v>
      </c>
      <c r="AL435" t="s">
        <v>1019</v>
      </c>
      <c r="AM435" t="s">
        <v>1020</v>
      </c>
      <c r="AN435" t="s">
        <v>1021</v>
      </c>
      <c r="AO435" t="s">
        <v>8251</v>
      </c>
      <c r="AP435" t="s">
        <v>8252</v>
      </c>
      <c r="AQ435" t="s">
        <v>74</v>
      </c>
      <c r="AR435" t="s">
        <v>8253</v>
      </c>
      <c r="AS435" t="s">
        <v>8254</v>
      </c>
      <c r="AT435" t="s">
        <v>7132</v>
      </c>
      <c r="AU435">
        <v>2009</v>
      </c>
      <c r="AV435">
        <v>64</v>
      </c>
      <c r="AW435">
        <v>5</v>
      </c>
      <c r="AX435" t="s">
        <v>74</v>
      </c>
      <c r="AY435" t="s">
        <v>74</v>
      </c>
      <c r="AZ435" t="s">
        <v>74</v>
      </c>
      <c r="BA435" t="s">
        <v>74</v>
      </c>
      <c r="BB435">
        <v>306</v>
      </c>
      <c r="BC435">
        <v>317</v>
      </c>
      <c r="BD435" t="s">
        <v>74</v>
      </c>
      <c r="BE435" t="s">
        <v>8255</v>
      </c>
      <c r="BF435" t="str">
        <f>HYPERLINK("http://dx.doi.org/10.3103/S0145875209050056","http://dx.doi.org/10.3103/S0145875209050056")</f>
        <v>http://dx.doi.org/10.3103/S0145875209050056</v>
      </c>
      <c r="BG435" t="s">
        <v>74</v>
      </c>
      <c r="BH435" t="s">
        <v>74</v>
      </c>
      <c r="BI435">
        <v>12</v>
      </c>
      <c r="BJ435" t="s">
        <v>465</v>
      </c>
      <c r="BK435" t="s">
        <v>1028</v>
      </c>
      <c r="BL435" t="s">
        <v>465</v>
      </c>
      <c r="BM435" t="s">
        <v>8256</v>
      </c>
      <c r="BN435" t="s">
        <v>74</v>
      </c>
      <c r="BO435" t="s">
        <v>74</v>
      </c>
      <c r="BP435" t="s">
        <v>74</v>
      </c>
      <c r="BQ435" t="s">
        <v>74</v>
      </c>
      <c r="BR435" t="s">
        <v>101</v>
      </c>
      <c r="BS435" t="s">
        <v>8257</v>
      </c>
      <c r="BT435" t="str">
        <f>HYPERLINK("https%3A%2F%2Fwww.webofscience.com%2Fwos%2Fwoscc%2Ffull-record%2FWOS:000217930200005","View Full Record in Web of Science")</f>
        <v>View Full Record in Web of Science</v>
      </c>
    </row>
    <row r="436" spans="1:72" x14ac:dyDescent="0.15">
      <c r="A436" t="s">
        <v>72</v>
      </c>
      <c r="B436" t="s">
        <v>8258</v>
      </c>
      <c r="C436" t="s">
        <v>74</v>
      </c>
      <c r="D436" t="s">
        <v>74</v>
      </c>
      <c r="E436" t="s">
        <v>74</v>
      </c>
      <c r="F436" t="s">
        <v>8259</v>
      </c>
      <c r="G436" t="s">
        <v>74</v>
      </c>
      <c r="H436" t="s">
        <v>74</v>
      </c>
      <c r="I436" t="s">
        <v>8260</v>
      </c>
      <c r="J436" t="s">
        <v>2860</v>
      </c>
      <c r="K436" t="s">
        <v>74</v>
      </c>
      <c r="L436" t="s">
        <v>74</v>
      </c>
      <c r="M436" t="s">
        <v>78</v>
      </c>
      <c r="N436" t="s">
        <v>8261</v>
      </c>
      <c r="O436" t="s">
        <v>74</v>
      </c>
      <c r="P436" t="s">
        <v>74</v>
      </c>
      <c r="Q436" t="s">
        <v>74</v>
      </c>
      <c r="R436" t="s">
        <v>74</v>
      </c>
      <c r="S436" t="s">
        <v>74</v>
      </c>
      <c r="T436" t="s">
        <v>74</v>
      </c>
      <c r="U436" t="s">
        <v>8262</v>
      </c>
      <c r="V436" t="s">
        <v>74</v>
      </c>
      <c r="W436" t="s">
        <v>8263</v>
      </c>
      <c r="X436" t="s">
        <v>8264</v>
      </c>
      <c r="Y436" t="s">
        <v>8265</v>
      </c>
      <c r="Z436" t="s">
        <v>8266</v>
      </c>
      <c r="AA436" t="s">
        <v>74</v>
      </c>
      <c r="AB436" t="s">
        <v>6308</v>
      </c>
      <c r="AC436" t="s">
        <v>74</v>
      </c>
      <c r="AD436" t="s">
        <v>74</v>
      </c>
      <c r="AE436" t="s">
        <v>74</v>
      </c>
      <c r="AF436" t="s">
        <v>74</v>
      </c>
      <c r="AG436">
        <v>12</v>
      </c>
      <c r="AH436">
        <v>0</v>
      </c>
      <c r="AI436">
        <v>0</v>
      </c>
      <c r="AJ436">
        <v>0</v>
      </c>
      <c r="AK436">
        <v>2</v>
      </c>
      <c r="AL436" t="s">
        <v>2890</v>
      </c>
      <c r="AM436" t="s">
        <v>684</v>
      </c>
      <c r="AN436" t="s">
        <v>2891</v>
      </c>
      <c r="AO436" t="s">
        <v>2870</v>
      </c>
      <c r="AP436" t="s">
        <v>2871</v>
      </c>
      <c r="AQ436" t="s">
        <v>74</v>
      </c>
      <c r="AR436" t="s">
        <v>2872</v>
      </c>
      <c r="AS436" t="s">
        <v>2873</v>
      </c>
      <c r="AT436" t="s">
        <v>7132</v>
      </c>
      <c r="AU436">
        <v>2009</v>
      </c>
      <c r="AV436">
        <v>2</v>
      </c>
      <c r="AW436">
        <v>10</v>
      </c>
      <c r="AX436" t="s">
        <v>74</v>
      </c>
      <c r="AY436" t="s">
        <v>74</v>
      </c>
      <c r="AZ436" t="s">
        <v>74</v>
      </c>
      <c r="BA436" t="s">
        <v>74</v>
      </c>
      <c r="BB436">
        <v>671</v>
      </c>
      <c r="BC436">
        <v>672</v>
      </c>
      <c r="BD436" t="s">
        <v>74</v>
      </c>
      <c r="BE436" t="s">
        <v>8267</v>
      </c>
      <c r="BF436" t="str">
        <f>HYPERLINK("http://dx.doi.org/10.1038/ngeo644","http://dx.doi.org/10.1038/ngeo644")</f>
        <v>http://dx.doi.org/10.1038/ngeo644</v>
      </c>
      <c r="BG436" t="s">
        <v>74</v>
      </c>
      <c r="BH436" t="s">
        <v>74</v>
      </c>
      <c r="BI436">
        <v>2</v>
      </c>
      <c r="BJ436" t="s">
        <v>464</v>
      </c>
      <c r="BK436" t="s">
        <v>98</v>
      </c>
      <c r="BL436" t="s">
        <v>465</v>
      </c>
      <c r="BM436" t="s">
        <v>8268</v>
      </c>
      <c r="BN436" t="s">
        <v>74</v>
      </c>
      <c r="BO436" t="s">
        <v>74</v>
      </c>
      <c r="BP436" t="s">
        <v>74</v>
      </c>
      <c r="BQ436" t="s">
        <v>74</v>
      </c>
      <c r="BR436" t="s">
        <v>101</v>
      </c>
      <c r="BS436" t="s">
        <v>8269</v>
      </c>
      <c r="BT436" t="str">
        <f>HYPERLINK("https%3A%2F%2Fwww.webofscience.com%2Fwos%2Fwoscc%2Ffull-record%2FWOS:000270355000004","View Full Record in Web of Science")</f>
        <v>View Full Record in Web of Science</v>
      </c>
    </row>
    <row r="437" spans="1:72" x14ac:dyDescent="0.15">
      <c r="A437" t="s">
        <v>72</v>
      </c>
      <c r="B437" t="s">
        <v>8270</v>
      </c>
      <c r="C437" t="s">
        <v>74</v>
      </c>
      <c r="D437" t="s">
        <v>74</v>
      </c>
      <c r="E437" t="s">
        <v>74</v>
      </c>
      <c r="F437" t="s">
        <v>8271</v>
      </c>
      <c r="G437" t="s">
        <v>74</v>
      </c>
      <c r="H437" t="s">
        <v>74</v>
      </c>
      <c r="I437" t="s">
        <v>8272</v>
      </c>
      <c r="J437" t="s">
        <v>2860</v>
      </c>
      <c r="K437" t="s">
        <v>74</v>
      </c>
      <c r="L437" t="s">
        <v>74</v>
      </c>
      <c r="M437" t="s">
        <v>78</v>
      </c>
      <c r="N437" t="s">
        <v>79</v>
      </c>
      <c r="O437" t="s">
        <v>74</v>
      </c>
      <c r="P437" t="s">
        <v>74</v>
      </c>
      <c r="Q437" t="s">
        <v>74</v>
      </c>
      <c r="R437" t="s">
        <v>74</v>
      </c>
      <c r="S437" t="s">
        <v>74</v>
      </c>
      <c r="T437" t="s">
        <v>74</v>
      </c>
      <c r="U437" t="s">
        <v>8273</v>
      </c>
      <c r="V437" t="s">
        <v>8274</v>
      </c>
      <c r="W437" t="s">
        <v>8275</v>
      </c>
      <c r="X437" t="s">
        <v>4558</v>
      </c>
      <c r="Y437" t="s">
        <v>8276</v>
      </c>
      <c r="Z437" t="s">
        <v>8277</v>
      </c>
      <c r="AA437" t="s">
        <v>8278</v>
      </c>
      <c r="AB437" t="s">
        <v>8279</v>
      </c>
      <c r="AC437" t="s">
        <v>8280</v>
      </c>
      <c r="AD437" t="s">
        <v>8280</v>
      </c>
      <c r="AE437" t="s">
        <v>8281</v>
      </c>
      <c r="AF437" t="s">
        <v>74</v>
      </c>
      <c r="AG437">
        <v>30</v>
      </c>
      <c r="AH437">
        <v>216</v>
      </c>
      <c r="AI437">
        <v>235</v>
      </c>
      <c r="AJ437">
        <v>1</v>
      </c>
      <c r="AK437">
        <v>68</v>
      </c>
      <c r="AL437" t="s">
        <v>2890</v>
      </c>
      <c r="AM437" t="s">
        <v>684</v>
      </c>
      <c r="AN437" t="s">
        <v>2891</v>
      </c>
      <c r="AO437" t="s">
        <v>2870</v>
      </c>
      <c r="AP437" t="s">
        <v>2871</v>
      </c>
      <c r="AQ437" t="s">
        <v>74</v>
      </c>
      <c r="AR437" t="s">
        <v>2872</v>
      </c>
      <c r="AS437" t="s">
        <v>2873</v>
      </c>
      <c r="AT437" t="s">
        <v>7132</v>
      </c>
      <c r="AU437">
        <v>2009</v>
      </c>
      <c r="AV437">
        <v>2</v>
      </c>
      <c r="AW437">
        <v>10</v>
      </c>
      <c r="AX437" t="s">
        <v>74</v>
      </c>
      <c r="AY437" t="s">
        <v>74</v>
      </c>
      <c r="AZ437" t="s">
        <v>74</v>
      </c>
      <c r="BA437" t="s">
        <v>74</v>
      </c>
      <c r="BB437">
        <v>687</v>
      </c>
      <c r="BC437">
        <v>691</v>
      </c>
      <c r="BD437" t="s">
        <v>74</v>
      </c>
      <c r="BE437" t="s">
        <v>8282</v>
      </c>
      <c r="BF437" t="str">
        <f>HYPERLINK("http://dx.doi.org/10.1038/NGEO604","http://dx.doi.org/10.1038/NGEO604")</f>
        <v>http://dx.doi.org/10.1038/NGEO604</v>
      </c>
      <c r="BG437" t="s">
        <v>74</v>
      </c>
      <c r="BH437" t="s">
        <v>74</v>
      </c>
      <c r="BI437">
        <v>5</v>
      </c>
      <c r="BJ437" t="s">
        <v>464</v>
      </c>
      <c r="BK437" t="s">
        <v>98</v>
      </c>
      <c r="BL437" t="s">
        <v>465</v>
      </c>
      <c r="BM437" t="s">
        <v>8268</v>
      </c>
      <c r="BN437" t="s">
        <v>74</v>
      </c>
      <c r="BO437" t="s">
        <v>74</v>
      </c>
      <c r="BP437" t="s">
        <v>74</v>
      </c>
      <c r="BQ437" t="s">
        <v>74</v>
      </c>
      <c r="BR437" t="s">
        <v>101</v>
      </c>
      <c r="BS437" t="s">
        <v>8283</v>
      </c>
      <c r="BT437" t="str">
        <f>HYPERLINK("https%3A%2F%2Fwww.webofscience.com%2Fwos%2Fwoscc%2Ffull-record%2FWOS:000270355000012","View Full Record in Web of Science")</f>
        <v>View Full Record in Web of Science</v>
      </c>
    </row>
    <row r="438" spans="1:72" x14ac:dyDescent="0.15">
      <c r="A438" t="s">
        <v>72</v>
      </c>
      <c r="B438" t="s">
        <v>8284</v>
      </c>
      <c r="C438" t="s">
        <v>74</v>
      </c>
      <c r="D438" t="s">
        <v>74</v>
      </c>
      <c r="E438" t="s">
        <v>74</v>
      </c>
      <c r="F438" t="s">
        <v>8285</v>
      </c>
      <c r="G438" t="s">
        <v>74</v>
      </c>
      <c r="H438" t="s">
        <v>74</v>
      </c>
      <c r="I438" t="s">
        <v>8286</v>
      </c>
      <c r="J438" t="s">
        <v>8287</v>
      </c>
      <c r="K438" t="s">
        <v>74</v>
      </c>
      <c r="L438" t="s">
        <v>74</v>
      </c>
      <c r="M438" t="s">
        <v>78</v>
      </c>
      <c r="N438" t="s">
        <v>79</v>
      </c>
      <c r="O438" t="s">
        <v>74</v>
      </c>
      <c r="P438" t="s">
        <v>74</v>
      </c>
      <c r="Q438" t="s">
        <v>74</v>
      </c>
      <c r="R438" t="s">
        <v>74</v>
      </c>
      <c r="S438" t="s">
        <v>74</v>
      </c>
      <c r="T438" t="s">
        <v>74</v>
      </c>
      <c r="U438" t="s">
        <v>8288</v>
      </c>
      <c r="V438" t="s">
        <v>8289</v>
      </c>
      <c r="W438" t="s">
        <v>8290</v>
      </c>
      <c r="X438" t="s">
        <v>8291</v>
      </c>
      <c r="Y438" t="s">
        <v>8292</v>
      </c>
      <c r="Z438" t="s">
        <v>8293</v>
      </c>
      <c r="AA438" t="s">
        <v>8294</v>
      </c>
      <c r="AB438" t="s">
        <v>8295</v>
      </c>
      <c r="AC438" t="s">
        <v>8296</v>
      </c>
      <c r="AD438" t="s">
        <v>8297</v>
      </c>
      <c r="AE438" t="s">
        <v>8298</v>
      </c>
      <c r="AF438" t="s">
        <v>74</v>
      </c>
      <c r="AG438">
        <v>24</v>
      </c>
      <c r="AH438">
        <v>10</v>
      </c>
      <c r="AI438">
        <v>10</v>
      </c>
      <c r="AJ438">
        <v>0</v>
      </c>
      <c r="AK438">
        <v>5</v>
      </c>
      <c r="AL438" t="s">
        <v>1931</v>
      </c>
      <c r="AM438" t="s">
        <v>684</v>
      </c>
      <c r="AN438" t="s">
        <v>1932</v>
      </c>
      <c r="AO438" t="s">
        <v>8299</v>
      </c>
      <c r="AP438" t="s">
        <v>8300</v>
      </c>
      <c r="AQ438" t="s">
        <v>74</v>
      </c>
      <c r="AR438" t="s">
        <v>8301</v>
      </c>
      <c r="AS438" t="s">
        <v>8302</v>
      </c>
      <c r="AT438" t="s">
        <v>7132</v>
      </c>
      <c r="AU438">
        <v>2009</v>
      </c>
      <c r="AV438">
        <v>49</v>
      </c>
      <c r="AW438">
        <v>5</v>
      </c>
      <c r="AX438" t="s">
        <v>74</v>
      </c>
      <c r="AY438" t="s">
        <v>74</v>
      </c>
      <c r="AZ438" t="s">
        <v>74</v>
      </c>
      <c r="BA438" t="s">
        <v>74</v>
      </c>
      <c r="BB438">
        <v>607</v>
      </c>
      <c r="BC438">
        <v>621</v>
      </c>
      <c r="BD438" t="s">
        <v>74</v>
      </c>
      <c r="BE438" t="s">
        <v>8303</v>
      </c>
      <c r="BF438" t="str">
        <f>HYPERLINK("http://dx.doi.org/10.1134/S0001437009050026","http://dx.doi.org/10.1134/S0001437009050026")</f>
        <v>http://dx.doi.org/10.1134/S0001437009050026</v>
      </c>
      <c r="BG438" t="s">
        <v>74</v>
      </c>
      <c r="BH438" t="s">
        <v>74</v>
      </c>
      <c r="BI438">
        <v>15</v>
      </c>
      <c r="BJ438" t="s">
        <v>806</v>
      </c>
      <c r="BK438" t="s">
        <v>98</v>
      </c>
      <c r="BL438" t="s">
        <v>806</v>
      </c>
      <c r="BM438" t="s">
        <v>8304</v>
      </c>
      <c r="BN438" t="s">
        <v>74</v>
      </c>
      <c r="BO438" t="s">
        <v>1119</v>
      </c>
      <c r="BP438" t="s">
        <v>74</v>
      </c>
      <c r="BQ438" t="s">
        <v>74</v>
      </c>
      <c r="BR438" t="s">
        <v>101</v>
      </c>
      <c r="BS438" t="s">
        <v>8305</v>
      </c>
      <c r="BT438" t="str">
        <f>HYPERLINK("https%3A%2F%2Fwww.webofscience.com%2Fwos%2Fwoscc%2Ffull-record%2FWOS:000271549500002","View Full Record in Web of Science")</f>
        <v>View Full Record in Web of Science</v>
      </c>
    </row>
    <row r="439" spans="1:72" x14ac:dyDescent="0.15">
      <c r="A439" t="s">
        <v>72</v>
      </c>
      <c r="B439" t="s">
        <v>8306</v>
      </c>
      <c r="C439" t="s">
        <v>74</v>
      </c>
      <c r="D439" t="s">
        <v>74</v>
      </c>
      <c r="E439" t="s">
        <v>74</v>
      </c>
      <c r="F439" t="s">
        <v>8307</v>
      </c>
      <c r="G439" t="s">
        <v>74</v>
      </c>
      <c r="H439" t="s">
        <v>74</v>
      </c>
      <c r="I439" t="s">
        <v>8308</v>
      </c>
      <c r="J439" t="s">
        <v>3098</v>
      </c>
      <c r="K439" t="s">
        <v>74</v>
      </c>
      <c r="L439" t="s">
        <v>74</v>
      </c>
      <c r="M439" t="s">
        <v>78</v>
      </c>
      <c r="N439" t="s">
        <v>297</v>
      </c>
      <c r="O439" t="s">
        <v>74</v>
      </c>
      <c r="P439" t="s">
        <v>74</v>
      </c>
      <c r="Q439" t="s">
        <v>74</v>
      </c>
      <c r="R439" t="s">
        <v>74</v>
      </c>
      <c r="S439" t="s">
        <v>74</v>
      </c>
      <c r="T439" t="s">
        <v>8309</v>
      </c>
      <c r="U439" t="s">
        <v>8310</v>
      </c>
      <c r="V439" t="s">
        <v>8311</v>
      </c>
      <c r="W439" t="s">
        <v>8312</v>
      </c>
      <c r="X439" t="s">
        <v>8313</v>
      </c>
      <c r="Y439" t="s">
        <v>8314</v>
      </c>
      <c r="Z439" t="s">
        <v>8315</v>
      </c>
      <c r="AA439" t="s">
        <v>74</v>
      </c>
      <c r="AB439" t="s">
        <v>74</v>
      </c>
      <c r="AC439" t="s">
        <v>74</v>
      </c>
      <c r="AD439" t="s">
        <v>74</v>
      </c>
      <c r="AE439" t="s">
        <v>74</v>
      </c>
      <c r="AF439" t="s">
        <v>74</v>
      </c>
      <c r="AG439">
        <v>24</v>
      </c>
      <c r="AH439">
        <v>8</v>
      </c>
      <c r="AI439">
        <v>8</v>
      </c>
      <c r="AJ439">
        <v>0</v>
      </c>
      <c r="AK439">
        <v>6</v>
      </c>
      <c r="AL439" t="s">
        <v>1850</v>
      </c>
      <c r="AM439" t="s">
        <v>684</v>
      </c>
      <c r="AN439" t="s">
        <v>2272</v>
      </c>
      <c r="AO439" t="s">
        <v>3109</v>
      </c>
      <c r="AP439" t="s">
        <v>3110</v>
      </c>
      <c r="AQ439" t="s">
        <v>74</v>
      </c>
      <c r="AR439" t="s">
        <v>3111</v>
      </c>
      <c r="AS439" t="s">
        <v>3112</v>
      </c>
      <c r="AT439" t="s">
        <v>7132</v>
      </c>
      <c r="AU439">
        <v>2009</v>
      </c>
      <c r="AV439">
        <v>32</v>
      </c>
      <c r="AW439">
        <v>10</v>
      </c>
      <c r="AX439" t="s">
        <v>74</v>
      </c>
      <c r="AY439" t="s">
        <v>74</v>
      </c>
      <c r="AZ439" t="s">
        <v>74</v>
      </c>
      <c r="BA439" t="s">
        <v>74</v>
      </c>
      <c r="BB439">
        <v>1407</v>
      </c>
      <c r="BC439">
        <v>1413</v>
      </c>
      <c r="BD439" t="s">
        <v>74</v>
      </c>
      <c r="BE439" t="s">
        <v>8316</v>
      </c>
      <c r="BF439" t="str">
        <f>HYPERLINK("http://dx.doi.org/10.1007/s00300-009-0651-0","http://dx.doi.org/10.1007/s00300-009-0651-0")</f>
        <v>http://dx.doi.org/10.1007/s00300-009-0651-0</v>
      </c>
      <c r="BG439" t="s">
        <v>74</v>
      </c>
      <c r="BH439" t="s">
        <v>74</v>
      </c>
      <c r="BI439">
        <v>7</v>
      </c>
      <c r="BJ439" t="s">
        <v>3114</v>
      </c>
      <c r="BK439" t="s">
        <v>98</v>
      </c>
      <c r="BL439" t="s">
        <v>3115</v>
      </c>
      <c r="BM439" t="s">
        <v>8317</v>
      </c>
      <c r="BN439" t="s">
        <v>74</v>
      </c>
      <c r="BO439" t="s">
        <v>74</v>
      </c>
      <c r="BP439" t="s">
        <v>74</v>
      </c>
      <c r="BQ439" t="s">
        <v>74</v>
      </c>
      <c r="BR439" t="s">
        <v>101</v>
      </c>
      <c r="BS439" t="s">
        <v>8318</v>
      </c>
      <c r="BT439" t="str">
        <f>HYPERLINK("https%3A%2F%2Fwww.webofscience.com%2Fwos%2Fwoscc%2Ffull-record%2FWOS:000270187100002","View Full Record in Web of Science")</f>
        <v>View Full Record in Web of Science</v>
      </c>
    </row>
    <row r="440" spans="1:72" x14ac:dyDescent="0.15">
      <c r="A440" t="s">
        <v>72</v>
      </c>
      <c r="B440" t="s">
        <v>8319</v>
      </c>
      <c r="C440" t="s">
        <v>74</v>
      </c>
      <c r="D440" t="s">
        <v>74</v>
      </c>
      <c r="E440" t="s">
        <v>74</v>
      </c>
      <c r="F440" t="s">
        <v>8320</v>
      </c>
      <c r="G440" t="s">
        <v>74</v>
      </c>
      <c r="H440" t="s">
        <v>74</v>
      </c>
      <c r="I440" t="s">
        <v>8321</v>
      </c>
      <c r="J440" t="s">
        <v>3098</v>
      </c>
      <c r="K440" t="s">
        <v>74</v>
      </c>
      <c r="L440" t="s">
        <v>74</v>
      </c>
      <c r="M440" t="s">
        <v>78</v>
      </c>
      <c r="N440" t="s">
        <v>79</v>
      </c>
      <c r="O440" t="s">
        <v>74</v>
      </c>
      <c r="P440" t="s">
        <v>74</v>
      </c>
      <c r="Q440" t="s">
        <v>74</v>
      </c>
      <c r="R440" t="s">
        <v>74</v>
      </c>
      <c r="S440" t="s">
        <v>74</v>
      </c>
      <c r="T440" t="s">
        <v>8322</v>
      </c>
      <c r="U440" t="s">
        <v>8323</v>
      </c>
      <c r="V440" t="s">
        <v>8324</v>
      </c>
      <c r="W440" t="s">
        <v>8325</v>
      </c>
      <c r="X440" t="s">
        <v>8326</v>
      </c>
      <c r="Y440" t="s">
        <v>8327</v>
      </c>
      <c r="Z440" t="s">
        <v>8328</v>
      </c>
      <c r="AA440" t="s">
        <v>74</v>
      </c>
      <c r="AB440" t="s">
        <v>8329</v>
      </c>
      <c r="AC440" t="s">
        <v>8330</v>
      </c>
      <c r="AD440" t="s">
        <v>8331</v>
      </c>
      <c r="AE440" t="s">
        <v>8332</v>
      </c>
      <c r="AF440" t="s">
        <v>74</v>
      </c>
      <c r="AG440">
        <v>45</v>
      </c>
      <c r="AH440">
        <v>44</v>
      </c>
      <c r="AI440">
        <v>44</v>
      </c>
      <c r="AJ440">
        <v>0</v>
      </c>
      <c r="AK440">
        <v>11</v>
      </c>
      <c r="AL440" t="s">
        <v>1850</v>
      </c>
      <c r="AM440" t="s">
        <v>684</v>
      </c>
      <c r="AN440" t="s">
        <v>2272</v>
      </c>
      <c r="AO440" t="s">
        <v>3109</v>
      </c>
      <c r="AP440" t="s">
        <v>3110</v>
      </c>
      <c r="AQ440" t="s">
        <v>74</v>
      </c>
      <c r="AR440" t="s">
        <v>3111</v>
      </c>
      <c r="AS440" t="s">
        <v>3112</v>
      </c>
      <c r="AT440" t="s">
        <v>7132</v>
      </c>
      <c r="AU440">
        <v>2009</v>
      </c>
      <c r="AV440">
        <v>32</v>
      </c>
      <c r="AW440">
        <v>10</v>
      </c>
      <c r="AX440" t="s">
        <v>74</v>
      </c>
      <c r="AY440" t="s">
        <v>74</v>
      </c>
      <c r="AZ440" t="s">
        <v>74</v>
      </c>
      <c r="BA440" t="s">
        <v>74</v>
      </c>
      <c r="BB440">
        <v>1415</v>
      </c>
      <c r="BC440">
        <v>1425</v>
      </c>
      <c r="BD440" t="s">
        <v>74</v>
      </c>
      <c r="BE440" t="s">
        <v>8333</v>
      </c>
      <c r="BF440" t="str">
        <f>HYPERLINK("http://dx.doi.org/10.1007/s00300-009-0636-z","http://dx.doi.org/10.1007/s00300-009-0636-z")</f>
        <v>http://dx.doi.org/10.1007/s00300-009-0636-z</v>
      </c>
      <c r="BG440" t="s">
        <v>74</v>
      </c>
      <c r="BH440" t="s">
        <v>74</v>
      </c>
      <c r="BI440">
        <v>11</v>
      </c>
      <c r="BJ440" t="s">
        <v>3114</v>
      </c>
      <c r="BK440" t="s">
        <v>98</v>
      </c>
      <c r="BL440" t="s">
        <v>3115</v>
      </c>
      <c r="BM440" t="s">
        <v>8317</v>
      </c>
      <c r="BN440" t="s">
        <v>74</v>
      </c>
      <c r="BO440" t="s">
        <v>74</v>
      </c>
      <c r="BP440" t="s">
        <v>74</v>
      </c>
      <c r="BQ440" t="s">
        <v>74</v>
      </c>
      <c r="BR440" t="s">
        <v>101</v>
      </c>
      <c r="BS440" t="s">
        <v>8334</v>
      </c>
      <c r="BT440" t="str">
        <f>HYPERLINK("https%3A%2F%2Fwww.webofscience.com%2Fwos%2Fwoscc%2Ffull-record%2FWOS:000270187100003","View Full Record in Web of Science")</f>
        <v>View Full Record in Web of Science</v>
      </c>
    </row>
    <row r="441" spans="1:72" x14ac:dyDescent="0.15">
      <c r="A441" t="s">
        <v>72</v>
      </c>
      <c r="B441" t="s">
        <v>8335</v>
      </c>
      <c r="C441" t="s">
        <v>74</v>
      </c>
      <c r="D441" t="s">
        <v>74</v>
      </c>
      <c r="E441" t="s">
        <v>74</v>
      </c>
      <c r="F441" t="s">
        <v>8336</v>
      </c>
      <c r="G441" t="s">
        <v>74</v>
      </c>
      <c r="H441" t="s">
        <v>74</v>
      </c>
      <c r="I441" t="s">
        <v>8337</v>
      </c>
      <c r="J441" t="s">
        <v>3098</v>
      </c>
      <c r="K441" t="s">
        <v>74</v>
      </c>
      <c r="L441" t="s">
        <v>74</v>
      </c>
      <c r="M441" t="s">
        <v>78</v>
      </c>
      <c r="N441" t="s">
        <v>79</v>
      </c>
      <c r="O441" t="s">
        <v>74</v>
      </c>
      <c r="P441" t="s">
        <v>74</v>
      </c>
      <c r="Q441" t="s">
        <v>74</v>
      </c>
      <c r="R441" t="s">
        <v>74</v>
      </c>
      <c r="S441" t="s">
        <v>74</v>
      </c>
      <c r="T441" t="s">
        <v>8338</v>
      </c>
      <c r="U441" t="s">
        <v>8339</v>
      </c>
      <c r="V441" t="s">
        <v>8340</v>
      </c>
      <c r="W441" t="s">
        <v>8341</v>
      </c>
      <c r="X441" t="s">
        <v>8342</v>
      </c>
      <c r="Y441" t="s">
        <v>8343</v>
      </c>
      <c r="Z441" t="s">
        <v>8344</v>
      </c>
      <c r="AA441" t="s">
        <v>8345</v>
      </c>
      <c r="AB441" t="s">
        <v>8346</v>
      </c>
      <c r="AC441" t="s">
        <v>8347</v>
      </c>
      <c r="AD441" t="s">
        <v>8347</v>
      </c>
      <c r="AE441" t="s">
        <v>8348</v>
      </c>
      <c r="AF441" t="s">
        <v>74</v>
      </c>
      <c r="AG441">
        <v>35</v>
      </c>
      <c r="AH441">
        <v>51</v>
      </c>
      <c r="AI441">
        <v>54</v>
      </c>
      <c r="AJ441">
        <v>2</v>
      </c>
      <c r="AK441">
        <v>16</v>
      </c>
      <c r="AL441" t="s">
        <v>1850</v>
      </c>
      <c r="AM441" t="s">
        <v>684</v>
      </c>
      <c r="AN441" t="s">
        <v>2272</v>
      </c>
      <c r="AO441" t="s">
        <v>3109</v>
      </c>
      <c r="AP441" t="s">
        <v>74</v>
      </c>
      <c r="AQ441" t="s">
        <v>74</v>
      </c>
      <c r="AR441" t="s">
        <v>3111</v>
      </c>
      <c r="AS441" t="s">
        <v>3112</v>
      </c>
      <c r="AT441" t="s">
        <v>7132</v>
      </c>
      <c r="AU441">
        <v>2009</v>
      </c>
      <c r="AV441">
        <v>32</v>
      </c>
      <c r="AW441">
        <v>10</v>
      </c>
      <c r="AX441" t="s">
        <v>74</v>
      </c>
      <c r="AY441" t="s">
        <v>74</v>
      </c>
      <c r="AZ441" t="s">
        <v>74</v>
      </c>
      <c r="BA441" t="s">
        <v>74</v>
      </c>
      <c r="BB441">
        <v>1427</v>
      </c>
      <c r="BC441">
        <v>1433</v>
      </c>
      <c r="BD441" t="s">
        <v>74</v>
      </c>
      <c r="BE441" t="s">
        <v>8349</v>
      </c>
      <c r="BF441" t="str">
        <f>HYPERLINK("http://dx.doi.org/10.1007/s00300-009-0637-y","http://dx.doi.org/10.1007/s00300-009-0637-y")</f>
        <v>http://dx.doi.org/10.1007/s00300-009-0637-y</v>
      </c>
      <c r="BG441" t="s">
        <v>74</v>
      </c>
      <c r="BH441" t="s">
        <v>74</v>
      </c>
      <c r="BI441">
        <v>7</v>
      </c>
      <c r="BJ441" t="s">
        <v>3114</v>
      </c>
      <c r="BK441" t="s">
        <v>98</v>
      </c>
      <c r="BL441" t="s">
        <v>3115</v>
      </c>
      <c r="BM441" t="s">
        <v>8317</v>
      </c>
      <c r="BN441" t="s">
        <v>74</v>
      </c>
      <c r="BO441" t="s">
        <v>239</v>
      </c>
      <c r="BP441" t="s">
        <v>74</v>
      </c>
      <c r="BQ441" t="s">
        <v>74</v>
      </c>
      <c r="BR441" t="s">
        <v>101</v>
      </c>
      <c r="BS441" t="s">
        <v>8350</v>
      </c>
      <c r="BT441" t="str">
        <f>HYPERLINK("https%3A%2F%2Fwww.webofscience.com%2Fwos%2Fwoscc%2Ffull-record%2FWOS:000270187100004","View Full Record in Web of Science")</f>
        <v>View Full Record in Web of Science</v>
      </c>
    </row>
    <row r="442" spans="1:72" x14ac:dyDescent="0.15">
      <c r="A442" t="s">
        <v>72</v>
      </c>
      <c r="B442" t="s">
        <v>8351</v>
      </c>
      <c r="C442" t="s">
        <v>74</v>
      </c>
      <c r="D442" t="s">
        <v>74</v>
      </c>
      <c r="E442" t="s">
        <v>74</v>
      </c>
      <c r="F442" t="s">
        <v>8352</v>
      </c>
      <c r="G442" t="s">
        <v>74</v>
      </c>
      <c r="H442" t="s">
        <v>74</v>
      </c>
      <c r="I442" t="s">
        <v>8353</v>
      </c>
      <c r="J442" t="s">
        <v>3098</v>
      </c>
      <c r="K442" t="s">
        <v>74</v>
      </c>
      <c r="L442" t="s">
        <v>74</v>
      </c>
      <c r="M442" t="s">
        <v>78</v>
      </c>
      <c r="N442" t="s">
        <v>79</v>
      </c>
      <c r="O442" t="s">
        <v>74</v>
      </c>
      <c r="P442" t="s">
        <v>74</v>
      </c>
      <c r="Q442" t="s">
        <v>74</v>
      </c>
      <c r="R442" t="s">
        <v>74</v>
      </c>
      <c r="S442" t="s">
        <v>74</v>
      </c>
      <c r="T442" t="s">
        <v>8354</v>
      </c>
      <c r="U442" t="s">
        <v>8355</v>
      </c>
      <c r="V442" t="s">
        <v>8356</v>
      </c>
      <c r="W442" t="s">
        <v>8357</v>
      </c>
      <c r="X442" t="s">
        <v>8358</v>
      </c>
      <c r="Y442" t="s">
        <v>8359</v>
      </c>
      <c r="Z442" t="s">
        <v>8360</v>
      </c>
      <c r="AA442" t="s">
        <v>8361</v>
      </c>
      <c r="AB442" t="s">
        <v>74</v>
      </c>
      <c r="AC442" t="s">
        <v>8362</v>
      </c>
      <c r="AD442" t="s">
        <v>8363</v>
      </c>
      <c r="AE442" t="s">
        <v>8364</v>
      </c>
      <c r="AF442" t="s">
        <v>74</v>
      </c>
      <c r="AG442">
        <v>44</v>
      </c>
      <c r="AH442">
        <v>36</v>
      </c>
      <c r="AI442">
        <v>40</v>
      </c>
      <c r="AJ442">
        <v>1</v>
      </c>
      <c r="AK442">
        <v>26</v>
      </c>
      <c r="AL442" t="s">
        <v>1850</v>
      </c>
      <c r="AM442" t="s">
        <v>684</v>
      </c>
      <c r="AN442" t="s">
        <v>2272</v>
      </c>
      <c r="AO442" t="s">
        <v>3109</v>
      </c>
      <c r="AP442" t="s">
        <v>3110</v>
      </c>
      <c r="AQ442" t="s">
        <v>74</v>
      </c>
      <c r="AR442" t="s">
        <v>3111</v>
      </c>
      <c r="AS442" t="s">
        <v>3112</v>
      </c>
      <c r="AT442" t="s">
        <v>7132</v>
      </c>
      <c r="AU442">
        <v>2009</v>
      </c>
      <c r="AV442">
        <v>32</v>
      </c>
      <c r="AW442">
        <v>10</v>
      </c>
      <c r="AX442" t="s">
        <v>74</v>
      </c>
      <c r="AY442" t="s">
        <v>74</v>
      </c>
      <c r="AZ442" t="s">
        <v>74</v>
      </c>
      <c r="BA442" t="s">
        <v>74</v>
      </c>
      <c r="BB442">
        <v>1447</v>
      </c>
      <c r="BC442">
        <v>1460</v>
      </c>
      <c r="BD442" t="s">
        <v>74</v>
      </c>
      <c r="BE442" t="s">
        <v>8365</v>
      </c>
      <c r="BF442" t="str">
        <f>HYPERLINK("http://dx.doi.org/10.1007/s00300-009-0641-2","http://dx.doi.org/10.1007/s00300-009-0641-2")</f>
        <v>http://dx.doi.org/10.1007/s00300-009-0641-2</v>
      </c>
      <c r="BG442" t="s">
        <v>74</v>
      </c>
      <c r="BH442" t="s">
        <v>74</v>
      </c>
      <c r="BI442">
        <v>14</v>
      </c>
      <c r="BJ442" t="s">
        <v>3114</v>
      </c>
      <c r="BK442" t="s">
        <v>98</v>
      </c>
      <c r="BL442" t="s">
        <v>3115</v>
      </c>
      <c r="BM442" t="s">
        <v>8317</v>
      </c>
      <c r="BN442" t="s">
        <v>74</v>
      </c>
      <c r="BO442" t="s">
        <v>74</v>
      </c>
      <c r="BP442" t="s">
        <v>74</v>
      </c>
      <c r="BQ442" t="s">
        <v>74</v>
      </c>
      <c r="BR442" t="s">
        <v>101</v>
      </c>
      <c r="BS442" t="s">
        <v>8366</v>
      </c>
      <c r="BT442" t="str">
        <f>HYPERLINK("https%3A%2F%2Fwww.webofscience.com%2Fwos%2Fwoscc%2Ffull-record%2FWOS:000270187100006","View Full Record in Web of Science")</f>
        <v>View Full Record in Web of Science</v>
      </c>
    </row>
    <row r="443" spans="1:72" x14ac:dyDescent="0.15">
      <c r="A443" t="s">
        <v>72</v>
      </c>
      <c r="B443" t="s">
        <v>8367</v>
      </c>
      <c r="C443" t="s">
        <v>74</v>
      </c>
      <c r="D443" t="s">
        <v>74</v>
      </c>
      <c r="E443" t="s">
        <v>74</v>
      </c>
      <c r="F443" t="s">
        <v>8368</v>
      </c>
      <c r="G443" t="s">
        <v>74</v>
      </c>
      <c r="H443" t="s">
        <v>74</v>
      </c>
      <c r="I443" t="s">
        <v>8369</v>
      </c>
      <c r="J443" t="s">
        <v>3098</v>
      </c>
      <c r="K443" t="s">
        <v>74</v>
      </c>
      <c r="L443" t="s">
        <v>74</v>
      </c>
      <c r="M443" t="s">
        <v>78</v>
      </c>
      <c r="N443" t="s">
        <v>79</v>
      </c>
      <c r="O443" t="s">
        <v>74</v>
      </c>
      <c r="P443" t="s">
        <v>74</v>
      </c>
      <c r="Q443" t="s">
        <v>74</v>
      </c>
      <c r="R443" t="s">
        <v>74</v>
      </c>
      <c r="S443" t="s">
        <v>74</v>
      </c>
      <c r="T443" t="s">
        <v>8370</v>
      </c>
      <c r="U443" t="s">
        <v>8371</v>
      </c>
      <c r="V443" t="s">
        <v>8372</v>
      </c>
      <c r="W443" t="s">
        <v>8373</v>
      </c>
      <c r="X443" t="s">
        <v>8374</v>
      </c>
      <c r="Y443" t="s">
        <v>8375</v>
      </c>
      <c r="Z443" t="s">
        <v>8376</v>
      </c>
      <c r="AA443" t="s">
        <v>8377</v>
      </c>
      <c r="AB443" t="s">
        <v>74</v>
      </c>
      <c r="AC443" t="s">
        <v>8378</v>
      </c>
      <c r="AD443" t="s">
        <v>6041</v>
      </c>
      <c r="AE443" t="s">
        <v>8379</v>
      </c>
      <c r="AF443" t="s">
        <v>74</v>
      </c>
      <c r="AG443">
        <v>42</v>
      </c>
      <c r="AH443">
        <v>32</v>
      </c>
      <c r="AI443">
        <v>35</v>
      </c>
      <c r="AJ443">
        <v>5</v>
      </c>
      <c r="AK443">
        <v>50</v>
      </c>
      <c r="AL443" t="s">
        <v>1850</v>
      </c>
      <c r="AM443" t="s">
        <v>684</v>
      </c>
      <c r="AN443" t="s">
        <v>2272</v>
      </c>
      <c r="AO443" t="s">
        <v>3109</v>
      </c>
      <c r="AP443" t="s">
        <v>3110</v>
      </c>
      <c r="AQ443" t="s">
        <v>74</v>
      </c>
      <c r="AR443" t="s">
        <v>3111</v>
      </c>
      <c r="AS443" t="s">
        <v>3112</v>
      </c>
      <c r="AT443" t="s">
        <v>7132</v>
      </c>
      <c r="AU443">
        <v>2009</v>
      </c>
      <c r="AV443">
        <v>32</v>
      </c>
      <c r="AW443">
        <v>10</v>
      </c>
      <c r="AX443" t="s">
        <v>74</v>
      </c>
      <c r="AY443" t="s">
        <v>74</v>
      </c>
      <c r="AZ443" t="s">
        <v>74</v>
      </c>
      <c r="BA443" t="s">
        <v>74</v>
      </c>
      <c r="BB443">
        <v>1461</v>
      </c>
      <c r="BC443">
        <v>1472</v>
      </c>
      <c r="BD443" t="s">
        <v>74</v>
      </c>
      <c r="BE443" t="s">
        <v>8380</v>
      </c>
      <c r="BF443" t="str">
        <f>HYPERLINK("http://dx.doi.org/10.1007/s00300-009-0643-0","http://dx.doi.org/10.1007/s00300-009-0643-0")</f>
        <v>http://dx.doi.org/10.1007/s00300-009-0643-0</v>
      </c>
      <c r="BG443" t="s">
        <v>74</v>
      </c>
      <c r="BH443" t="s">
        <v>74</v>
      </c>
      <c r="BI443">
        <v>12</v>
      </c>
      <c r="BJ443" t="s">
        <v>3114</v>
      </c>
      <c r="BK443" t="s">
        <v>98</v>
      </c>
      <c r="BL443" t="s">
        <v>3115</v>
      </c>
      <c r="BM443" t="s">
        <v>8317</v>
      </c>
      <c r="BN443" t="s">
        <v>74</v>
      </c>
      <c r="BO443" t="s">
        <v>74</v>
      </c>
      <c r="BP443" t="s">
        <v>74</v>
      </c>
      <c r="BQ443" t="s">
        <v>74</v>
      </c>
      <c r="BR443" t="s">
        <v>101</v>
      </c>
      <c r="BS443" t="s">
        <v>8381</v>
      </c>
      <c r="BT443" t="str">
        <f>HYPERLINK("https%3A%2F%2Fwww.webofscience.com%2Fwos%2Fwoscc%2Ffull-record%2FWOS:000270187100007","View Full Record in Web of Science")</f>
        <v>View Full Record in Web of Science</v>
      </c>
    </row>
    <row r="444" spans="1:72" x14ac:dyDescent="0.15">
      <c r="A444" t="s">
        <v>72</v>
      </c>
      <c r="B444" t="s">
        <v>8382</v>
      </c>
      <c r="C444" t="s">
        <v>74</v>
      </c>
      <c r="D444" t="s">
        <v>74</v>
      </c>
      <c r="E444" t="s">
        <v>74</v>
      </c>
      <c r="F444" t="s">
        <v>8383</v>
      </c>
      <c r="G444" t="s">
        <v>74</v>
      </c>
      <c r="H444" t="s">
        <v>74</v>
      </c>
      <c r="I444" t="s">
        <v>8384</v>
      </c>
      <c r="J444" t="s">
        <v>3098</v>
      </c>
      <c r="K444" t="s">
        <v>74</v>
      </c>
      <c r="L444" t="s">
        <v>74</v>
      </c>
      <c r="M444" t="s">
        <v>78</v>
      </c>
      <c r="N444" t="s">
        <v>79</v>
      </c>
      <c r="O444" t="s">
        <v>74</v>
      </c>
      <c r="P444" t="s">
        <v>74</v>
      </c>
      <c r="Q444" t="s">
        <v>74</v>
      </c>
      <c r="R444" t="s">
        <v>74</v>
      </c>
      <c r="S444" t="s">
        <v>74</v>
      </c>
      <c r="T444" t="s">
        <v>8385</v>
      </c>
      <c r="U444" t="s">
        <v>8386</v>
      </c>
      <c r="V444" t="s">
        <v>8387</v>
      </c>
      <c r="W444" t="s">
        <v>8388</v>
      </c>
      <c r="X444" t="s">
        <v>8389</v>
      </c>
      <c r="Y444" t="s">
        <v>8390</v>
      </c>
      <c r="Z444" t="s">
        <v>8391</v>
      </c>
      <c r="AA444" t="s">
        <v>8392</v>
      </c>
      <c r="AB444" t="s">
        <v>8393</v>
      </c>
      <c r="AC444" t="s">
        <v>8394</v>
      </c>
      <c r="AD444" t="s">
        <v>8394</v>
      </c>
      <c r="AE444" t="s">
        <v>8395</v>
      </c>
      <c r="AF444" t="s">
        <v>74</v>
      </c>
      <c r="AG444">
        <v>50</v>
      </c>
      <c r="AH444">
        <v>18</v>
      </c>
      <c r="AI444">
        <v>20</v>
      </c>
      <c r="AJ444">
        <v>0</v>
      </c>
      <c r="AK444">
        <v>20</v>
      </c>
      <c r="AL444" t="s">
        <v>1850</v>
      </c>
      <c r="AM444" t="s">
        <v>684</v>
      </c>
      <c r="AN444" t="s">
        <v>2272</v>
      </c>
      <c r="AO444" t="s">
        <v>3109</v>
      </c>
      <c r="AP444" t="s">
        <v>74</v>
      </c>
      <c r="AQ444" t="s">
        <v>74</v>
      </c>
      <c r="AR444" t="s">
        <v>3111</v>
      </c>
      <c r="AS444" t="s">
        <v>3112</v>
      </c>
      <c r="AT444" t="s">
        <v>7132</v>
      </c>
      <c r="AU444">
        <v>2009</v>
      </c>
      <c r="AV444">
        <v>32</v>
      </c>
      <c r="AW444">
        <v>10</v>
      </c>
      <c r="AX444" t="s">
        <v>74</v>
      </c>
      <c r="AY444" t="s">
        <v>74</v>
      </c>
      <c r="AZ444" t="s">
        <v>74</v>
      </c>
      <c r="BA444" t="s">
        <v>74</v>
      </c>
      <c r="BB444">
        <v>1473</v>
      </c>
      <c r="BC444">
        <v>1486</v>
      </c>
      <c r="BD444" t="s">
        <v>74</v>
      </c>
      <c r="BE444" t="s">
        <v>8396</v>
      </c>
      <c r="BF444" t="str">
        <f>HYPERLINK("http://dx.doi.org/10.1007/s00300-009-0645-y","http://dx.doi.org/10.1007/s00300-009-0645-y")</f>
        <v>http://dx.doi.org/10.1007/s00300-009-0645-y</v>
      </c>
      <c r="BG444" t="s">
        <v>74</v>
      </c>
      <c r="BH444" t="s">
        <v>74</v>
      </c>
      <c r="BI444">
        <v>14</v>
      </c>
      <c r="BJ444" t="s">
        <v>3114</v>
      </c>
      <c r="BK444" t="s">
        <v>98</v>
      </c>
      <c r="BL444" t="s">
        <v>3115</v>
      </c>
      <c r="BM444" t="s">
        <v>8317</v>
      </c>
      <c r="BN444" t="s">
        <v>74</v>
      </c>
      <c r="BO444" t="s">
        <v>74</v>
      </c>
      <c r="BP444" t="s">
        <v>74</v>
      </c>
      <c r="BQ444" t="s">
        <v>74</v>
      </c>
      <c r="BR444" t="s">
        <v>101</v>
      </c>
      <c r="BS444" t="s">
        <v>8397</v>
      </c>
      <c r="BT444" t="str">
        <f>HYPERLINK("https%3A%2F%2Fwww.webofscience.com%2Fwos%2Fwoscc%2Ffull-record%2FWOS:000270187100008","View Full Record in Web of Science")</f>
        <v>View Full Record in Web of Science</v>
      </c>
    </row>
    <row r="445" spans="1:72" x14ac:dyDescent="0.15">
      <c r="A445" t="s">
        <v>72</v>
      </c>
      <c r="B445" t="s">
        <v>8398</v>
      </c>
      <c r="C445" t="s">
        <v>74</v>
      </c>
      <c r="D445" t="s">
        <v>74</v>
      </c>
      <c r="E445" t="s">
        <v>74</v>
      </c>
      <c r="F445" t="s">
        <v>8399</v>
      </c>
      <c r="G445" t="s">
        <v>74</v>
      </c>
      <c r="H445" t="s">
        <v>74</v>
      </c>
      <c r="I445" t="s">
        <v>8400</v>
      </c>
      <c r="J445" t="s">
        <v>3098</v>
      </c>
      <c r="K445" t="s">
        <v>74</v>
      </c>
      <c r="L445" t="s">
        <v>74</v>
      </c>
      <c r="M445" t="s">
        <v>78</v>
      </c>
      <c r="N445" t="s">
        <v>79</v>
      </c>
      <c r="O445" t="s">
        <v>74</v>
      </c>
      <c r="P445" t="s">
        <v>74</v>
      </c>
      <c r="Q445" t="s">
        <v>74</v>
      </c>
      <c r="R445" t="s">
        <v>74</v>
      </c>
      <c r="S445" t="s">
        <v>74</v>
      </c>
      <c r="T445" t="s">
        <v>8401</v>
      </c>
      <c r="U445" t="s">
        <v>8402</v>
      </c>
      <c r="V445" t="s">
        <v>8403</v>
      </c>
      <c r="W445" t="s">
        <v>8404</v>
      </c>
      <c r="X445" t="s">
        <v>8405</v>
      </c>
      <c r="Y445" t="s">
        <v>8406</v>
      </c>
      <c r="Z445" t="s">
        <v>8407</v>
      </c>
      <c r="AA445" t="s">
        <v>8408</v>
      </c>
      <c r="AB445" t="s">
        <v>3177</v>
      </c>
      <c r="AC445" t="s">
        <v>8409</v>
      </c>
      <c r="AD445" t="s">
        <v>8410</v>
      </c>
      <c r="AE445" t="s">
        <v>8411</v>
      </c>
      <c r="AF445" t="s">
        <v>74</v>
      </c>
      <c r="AG445">
        <v>48</v>
      </c>
      <c r="AH445">
        <v>11</v>
      </c>
      <c r="AI445">
        <v>12</v>
      </c>
      <c r="AJ445">
        <v>3</v>
      </c>
      <c r="AK445">
        <v>42</v>
      </c>
      <c r="AL445" t="s">
        <v>1850</v>
      </c>
      <c r="AM445" t="s">
        <v>684</v>
      </c>
      <c r="AN445" t="s">
        <v>2272</v>
      </c>
      <c r="AO445" t="s">
        <v>3109</v>
      </c>
      <c r="AP445" t="s">
        <v>3110</v>
      </c>
      <c r="AQ445" t="s">
        <v>74</v>
      </c>
      <c r="AR445" t="s">
        <v>3111</v>
      </c>
      <c r="AS445" t="s">
        <v>3112</v>
      </c>
      <c r="AT445" t="s">
        <v>7132</v>
      </c>
      <c r="AU445">
        <v>2009</v>
      </c>
      <c r="AV445">
        <v>32</v>
      </c>
      <c r="AW445">
        <v>10</v>
      </c>
      <c r="AX445" t="s">
        <v>74</v>
      </c>
      <c r="AY445" t="s">
        <v>74</v>
      </c>
      <c r="AZ445" t="s">
        <v>74</v>
      </c>
      <c r="BA445" t="s">
        <v>74</v>
      </c>
      <c r="BB445">
        <v>1487</v>
      </c>
      <c r="BC445">
        <v>1494</v>
      </c>
      <c r="BD445" t="s">
        <v>74</v>
      </c>
      <c r="BE445" t="s">
        <v>8412</v>
      </c>
      <c r="BF445" t="str">
        <f>HYPERLINK("http://dx.doi.org/10.1007/s00300-009-0646-x","http://dx.doi.org/10.1007/s00300-009-0646-x")</f>
        <v>http://dx.doi.org/10.1007/s00300-009-0646-x</v>
      </c>
      <c r="BG445" t="s">
        <v>74</v>
      </c>
      <c r="BH445" t="s">
        <v>74</v>
      </c>
      <c r="BI445">
        <v>8</v>
      </c>
      <c r="BJ445" t="s">
        <v>3114</v>
      </c>
      <c r="BK445" t="s">
        <v>98</v>
      </c>
      <c r="BL445" t="s">
        <v>3115</v>
      </c>
      <c r="BM445" t="s">
        <v>8317</v>
      </c>
      <c r="BN445" t="s">
        <v>74</v>
      </c>
      <c r="BO445" t="s">
        <v>74</v>
      </c>
      <c r="BP445" t="s">
        <v>74</v>
      </c>
      <c r="BQ445" t="s">
        <v>74</v>
      </c>
      <c r="BR445" t="s">
        <v>101</v>
      </c>
      <c r="BS445" t="s">
        <v>8413</v>
      </c>
      <c r="BT445" t="str">
        <f>HYPERLINK("https%3A%2F%2Fwww.webofscience.com%2Fwos%2Fwoscc%2Ffull-record%2FWOS:000270187100009","View Full Record in Web of Science")</f>
        <v>View Full Record in Web of Science</v>
      </c>
    </row>
    <row r="446" spans="1:72" x14ac:dyDescent="0.15">
      <c r="A446" t="s">
        <v>72</v>
      </c>
      <c r="B446" t="s">
        <v>8414</v>
      </c>
      <c r="C446" t="s">
        <v>74</v>
      </c>
      <c r="D446" t="s">
        <v>74</v>
      </c>
      <c r="E446" t="s">
        <v>74</v>
      </c>
      <c r="F446" t="s">
        <v>8415</v>
      </c>
      <c r="G446" t="s">
        <v>74</v>
      </c>
      <c r="H446" t="s">
        <v>74</v>
      </c>
      <c r="I446" t="s">
        <v>8416</v>
      </c>
      <c r="J446" t="s">
        <v>3098</v>
      </c>
      <c r="K446" t="s">
        <v>74</v>
      </c>
      <c r="L446" t="s">
        <v>74</v>
      </c>
      <c r="M446" t="s">
        <v>78</v>
      </c>
      <c r="N446" t="s">
        <v>79</v>
      </c>
      <c r="O446" t="s">
        <v>74</v>
      </c>
      <c r="P446" t="s">
        <v>74</v>
      </c>
      <c r="Q446" t="s">
        <v>74</v>
      </c>
      <c r="R446" t="s">
        <v>74</v>
      </c>
      <c r="S446" t="s">
        <v>74</v>
      </c>
      <c r="T446" t="s">
        <v>8417</v>
      </c>
      <c r="U446" t="s">
        <v>8418</v>
      </c>
      <c r="V446" t="s">
        <v>8419</v>
      </c>
      <c r="W446" t="s">
        <v>8420</v>
      </c>
      <c r="X446" t="s">
        <v>8421</v>
      </c>
      <c r="Y446" t="s">
        <v>8422</v>
      </c>
      <c r="Z446" t="s">
        <v>8423</v>
      </c>
      <c r="AA446" t="s">
        <v>74</v>
      </c>
      <c r="AB446" t="s">
        <v>74</v>
      </c>
      <c r="AC446" t="s">
        <v>8424</v>
      </c>
      <c r="AD446" t="s">
        <v>8425</v>
      </c>
      <c r="AE446" t="s">
        <v>8426</v>
      </c>
      <c r="AF446" t="s">
        <v>74</v>
      </c>
      <c r="AG446">
        <v>58</v>
      </c>
      <c r="AH446">
        <v>18</v>
      </c>
      <c r="AI446">
        <v>23</v>
      </c>
      <c r="AJ446">
        <v>1</v>
      </c>
      <c r="AK446">
        <v>30</v>
      </c>
      <c r="AL446" t="s">
        <v>1850</v>
      </c>
      <c r="AM446" t="s">
        <v>684</v>
      </c>
      <c r="AN446" t="s">
        <v>3108</v>
      </c>
      <c r="AO446" t="s">
        <v>3109</v>
      </c>
      <c r="AP446" t="s">
        <v>3110</v>
      </c>
      <c r="AQ446" t="s">
        <v>74</v>
      </c>
      <c r="AR446" t="s">
        <v>3111</v>
      </c>
      <c r="AS446" t="s">
        <v>3112</v>
      </c>
      <c r="AT446" t="s">
        <v>7132</v>
      </c>
      <c r="AU446">
        <v>2009</v>
      </c>
      <c r="AV446">
        <v>32</v>
      </c>
      <c r="AW446">
        <v>10</v>
      </c>
      <c r="AX446" t="s">
        <v>74</v>
      </c>
      <c r="AY446" t="s">
        <v>74</v>
      </c>
      <c r="AZ446" t="s">
        <v>74</v>
      </c>
      <c r="BA446" t="s">
        <v>74</v>
      </c>
      <c r="BB446">
        <v>1495</v>
      </c>
      <c r="BC446">
        <v>1505</v>
      </c>
      <c r="BD446" t="s">
        <v>74</v>
      </c>
      <c r="BE446" t="s">
        <v>8427</v>
      </c>
      <c r="BF446" t="str">
        <f>HYPERLINK("http://dx.doi.org/10.1007/s00300-009-0647-9","http://dx.doi.org/10.1007/s00300-009-0647-9")</f>
        <v>http://dx.doi.org/10.1007/s00300-009-0647-9</v>
      </c>
      <c r="BG446" t="s">
        <v>74</v>
      </c>
      <c r="BH446" t="s">
        <v>74</v>
      </c>
      <c r="BI446">
        <v>11</v>
      </c>
      <c r="BJ446" t="s">
        <v>3114</v>
      </c>
      <c r="BK446" t="s">
        <v>98</v>
      </c>
      <c r="BL446" t="s">
        <v>3115</v>
      </c>
      <c r="BM446" t="s">
        <v>8317</v>
      </c>
      <c r="BN446" t="s">
        <v>74</v>
      </c>
      <c r="BO446" t="s">
        <v>74</v>
      </c>
      <c r="BP446" t="s">
        <v>74</v>
      </c>
      <c r="BQ446" t="s">
        <v>74</v>
      </c>
      <c r="BR446" t="s">
        <v>101</v>
      </c>
      <c r="BS446" t="s">
        <v>8428</v>
      </c>
      <c r="BT446" t="str">
        <f>HYPERLINK("https%3A%2F%2Fwww.webofscience.com%2Fwos%2Fwoscc%2Ffull-record%2FWOS:000270187100010","View Full Record in Web of Science")</f>
        <v>View Full Record in Web of Science</v>
      </c>
    </row>
    <row r="447" spans="1:72" x14ac:dyDescent="0.15">
      <c r="A447" t="s">
        <v>72</v>
      </c>
      <c r="B447" t="s">
        <v>8429</v>
      </c>
      <c r="C447" t="s">
        <v>74</v>
      </c>
      <c r="D447" t="s">
        <v>74</v>
      </c>
      <c r="E447" t="s">
        <v>74</v>
      </c>
      <c r="F447" t="s">
        <v>8430</v>
      </c>
      <c r="G447" t="s">
        <v>74</v>
      </c>
      <c r="H447" t="s">
        <v>74</v>
      </c>
      <c r="I447" t="s">
        <v>8431</v>
      </c>
      <c r="J447" t="s">
        <v>3098</v>
      </c>
      <c r="K447" t="s">
        <v>74</v>
      </c>
      <c r="L447" t="s">
        <v>74</v>
      </c>
      <c r="M447" t="s">
        <v>78</v>
      </c>
      <c r="N447" t="s">
        <v>79</v>
      </c>
      <c r="O447" t="s">
        <v>74</v>
      </c>
      <c r="P447" t="s">
        <v>74</v>
      </c>
      <c r="Q447" t="s">
        <v>74</v>
      </c>
      <c r="R447" t="s">
        <v>74</v>
      </c>
      <c r="S447" t="s">
        <v>74</v>
      </c>
      <c r="T447" t="s">
        <v>8432</v>
      </c>
      <c r="U447" t="s">
        <v>8433</v>
      </c>
      <c r="V447" t="s">
        <v>8434</v>
      </c>
      <c r="W447" t="s">
        <v>8435</v>
      </c>
      <c r="X447" t="s">
        <v>8436</v>
      </c>
      <c r="Y447" t="s">
        <v>8437</v>
      </c>
      <c r="Z447" t="s">
        <v>8438</v>
      </c>
      <c r="AA447" t="s">
        <v>8439</v>
      </c>
      <c r="AB447" t="s">
        <v>8440</v>
      </c>
      <c r="AC447" t="s">
        <v>8441</v>
      </c>
      <c r="AD447" t="s">
        <v>8442</v>
      </c>
      <c r="AE447" t="s">
        <v>8443</v>
      </c>
      <c r="AF447" t="s">
        <v>74</v>
      </c>
      <c r="AG447">
        <v>54</v>
      </c>
      <c r="AH447">
        <v>21</v>
      </c>
      <c r="AI447">
        <v>22</v>
      </c>
      <c r="AJ447">
        <v>2</v>
      </c>
      <c r="AK447">
        <v>10</v>
      </c>
      <c r="AL447" t="s">
        <v>1850</v>
      </c>
      <c r="AM447" t="s">
        <v>684</v>
      </c>
      <c r="AN447" t="s">
        <v>3108</v>
      </c>
      <c r="AO447" t="s">
        <v>3109</v>
      </c>
      <c r="AP447" t="s">
        <v>3110</v>
      </c>
      <c r="AQ447" t="s">
        <v>74</v>
      </c>
      <c r="AR447" t="s">
        <v>3111</v>
      </c>
      <c r="AS447" t="s">
        <v>3112</v>
      </c>
      <c r="AT447" t="s">
        <v>7132</v>
      </c>
      <c r="AU447">
        <v>2009</v>
      </c>
      <c r="AV447">
        <v>32</v>
      </c>
      <c r="AW447">
        <v>10</v>
      </c>
      <c r="AX447" t="s">
        <v>74</v>
      </c>
      <c r="AY447" t="s">
        <v>74</v>
      </c>
      <c r="AZ447" t="s">
        <v>74</v>
      </c>
      <c r="BA447" t="s">
        <v>74</v>
      </c>
      <c r="BB447">
        <v>1507</v>
      </c>
      <c r="BC447">
        <v>1519</v>
      </c>
      <c r="BD447" t="s">
        <v>74</v>
      </c>
      <c r="BE447" t="s">
        <v>8444</v>
      </c>
      <c r="BF447" t="str">
        <f>HYPERLINK("http://dx.doi.org/10.1007/s00300-009-0648-8","http://dx.doi.org/10.1007/s00300-009-0648-8")</f>
        <v>http://dx.doi.org/10.1007/s00300-009-0648-8</v>
      </c>
      <c r="BG447" t="s">
        <v>74</v>
      </c>
      <c r="BH447" t="s">
        <v>74</v>
      </c>
      <c r="BI447">
        <v>13</v>
      </c>
      <c r="BJ447" t="s">
        <v>3114</v>
      </c>
      <c r="BK447" t="s">
        <v>98</v>
      </c>
      <c r="BL447" t="s">
        <v>3115</v>
      </c>
      <c r="BM447" t="s">
        <v>8317</v>
      </c>
      <c r="BN447" t="s">
        <v>74</v>
      </c>
      <c r="BO447" t="s">
        <v>74</v>
      </c>
      <c r="BP447" t="s">
        <v>74</v>
      </c>
      <c r="BQ447" t="s">
        <v>74</v>
      </c>
      <c r="BR447" t="s">
        <v>101</v>
      </c>
      <c r="BS447" t="s">
        <v>8445</v>
      </c>
      <c r="BT447" t="str">
        <f>HYPERLINK("https%3A%2F%2Fwww.webofscience.com%2Fwos%2Fwoscc%2Ffull-record%2FWOS:000270187100011","View Full Record in Web of Science")</f>
        <v>View Full Record in Web of Science</v>
      </c>
    </row>
    <row r="448" spans="1:72" x14ac:dyDescent="0.15">
      <c r="A448" t="s">
        <v>72</v>
      </c>
      <c r="B448" t="s">
        <v>8446</v>
      </c>
      <c r="C448" t="s">
        <v>74</v>
      </c>
      <c r="D448" t="s">
        <v>74</v>
      </c>
      <c r="E448" t="s">
        <v>74</v>
      </c>
      <c r="F448" t="s">
        <v>8447</v>
      </c>
      <c r="G448" t="s">
        <v>74</v>
      </c>
      <c r="H448" t="s">
        <v>74</v>
      </c>
      <c r="I448" t="s">
        <v>8448</v>
      </c>
      <c r="J448" t="s">
        <v>3098</v>
      </c>
      <c r="K448" t="s">
        <v>74</v>
      </c>
      <c r="L448" t="s">
        <v>74</v>
      </c>
      <c r="M448" t="s">
        <v>78</v>
      </c>
      <c r="N448" t="s">
        <v>79</v>
      </c>
      <c r="O448" t="s">
        <v>74</v>
      </c>
      <c r="P448" t="s">
        <v>74</v>
      </c>
      <c r="Q448" t="s">
        <v>74</v>
      </c>
      <c r="R448" t="s">
        <v>74</v>
      </c>
      <c r="S448" t="s">
        <v>74</v>
      </c>
      <c r="T448" t="s">
        <v>8449</v>
      </c>
      <c r="U448" t="s">
        <v>8450</v>
      </c>
      <c r="V448" t="s">
        <v>8451</v>
      </c>
      <c r="W448" t="s">
        <v>8452</v>
      </c>
      <c r="X448" t="s">
        <v>8453</v>
      </c>
      <c r="Y448" t="s">
        <v>8454</v>
      </c>
      <c r="Z448" t="s">
        <v>8455</v>
      </c>
      <c r="AA448" t="s">
        <v>8456</v>
      </c>
      <c r="AB448" t="s">
        <v>74</v>
      </c>
      <c r="AC448" t="s">
        <v>8457</v>
      </c>
      <c r="AD448" t="s">
        <v>8457</v>
      </c>
      <c r="AE448" t="s">
        <v>8458</v>
      </c>
      <c r="AF448" t="s">
        <v>74</v>
      </c>
      <c r="AG448">
        <v>72</v>
      </c>
      <c r="AH448">
        <v>30</v>
      </c>
      <c r="AI448">
        <v>36</v>
      </c>
      <c r="AJ448">
        <v>0</v>
      </c>
      <c r="AK448">
        <v>57</v>
      </c>
      <c r="AL448" t="s">
        <v>1850</v>
      </c>
      <c r="AM448" t="s">
        <v>684</v>
      </c>
      <c r="AN448" t="s">
        <v>2272</v>
      </c>
      <c r="AO448" t="s">
        <v>3109</v>
      </c>
      <c r="AP448" t="s">
        <v>74</v>
      </c>
      <c r="AQ448" t="s">
        <v>74</v>
      </c>
      <c r="AR448" t="s">
        <v>3111</v>
      </c>
      <c r="AS448" t="s">
        <v>3112</v>
      </c>
      <c r="AT448" t="s">
        <v>7132</v>
      </c>
      <c r="AU448">
        <v>2009</v>
      </c>
      <c r="AV448">
        <v>32</v>
      </c>
      <c r="AW448">
        <v>10</v>
      </c>
      <c r="AX448" t="s">
        <v>74</v>
      </c>
      <c r="AY448" t="s">
        <v>74</v>
      </c>
      <c r="AZ448" t="s">
        <v>74</v>
      </c>
      <c r="BA448" t="s">
        <v>74</v>
      </c>
      <c r="BB448">
        <v>1521</v>
      </c>
      <c r="BC448">
        <v>1528</v>
      </c>
      <c r="BD448" t="s">
        <v>74</v>
      </c>
      <c r="BE448" t="s">
        <v>8459</v>
      </c>
      <c r="BF448" t="str">
        <f>HYPERLINK("http://dx.doi.org/10.1007/s00300-009-0652-z","http://dx.doi.org/10.1007/s00300-009-0652-z")</f>
        <v>http://dx.doi.org/10.1007/s00300-009-0652-z</v>
      </c>
      <c r="BG448" t="s">
        <v>74</v>
      </c>
      <c r="BH448" t="s">
        <v>74</v>
      </c>
      <c r="BI448">
        <v>8</v>
      </c>
      <c r="BJ448" t="s">
        <v>3114</v>
      </c>
      <c r="BK448" t="s">
        <v>98</v>
      </c>
      <c r="BL448" t="s">
        <v>3115</v>
      </c>
      <c r="BM448" t="s">
        <v>8317</v>
      </c>
      <c r="BN448" t="s">
        <v>74</v>
      </c>
      <c r="BO448" t="s">
        <v>74</v>
      </c>
      <c r="BP448" t="s">
        <v>74</v>
      </c>
      <c r="BQ448" t="s">
        <v>74</v>
      </c>
      <c r="BR448" t="s">
        <v>101</v>
      </c>
      <c r="BS448" t="s">
        <v>8460</v>
      </c>
      <c r="BT448" t="str">
        <f>HYPERLINK("https%3A%2F%2Fwww.webofscience.com%2Fwos%2Fwoscc%2Ffull-record%2FWOS:000270187100012","View Full Record in Web of Science")</f>
        <v>View Full Record in Web of Science</v>
      </c>
    </row>
    <row r="449" spans="1:72" x14ac:dyDescent="0.15">
      <c r="A449" t="s">
        <v>72</v>
      </c>
      <c r="B449" t="s">
        <v>8461</v>
      </c>
      <c r="C449" t="s">
        <v>74</v>
      </c>
      <c r="D449" t="s">
        <v>74</v>
      </c>
      <c r="E449" t="s">
        <v>74</v>
      </c>
      <c r="F449" t="s">
        <v>8462</v>
      </c>
      <c r="G449" t="s">
        <v>74</v>
      </c>
      <c r="H449" t="s">
        <v>74</v>
      </c>
      <c r="I449" t="s">
        <v>8463</v>
      </c>
      <c r="J449" t="s">
        <v>3098</v>
      </c>
      <c r="K449" t="s">
        <v>74</v>
      </c>
      <c r="L449" t="s">
        <v>74</v>
      </c>
      <c r="M449" t="s">
        <v>78</v>
      </c>
      <c r="N449" t="s">
        <v>79</v>
      </c>
      <c r="O449" t="s">
        <v>74</v>
      </c>
      <c r="P449" t="s">
        <v>74</v>
      </c>
      <c r="Q449" t="s">
        <v>74</v>
      </c>
      <c r="R449" t="s">
        <v>74</v>
      </c>
      <c r="S449" t="s">
        <v>74</v>
      </c>
      <c r="T449" t="s">
        <v>8464</v>
      </c>
      <c r="U449" t="s">
        <v>8465</v>
      </c>
      <c r="V449" t="s">
        <v>8466</v>
      </c>
      <c r="W449" t="s">
        <v>8467</v>
      </c>
      <c r="X449" t="s">
        <v>8468</v>
      </c>
      <c r="Y449" t="s">
        <v>8469</v>
      </c>
      <c r="Z449" t="s">
        <v>8470</v>
      </c>
      <c r="AA449" t="s">
        <v>74</v>
      </c>
      <c r="AB449" t="s">
        <v>74</v>
      </c>
      <c r="AC449" t="s">
        <v>8471</v>
      </c>
      <c r="AD449" t="s">
        <v>8472</v>
      </c>
      <c r="AE449" t="s">
        <v>8473</v>
      </c>
      <c r="AF449" t="s">
        <v>74</v>
      </c>
      <c r="AG449">
        <v>57</v>
      </c>
      <c r="AH449">
        <v>46</v>
      </c>
      <c r="AI449">
        <v>58</v>
      </c>
      <c r="AJ449">
        <v>0</v>
      </c>
      <c r="AK449">
        <v>43</v>
      </c>
      <c r="AL449" t="s">
        <v>1850</v>
      </c>
      <c r="AM449" t="s">
        <v>684</v>
      </c>
      <c r="AN449" t="s">
        <v>3108</v>
      </c>
      <c r="AO449" t="s">
        <v>3109</v>
      </c>
      <c r="AP449" t="s">
        <v>3110</v>
      </c>
      <c r="AQ449" t="s">
        <v>74</v>
      </c>
      <c r="AR449" t="s">
        <v>3111</v>
      </c>
      <c r="AS449" t="s">
        <v>3112</v>
      </c>
      <c r="AT449" t="s">
        <v>7132</v>
      </c>
      <c r="AU449">
        <v>2009</v>
      </c>
      <c r="AV449">
        <v>32</v>
      </c>
      <c r="AW449">
        <v>10</v>
      </c>
      <c r="AX449" t="s">
        <v>74</v>
      </c>
      <c r="AY449" t="s">
        <v>74</v>
      </c>
      <c r="AZ449" t="s">
        <v>74</v>
      </c>
      <c r="BA449" t="s">
        <v>74</v>
      </c>
      <c r="BB449">
        <v>1539</v>
      </c>
      <c r="BC449">
        <v>1547</v>
      </c>
      <c r="BD449" t="s">
        <v>74</v>
      </c>
      <c r="BE449" t="s">
        <v>8474</v>
      </c>
      <c r="BF449" t="str">
        <f>HYPERLINK("http://dx.doi.org/10.1007/s00300-009-0654-x","http://dx.doi.org/10.1007/s00300-009-0654-x")</f>
        <v>http://dx.doi.org/10.1007/s00300-009-0654-x</v>
      </c>
      <c r="BG449" t="s">
        <v>74</v>
      </c>
      <c r="BH449" t="s">
        <v>74</v>
      </c>
      <c r="BI449">
        <v>9</v>
      </c>
      <c r="BJ449" t="s">
        <v>3114</v>
      </c>
      <c r="BK449" t="s">
        <v>98</v>
      </c>
      <c r="BL449" t="s">
        <v>3115</v>
      </c>
      <c r="BM449" t="s">
        <v>8317</v>
      </c>
      <c r="BN449" t="s">
        <v>74</v>
      </c>
      <c r="BO449" t="s">
        <v>74</v>
      </c>
      <c r="BP449" t="s">
        <v>74</v>
      </c>
      <c r="BQ449" t="s">
        <v>74</v>
      </c>
      <c r="BR449" t="s">
        <v>101</v>
      </c>
      <c r="BS449" t="s">
        <v>8475</v>
      </c>
      <c r="BT449" t="str">
        <f>HYPERLINK("https%3A%2F%2Fwww.webofscience.com%2Fwos%2Fwoscc%2Ffull-record%2FWOS:000270187100014","View Full Record in Web of Science")</f>
        <v>View Full Record in Web of Science</v>
      </c>
    </row>
    <row r="450" spans="1:72" x14ac:dyDescent="0.15">
      <c r="A450" t="s">
        <v>72</v>
      </c>
      <c r="B450" t="s">
        <v>8476</v>
      </c>
      <c r="C450" t="s">
        <v>74</v>
      </c>
      <c r="D450" t="s">
        <v>74</v>
      </c>
      <c r="E450" t="s">
        <v>74</v>
      </c>
      <c r="F450" t="s">
        <v>8477</v>
      </c>
      <c r="G450" t="s">
        <v>74</v>
      </c>
      <c r="H450" t="s">
        <v>74</v>
      </c>
      <c r="I450" t="s">
        <v>8478</v>
      </c>
      <c r="J450" t="s">
        <v>8479</v>
      </c>
      <c r="K450" t="s">
        <v>74</v>
      </c>
      <c r="L450" t="s">
        <v>74</v>
      </c>
      <c r="M450" t="s">
        <v>78</v>
      </c>
      <c r="N450" t="s">
        <v>79</v>
      </c>
      <c r="O450" t="s">
        <v>74</v>
      </c>
      <c r="P450" t="s">
        <v>74</v>
      </c>
      <c r="Q450" t="s">
        <v>74</v>
      </c>
      <c r="R450" t="s">
        <v>74</v>
      </c>
      <c r="S450" t="s">
        <v>74</v>
      </c>
      <c r="T450" t="s">
        <v>74</v>
      </c>
      <c r="U450" t="s">
        <v>8480</v>
      </c>
      <c r="V450" t="s">
        <v>8481</v>
      </c>
      <c r="W450" t="s">
        <v>8482</v>
      </c>
      <c r="X450" t="s">
        <v>1309</v>
      </c>
      <c r="Y450" t="s">
        <v>8483</v>
      </c>
      <c r="Z450" t="s">
        <v>8484</v>
      </c>
      <c r="AA450" t="s">
        <v>74</v>
      </c>
      <c r="AB450" t="s">
        <v>74</v>
      </c>
      <c r="AC450" t="s">
        <v>74</v>
      </c>
      <c r="AD450" t="s">
        <v>74</v>
      </c>
      <c r="AE450" t="s">
        <v>74</v>
      </c>
      <c r="AF450" t="s">
        <v>74</v>
      </c>
      <c r="AG450">
        <v>37</v>
      </c>
      <c r="AH450">
        <v>9</v>
      </c>
      <c r="AI450">
        <v>11</v>
      </c>
      <c r="AJ450">
        <v>0</v>
      </c>
      <c r="AK450">
        <v>9</v>
      </c>
      <c r="AL450" t="s">
        <v>1226</v>
      </c>
      <c r="AM450" t="s">
        <v>684</v>
      </c>
      <c r="AN450" t="s">
        <v>1227</v>
      </c>
      <c r="AO450" t="s">
        <v>8485</v>
      </c>
      <c r="AP450" t="s">
        <v>74</v>
      </c>
      <c r="AQ450" t="s">
        <v>74</v>
      </c>
      <c r="AR450" t="s">
        <v>8486</v>
      </c>
      <c r="AS450" t="s">
        <v>8487</v>
      </c>
      <c r="AT450" t="s">
        <v>7132</v>
      </c>
      <c r="AU450">
        <v>2009</v>
      </c>
      <c r="AV450">
        <v>45</v>
      </c>
      <c r="AW450">
        <v>235</v>
      </c>
      <c r="AX450" t="s">
        <v>74</v>
      </c>
      <c r="AY450" t="s">
        <v>74</v>
      </c>
      <c r="AZ450" t="s">
        <v>74</v>
      </c>
      <c r="BA450" t="s">
        <v>74</v>
      </c>
      <c r="BB450">
        <v>304</v>
      </c>
      <c r="BC450">
        <v>312</v>
      </c>
      <c r="BD450" t="s">
        <v>74</v>
      </c>
      <c r="BE450" t="s">
        <v>8488</v>
      </c>
      <c r="BF450" t="str">
        <f>HYPERLINK("http://dx.doi.org/10.1017/S0032247409008341","http://dx.doi.org/10.1017/S0032247409008341")</f>
        <v>http://dx.doi.org/10.1017/S0032247409008341</v>
      </c>
      <c r="BG450" t="s">
        <v>74</v>
      </c>
      <c r="BH450" t="s">
        <v>74</v>
      </c>
      <c r="BI450">
        <v>9</v>
      </c>
      <c r="BJ450" t="s">
        <v>7503</v>
      </c>
      <c r="BK450" t="s">
        <v>98</v>
      </c>
      <c r="BL450" t="s">
        <v>516</v>
      </c>
      <c r="BM450" t="s">
        <v>8489</v>
      </c>
      <c r="BN450" t="s">
        <v>74</v>
      </c>
      <c r="BO450" t="s">
        <v>74</v>
      </c>
      <c r="BP450" t="s">
        <v>74</v>
      </c>
      <c r="BQ450" t="s">
        <v>74</v>
      </c>
      <c r="BR450" t="s">
        <v>101</v>
      </c>
      <c r="BS450" t="s">
        <v>8490</v>
      </c>
      <c r="BT450" t="str">
        <f>HYPERLINK("https%3A%2F%2Fwww.webofscience.com%2Fwos%2Fwoscc%2Ffull-record%2FWOS:000270208700002","View Full Record in Web of Science")</f>
        <v>View Full Record in Web of Science</v>
      </c>
    </row>
    <row r="451" spans="1:72" x14ac:dyDescent="0.15">
      <c r="A451" t="s">
        <v>72</v>
      </c>
      <c r="B451" t="s">
        <v>8491</v>
      </c>
      <c r="C451" t="s">
        <v>74</v>
      </c>
      <c r="D451" t="s">
        <v>74</v>
      </c>
      <c r="E451" t="s">
        <v>74</v>
      </c>
      <c r="F451" t="s">
        <v>8492</v>
      </c>
      <c r="G451" t="s">
        <v>74</v>
      </c>
      <c r="H451" t="s">
        <v>74</v>
      </c>
      <c r="I451" t="s">
        <v>8493</v>
      </c>
      <c r="J451" t="s">
        <v>8479</v>
      </c>
      <c r="K451" t="s">
        <v>74</v>
      </c>
      <c r="L451" t="s">
        <v>74</v>
      </c>
      <c r="M451" t="s">
        <v>78</v>
      </c>
      <c r="N451" t="s">
        <v>297</v>
      </c>
      <c r="O451" t="s">
        <v>74</v>
      </c>
      <c r="P451" t="s">
        <v>74</v>
      </c>
      <c r="Q451" t="s">
        <v>74</v>
      </c>
      <c r="R451" t="s">
        <v>74</v>
      </c>
      <c r="S451" t="s">
        <v>74</v>
      </c>
      <c r="T451" t="s">
        <v>74</v>
      </c>
      <c r="U451" t="s">
        <v>8494</v>
      </c>
      <c r="V451" t="s">
        <v>8495</v>
      </c>
      <c r="W451" t="s">
        <v>8496</v>
      </c>
      <c r="X451" t="s">
        <v>4660</v>
      </c>
      <c r="Y451" t="s">
        <v>8497</v>
      </c>
      <c r="Z451" t="s">
        <v>8498</v>
      </c>
      <c r="AA451" t="s">
        <v>74</v>
      </c>
      <c r="AB451" t="s">
        <v>74</v>
      </c>
      <c r="AC451" t="s">
        <v>74</v>
      </c>
      <c r="AD451" t="s">
        <v>74</v>
      </c>
      <c r="AE451" t="s">
        <v>74</v>
      </c>
      <c r="AF451" t="s">
        <v>74</v>
      </c>
      <c r="AG451">
        <v>153</v>
      </c>
      <c r="AH451">
        <v>18</v>
      </c>
      <c r="AI451">
        <v>21</v>
      </c>
      <c r="AJ451">
        <v>0</v>
      </c>
      <c r="AK451">
        <v>11</v>
      </c>
      <c r="AL451" t="s">
        <v>1226</v>
      </c>
      <c r="AM451" t="s">
        <v>684</v>
      </c>
      <c r="AN451" t="s">
        <v>1227</v>
      </c>
      <c r="AO451" t="s">
        <v>8485</v>
      </c>
      <c r="AP451" t="s">
        <v>8499</v>
      </c>
      <c r="AQ451" t="s">
        <v>74</v>
      </c>
      <c r="AR451" t="s">
        <v>8486</v>
      </c>
      <c r="AS451" t="s">
        <v>8487</v>
      </c>
      <c r="AT451" t="s">
        <v>7132</v>
      </c>
      <c r="AU451">
        <v>2009</v>
      </c>
      <c r="AV451">
        <v>45</v>
      </c>
      <c r="AW451">
        <v>235</v>
      </c>
      <c r="AX451" t="s">
        <v>74</v>
      </c>
      <c r="AY451" t="s">
        <v>74</v>
      </c>
      <c r="AZ451" t="s">
        <v>74</v>
      </c>
      <c r="BA451" t="s">
        <v>74</v>
      </c>
      <c r="BB451">
        <v>313</v>
      </c>
      <c r="BC451">
        <v>336</v>
      </c>
      <c r="BD451" t="s">
        <v>74</v>
      </c>
      <c r="BE451" t="s">
        <v>8500</v>
      </c>
      <c r="BF451" t="str">
        <f>HYPERLINK("http://dx.doi.org/10.1017/S0032247409008316","http://dx.doi.org/10.1017/S0032247409008316")</f>
        <v>http://dx.doi.org/10.1017/S0032247409008316</v>
      </c>
      <c r="BG451" t="s">
        <v>74</v>
      </c>
      <c r="BH451" t="s">
        <v>74</v>
      </c>
      <c r="BI451">
        <v>24</v>
      </c>
      <c r="BJ451" t="s">
        <v>7503</v>
      </c>
      <c r="BK451" t="s">
        <v>98</v>
      </c>
      <c r="BL451" t="s">
        <v>516</v>
      </c>
      <c r="BM451" t="s">
        <v>8489</v>
      </c>
      <c r="BN451" t="s">
        <v>74</v>
      </c>
      <c r="BO451" t="s">
        <v>74</v>
      </c>
      <c r="BP451" t="s">
        <v>74</v>
      </c>
      <c r="BQ451" t="s">
        <v>74</v>
      </c>
      <c r="BR451" t="s">
        <v>101</v>
      </c>
      <c r="BS451" t="s">
        <v>8501</v>
      </c>
      <c r="BT451" t="str">
        <f>HYPERLINK("https%3A%2F%2Fwww.webofscience.com%2Fwos%2Fwoscc%2Ffull-record%2FWOS:000270208700003","View Full Record in Web of Science")</f>
        <v>View Full Record in Web of Science</v>
      </c>
    </row>
    <row r="452" spans="1:72" x14ac:dyDescent="0.15">
      <c r="A452" t="s">
        <v>72</v>
      </c>
      <c r="B452" t="s">
        <v>8502</v>
      </c>
      <c r="C452" t="s">
        <v>74</v>
      </c>
      <c r="D452" t="s">
        <v>74</v>
      </c>
      <c r="E452" t="s">
        <v>74</v>
      </c>
      <c r="F452" t="s">
        <v>8503</v>
      </c>
      <c r="G452" t="s">
        <v>74</v>
      </c>
      <c r="H452" t="s">
        <v>74</v>
      </c>
      <c r="I452" t="s">
        <v>8504</v>
      </c>
      <c r="J452" t="s">
        <v>8479</v>
      </c>
      <c r="K452" t="s">
        <v>74</v>
      </c>
      <c r="L452" t="s">
        <v>74</v>
      </c>
      <c r="M452" t="s">
        <v>78</v>
      </c>
      <c r="N452" t="s">
        <v>79</v>
      </c>
      <c r="O452" t="s">
        <v>74</v>
      </c>
      <c r="P452" t="s">
        <v>74</v>
      </c>
      <c r="Q452" t="s">
        <v>74</v>
      </c>
      <c r="R452" t="s">
        <v>74</v>
      </c>
      <c r="S452" t="s">
        <v>74</v>
      </c>
      <c r="T452" t="s">
        <v>74</v>
      </c>
      <c r="U452" t="s">
        <v>8505</v>
      </c>
      <c r="V452" t="s">
        <v>8506</v>
      </c>
      <c r="W452" t="s">
        <v>8507</v>
      </c>
      <c r="X452" t="s">
        <v>8508</v>
      </c>
      <c r="Y452" t="s">
        <v>8509</v>
      </c>
      <c r="Z452" t="s">
        <v>8510</v>
      </c>
      <c r="AA452" t="s">
        <v>74</v>
      </c>
      <c r="AB452" t="s">
        <v>74</v>
      </c>
      <c r="AC452" t="s">
        <v>74</v>
      </c>
      <c r="AD452" t="s">
        <v>74</v>
      </c>
      <c r="AE452" t="s">
        <v>74</v>
      </c>
      <c r="AF452" t="s">
        <v>74</v>
      </c>
      <c r="AG452">
        <v>18</v>
      </c>
      <c r="AH452">
        <v>0</v>
      </c>
      <c r="AI452">
        <v>0</v>
      </c>
      <c r="AJ452">
        <v>0</v>
      </c>
      <c r="AK452">
        <v>5</v>
      </c>
      <c r="AL452" t="s">
        <v>1226</v>
      </c>
      <c r="AM452" t="s">
        <v>684</v>
      </c>
      <c r="AN452" t="s">
        <v>1227</v>
      </c>
      <c r="AO452" t="s">
        <v>8485</v>
      </c>
      <c r="AP452" t="s">
        <v>74</v>
      </c>
      <c r="AQ452" t="s">
        <v>74</v>
      </c>
      <c r="AR452" t="s">
        <v>8486</v>
      </c>
      <c r="AS452" t="s">
        <v>8487</v>
      </c>
      <c r="AT452" t="s">
        <v>7132</v>
      </c>
      <c r="AU452">
        <v>2009</v>
      </c>
      <c r="AV452">
        <v>45</v>
      </c>
      <c r="AW452">
        <v>235</v>
      </c>
      <c r="AX452" t="s">
        <v>74</v>
      </c>
      <c r="AY452" t="s">
        <v>74</v>
      </c>
      <c r="AZ452" t="s">
        <v>74</v>
      </c>
      <c r="BA452" t="s">
        <v>74</v>
      </c>
      <c r="BB452">
        <v>360</v>
      </c>
      <c r="BC452">
        <v>367</v>
      </c>
      <c r="BD452" t="s">
        <v>74</v>
      </c>
      <c r="BE452" t="s">
        <v>8511</v>
      </c>
      <c r="BF452" t="str">
        <f>HYPERLINK("http://dx.doi.org/10.1017/S0032247409008328","http://dx.doi.org/10.1017/S0032247409008328")</f>
        <v>http://dx.doi.org/10.1017/S0032247409008328</v>
      </c>
      <c r="BG452" t="s">
        <v>74</v>
      </c>
      <c r="BH452" t="s">
        <v>74</v>
      </c>
      <c r="BI452">
        <v>8</v>
      </c>
      <c r="BJ452" t="s">
        <v>7503</v>
      </c>
      <c r="BK452" t="s">
        <v>98</v>
      </c>
      <c r="BL452" t="s">
        <v>516</v>
      </c>
      <c r="BM452" t="s">
        <v>8489</v>
      </c>
      <c r="BN452" t="s">
        <v>74</v>
      </c>
      <c r="BO452" t="s">
        <v>74</v>
      </c>
      <c r="BP452" t="s">
        <v>74</v>
      </c>
      <c r="BQ452" t="s">
        <v>74</v>
      </c>
      <c r="BR452" t="s">
        <v>101</v>
      </c>
      <c r="BS452" t="s">
        <v>8512</v>
      </c>
      <c r="BT452" t="str">
        <f>HYPERLINK("https%3A%2F%2Fwww.webofscience.com%2Fwos%2Fwoscc%2Ffull-record%2FWOS:000270208700006","View Full Record in Web of Science")</f>
        <v>View Full Record in Web of Science</v>
      </c>
    </row>
    <row r="453" spans="1:72" x14ac:dyDescent="0.15">
      <c r="A453" t="s">
        <v>72</v>
      </c>
      <c r="B453" t="s">
        <v>8513</v>
      </c>
      <c r="C453" t="s">
        <v>74</v>
      </c>
      <c r="D453" t="s">
        <v>74</v>
      </c>
      <c r="E453" t="s">
        <v>74</v>
      </c>
      <c r="F453" t="s">
        <v>8514</v>
      </c>
      <c r="G453" t="s">
        <v>74</v>
      </c>
      <c r="H453" t="s">
        <v>74</v>
      </c>
      <c r="I453" t="s">
        <v>8515</v>
      </c>
      <c r="J453" t="s">
        <v>8479</v>
      </c>
      <c r="K453" t="s">
        <v>74</v>
      </c>
      <c r="L453" t="s">
        <v>74</v>
      </c>
      <c r="M453" t="s">
        <v>78</v>
      </c>
      <c r="N453" t="s">
        <v>79</v>
      </c>
      <c r="O453" t="s">
        <v>74</v>
      </c>
      <c r="P453" t="s">
        <v>74</v>
      </c>
      <c r="Q453" t="s">
        <v>74</v>
      </c>
      <c r="R453" t="s">
        <v>74</v>
      </c>
      <c r="S453" t="s">
        <v>74</v>
      </c>
      <c r="T453" t="s">
        <v>74</v>
      </c>
      <c r="U453" t="s">
        <v>8516</v>
      </c>
      <c r="V453" t="s">
        <v>8517</v>
      </c>
      <c r="W453" t="s">
        <v>8518</v>
      </c>
      <c r="X453" t="s">
        <v>1309</v>
      </c>
      <c r="Y453" t="s">
        <v>8519</v>
      </c>
      <c r="Z453" t="s">
        <v>8520</v>
      </c>
      <c r="AA453" t="s">
        <v>74</v>
      </c>
      <c r="AB453" t="s">
        <v>74</v>
      </c>
      <c r="AC453" t="s">
        <v>74</v>
      </c>
      <c r="AD453" t="s">
        <v>74</v>
      </c>
      <c r="AE453" t="s">
        <v>74</v>
      </c>
      <c r="AF453" t="s">
        <v>74</v>
      </c>
      <c r="AG453">
        <v>39</v>
      </c>
      <c r="AH453">
        <v>5</v>
      </c>
      <c r="AI453">
        <v>8</v>
      </c>
      <c r="AJ453">
        <v>0</v>
      </c>
      <c r="AK453">
        <v>4</v>
      </c>
      <c r="AL453" t="s">
        <v>1226</v>
      </c>
      <c r="AM453" t="s">
        <v>684</v>
      </c>
      <c r="AN453" t="s">
        <v>1227</v>
      </c>
      <c r="AO453" t="s">
        <v>8485</v>
      </c>
      <c r="AP453" t="s">
        <v>74</v>
      </c>
      <c r="AQ453" t="s">
        <v>74</v>
      </c>
      <c r="AR453" t="s">
        <v>8486</v>
      </c>
      <c r="AS453" t="s">
        <v>8487</v>
      </c>
      <c r="AT453" t="s">
        <v>7132</v>
      </c>
      <c r="AU453">
        <v>2009</v>
      </c>
      <c r="AV453">
        <v>45</v>
      </c>
      <c r="AW453">
        <v>235</v>
      </c>
      <c r="AX453" t="s">
        <v>74</v>
      </c>
      <c r="AY453" t="s">
        <v>74</v>
      </c>
      <c r="AZ453" t="s">
        <v>74</v>
      </c>
      <c r="BA453" t="s">
        <v>74</v>
      </c>
      <c r="BB453">
        <v>375</v>
      </c>
      <c r="BC453">
        <v>380</v>
      </c>
      <c r="BD453" t="s">
        <v>74</v>
      </c>
      <c r="BE453" t="s">
        <v>8521</v>
      </c>
      <c r="BF453" t="str">
        <f>HYPERLINK("http://dx.doi.org/10.1017/S0032247409008444","http://dx.doi.org/10.1017/S0032247409008444")</f>
        <v>http://dx.doi.org/10.1017/S0032247409008444</v>
      </c>
      <c r="BG453" t="s">
        <v>74</v>
      </c>
      <c r="BH453" t="s">
        <v>74</v>
      </c>
      <c r="BI453">
        <v>6</v>
      </c>
      <c r="BJ453" t="s">
        <v>7503</v>
      </c>
      <c r="BK453" t="s">
        <v>98</v>
      </c>
      <c r="BL453" t="s">
        <v>516</v>
      </c>
      <c r="BM453" t="s">
        <v>8489</v>
      </c>
      <c r="BN453" t="s">
        <v>74</v>
      </c>
      <c r="BO453" t="s">
        <v>74</v>
      </c>
      <c r="BP453" t="s">
        <v>74</v>
      </c>
      <c r="BQ453" t="s">
        <v>74</v>
      </c>
      <c r="BR453" t="s">
        <v>101</v>
      </c>
      <c r="BS453" t="s">
        <v>8522</v>
      </c>
      <c r="BT453" t="str">
        <f>HYPERLINK("https%3A%2F%2Fwww.webofscience.com%2Fwos%2Fwoscc%2Ffull-record%2FWOS:000270208700008","View Full Record in Web of Science")</f>
        <v>View Full Record in Web of Science</v>
      </c>
    </row>
    <row r="454" spans="1:72" x14ac:dyDescent="0.15">
      <c r="A454" t="s">
        <v>72</v>
      </c>
      <c r="B454" t="s">
        <v>8523</v>
      </c>
      <c r="C454" t="s">
        <v>74</v>
      </c>
      <c r="D454" t="s">
        <v>74</v>
      </c>
      <c r="E454" t="s">
        <v>74</v>
      </c>
      <c r="F454" t="s">
        <v>8524</v>
      </c>
      <c r="G454" t="s">
        <v>74</v>
      </c>
      <c r="H454" t="s">
        <v>74</v>
      </c>
      <c r="I454" t="s">
        <v>8525</v>
      </c>
      <c r="J454" t="s">
        <v>8479</v>
      </c>
      <c r="K454" t="s">
        <v>74</v>
      </c>
      <c r="L454" t="s">
        <v>74</v>
      </c>
      <c r="M454" t="s">
        <v>78</v>
      </c>
      <c r="N454" t="s">
        <v>523</v>
      </c>
      <c r="O454" t="s">
        <v>74</v>
      </c>
      <c r="P454" t="s">
        <v>74</v>
      </c>
      <c r="Q454" t="s">
        <v>74</v>
      </c>
      <c r="R454" t="s">
        <v>74</v>
      </c>
      <c r="S454" t="s">
        <v>74</v>
      </c>
      <c r="T454" t="s">
        <v>74</v>
      </c>
      <c r="U454" t="s">
        <v>74</v>
      </c>
      <c r="V454" t="s">
        <v>8526</v>
      </c>
      <c r="W454" t="s">
        <v>74</v>
      </c>
      <c r="X454" t="s">
        <v>74</v>
      </c>
      <c r="Y454" t="s">
        <v>8527</v>
      </c>
      <c r="Z454" t="s">
        <v>8528</v>
      </c>
      <c r="AA454" t="s">
        <v>74</v>
      </c>
      <c r="AB454" t="s">
        <v>74</v>
      </c>
      <c r="AC454" t="s">
        <v>74</v>
      </c>
      <c r="AD454" t="s">
        <v>74</v>
      </c>
      <c r="AE454" t="s">
        <v>74</v>
      </c>
      <c r="AF454" t="s">
        <v>74</v>
      </c>
      <c r="AG454">
        <v>13</v>
      </c>
      <c r="AH454">
        <v>0</v>
      </c>
      <c r="AI454">
        <v>0</v>
      </c>
      <c r="AJ454">
        <v>0</v>
      </c>
      <c r="AK454">
        <v>3</v>
      </c>
      <c r="AL454" t="s">
        <v>1226</v>
      </c>
      <c r="AM454" t="s">
        <v>684</v>
      </c>
      <c r="AN454" t="s">
        <v>1227</v>
      </c>
      <c r="AO454" t="s">
        <v>8485</v>
      </c>
      <c r="AP454" t="s">
        <v>74</v>
      </c>
      <c r="AQ454" t="s">
        <v>74</v>
      </c>
      <c r="AR454" t="s">
        <v>8486</v>
      </c>
      <c r="AS454" t="s">
        <v>8487</v>
      </c>
      <c r="AT454" t="s">
        <v>7132</v>
      </c>
      <c r="AU454">
        <v>2009</v>
      </c>
      <c r="AV454">
        <v>45</v>
      </c>
      <c r="AW454">
        <v>235</v>
      </c>
      <c r="AX454" t="s">
        <v>74</v>
      </c>
      <c r="AY454" t="s">
        <v>74</v>
      </c>
      <c r="AZ454" t="s">
        <v>74</v>
      </c>
      <c r="BA454" t="s">
        <v>74</v>
      </c>
      <c r="BB454">
        <v>381</v>
      </c>
      <c r="BC454">
        <v>383</v>
      </c>
      <c r="BD454" t="s">
        <v>74</v>
      </c>
      <c r="BE454" t="s">
        <v>8529</v>
      </c>
      <c r="BF454" t="str">
        <f>HYPERLINK("http://dx.doi.org/10.1017/S0032247409008468","http://dx.doi.org/10.1017/S0032247409008468")</f>
        <v>http://dx.doi.org/10.1017/S0032247409008468</v>
      </c>
      <c r="BG454" t="s">
        <v>74</v>
      </c>
      <c r="BH454" t="s">
        <v>74</v>
      </c>
      <c r="BI454">
        <v>3</v>
      </c>
      <c r="BJ454" t="s">
        <v>7503</v>
      </c>
      <c r="BK454" t="s">
        <v>98</v>
      </c>
      <c r="BL454" t="s">
        <v>516</v>
      </c>
      <c r="BM454" t="s">
        <v>8489</v>
      </c>
      <c r="BN454" t="s">
        <v>74</v>
      </c>
      <c r="BO454" t="s">
        <v>74</v>
      </c>
      <c r="BP454" t="s">
        <v>74</v>
      </c>
      <c r="BQ454" t="s">
        <v>74</v>
      </c>
      <c r="BR454" t="s">
        <v>101</v>
      </c>
      <c r="BS454" t="s">
        <v>8530</v>
      </c>
      <c r="BT454" t="str">
        <f>HYPERLINK("https%3A%2F%2Fwww.webofscience.com%2Fwos%2Fwoscc%2Ffull-record%2FWOS:000270208700009","View Full Record in Web of Science")</f>
        <v>View Full Record in Web of Science</v>
      </c>
    </row>
    <row r="455" spans="1:72" x14ac:dyDescent="0.15">
      <c r="A455" t="s">
        <v>72</v>
      </c>
      <c r="B455" t="s">
        <v>8531</v>
      </c>
      <c r="C455" t="s">
        <v>74</v>
      </c>
      <c r="D455" t="s">
        <v>74</v>
      </c>
      <c r="E455" t="s">
        <v>74</v>
      </c>
      <c r="F455" t="s">
        <v>8532</v>
      </c>
      <c r="G455" t="s">
        <v>74</v>
      </c>
      <c r="H455" t="s">
        <v>74</v>
      </c>
      <c r="I455" t="s">
        <v>8533</v>
      </c>
      <c r="J455" t="s">
        <v>8534</v>
      </c>
      <c r="K455" t="s">
        <v>74</v>
      </c>
      <c r="L455" t="s">
        <v>74</v>
      </c>
      <c r="M455" t="s">
        <v>78</v>
      </c>
      <c r="N455" t="s">
        <v>79</v>
      </c>
      <c r="O455" t="s">
        <v>74</v>
      </c>
      <c r="P455" t="s">
        <v>74</v>
      </c>
      <c r="Q455" t="s">
        <v>74</v>
      </c>
      <c r="R455" t="s">
        <v>74</v>
      </c>
      <c r="S455" t="s">
        <v>74</v>
      </c>
      <c r="T455" t="s">
        <v>8535</v>
      </c>
      <c r="U455" t="s">
        <v>8536</v>
      </c>
      <c r="V455" t="s">
        <v>8537</v>
      </c>
      <c r="W455" t="s">
        <v>8538</v>
      </c>
      <c r="X455" t="s">
        <v>8539</v>
      </c>
      <c r="Y455" t="s">
        <v>8540</v>
      </c>
      <c r="Z455" t="s">
        <v>8541</v>
      </c>
      <c r="AA455" t="s">
        <v>8542</v>
      </c>
      <c r="AB455" t="s">
        <v>8543</v>
      </c>
      <c r="AC455" t="s">
        <v>8544</v>
      </c>
      <c r="AD455" t="s">
        <v>8545</v>
      </c>
      <c r="AE455" t="s">
        <v>8546</v>
      </c>
      <c r="AF455" t="s">
        <v>74</v>
      </c>
      <c r="AG455">
        <v>23</v>
      </c>
      <c r="AH455">
        <v>27</v>
      </c>
      <c r="AI455">
        <v>28</v>
      </c>
      <c r="AJ455">
        <v>2</v>
      </c>
      <c r="AK455">
        <v>65</v>
      </c>
      <c r="AL455" t="s">
        <v>1978</v>
      </c>
      <c r="AM455" t="s">
        <v>1895</v>
      </c>
      <c r="AN455" t="s">
        <v>1979</v>
      </c>
      <c r="AO455" t="s">
        <v>8547</v>
      </c>
      <c r="AP455" t="s">
        <v>8548</v>
      </c>
      <c r="AQ455" t="s">
        <v>74</v>
      </c>
      <c r="AR455" t="s">
        <v>8549</v>
      </c>
      <c r="AS455" t="s">
        <v>8550</v>
      </c>
      <c r="AT455" t="s">
        <v>7132</v>
      </c>
      <c r="AU455">
        <v>2009</v>
      </c>
      <c r="AV455">
        <v>28</v>
      </c>
      <c r="AW455">
        <v>7</v>
      </c>
      <c r="AX455" t="s">
        <v>74</v>
      </c>
      <c r="AY455" t="s">
        <v>74</v>
      </c>
      <c r="AZ455" t="s">
        <v>74</v>
      </c>
      <c r="BA455" t="s">
        <v>74</v>
      </c>
      <c r="BB455">
        <v>673</v>
      </c>
      <c r="BC455">
        <v>679</v>
      </c>
      <c r="BD455" t="s">
        <v>74</v>
      </c>
      <c r="BE455" t="s">
        <v>8551</v>
      </c>
      <c r="BF455" t="str">
        <f>HYPERLINK("http://dx.doi.org/10.1016/j.polymertesting.2009.04.007","http://dx.doi.org/10.1016/j.polymertesting.2009.04.007")</f>
        <v>http://dx.doi.org/10.1016/j.polymertesting.2009.04.007</v>
      </c>
      <c r="BG455" t="s">
        <v>74</v>
      </c>
      <c r="BH455" t="s">
        <v>74</v>
      </c>
      <c r="BI455">
        <v>7</v>
      </c>
      <c r="BJ455" t="s">
        <v>8552</v>
      </c>
      <c r="BK455" t="s">
        <v>98</v>
      </c>
      <c r="BL455" t="s">
        <v>8553</v>
      </c>
      <c r="BM455" t="s">
        <v>8554</v>
      </c>
      <c r="BN455" t="s">
        <v>74</v>
      </c>
      <c r="BO455" t="s">
        <v>74</v>
      </c>
      <c r="BP455" t="s">
        <v>74</v>
      </c>
      <c r="BQ455" t="s">
        <v>74</v>
      </c>
      <c r="BR455" t="s">
        <v>101</v>
      </c>
      <c r="BS455" t="s">
        <v>8555</v>
      </c>
      <c r="BT455" t="str">
        <f>HYPERLINK("https%3A%2F%2Fwww.webofscience.com%2Fwos%2Fwoscc%2Ffull-record%2FWOS:000270121200002","View Full Record in Web of Science")</f>
        <v>View Full Record in Web of Science</v>
      </c>
    </row>
    <row r="456" spans="1:72" x14ac:dyDescent="0.15">
      <c r="A456" t="s">
        <v>72</v>
      </c>
      <c r="B456" t="s">
        <v>8556</v>
      </c>
      <c r="C456" t="s">
        <v>74</v>
      </c>
      <c r="D456" t="s">
        <v>74</v>
      </c>
      <c r="E456" t="s">
        <v>74</v>
      </c>
      <c r="F456" t="s">
        <v>8557</v>
      </c>
      <c r="G456" t="s">
        <v>74</v>
      </c>
      <c r="H456" t="s">
        <v>74</v>
      </c>
      <c r="I456" t="s">
        <v>8558</v>
      </c>
      <c r="J456" t="s">
        <v>8559</v>
      </c>
      <c r="K456" t="s">
        <v>74</v>
      </c>
      <c r="L456" t="s">
        <v>74</v>
      </c>
      <c r="M456" t="s">
        <v>78</v>
      </c>
      <c r="N456" t="s">
        <v>297</v>
      </c>
      <c r="O456" t="s">
        <v>74</v>
      </c>
      <c r="P456" t="s">
        <v>74</v>
      </c>
      <c r="Q456" t="s">
        <v>74</v>
      </c>
      <c r="R456" t="s">
        <v>74</v>
      </c>
      <c r="S456" t="s">
        <v>74</v>
      </c>
      <c r="T456" t="s">
        <v>8560</v>
      </c>
      <c r="U456" t="s">
        <v>8561</v>
      </c>
      <c r="V456" t="s">
        <v>8562</v>
      </c>
      <c r="W456" t="s">
        <v>8563</v>
      </c>
      <c r="X456" t="s">
        <v>8564</v>
      </c>
      <c r="Y456" t="s">
        <v>8565</v>
      </c>
      <c r="Z456" t="s">
        <v>8566</v>
      </c>
      <c r="AA456" t="s">
        <v>8567</v>
      </c>
      <c r="AB456" t="s">
        <v>74</v>
      </c>
      <c r="AC456" t="s">
        <v>8568</v>
      </c>
      <c r="AD456" t="s">
        <v>8569</v>
      </c>
      <c r="AE456" t="s">
        <v>8570</v>
      </c>
      <c r="AF456" t="s">
        <v>74</v>
      </c>
      <c r="AG456">
        <v>116</v>
      </c>
      <c r="AH456">
        <v>52</v>
      </c>
      <c r="AI456">
        <v>70</v>
      </c>
      <c r="AJ456">
        <v>1</v>
      </c>
      <c r="AK456">
        <v>24</v>
      </c>
      <c r="AL456" t="s">
        <v>305</v>
      </c>
      <c r="AM456" t="s">
        <v>281</v>
      </c>
      <c r="AN456" t="s">
        <v>306</v>
      </c>
      <c r="AO456" t="s">
        <v>8571</v>
      </c>
      <c r="AP456" t="s">
        <v>8572</v>
      </c>
      <c r="AQ456" t="s">
        <v>74</v>
      </c>
      <c r="AR456" t="s">
        <v>8573</v>
      </c>
      <c r="AS456" t="s">
        <v>8574</v>
      </c>
      <c r="AT456" t="s">
        <v>7132</v>
      </c>
      <c r="AU456">
        <v>2009</v>
      </c>
      <c r="AV456">
        <v>174</v>
      </c>
      <c r="AW456" t="s">
        <v>180</v>
      </c>
      <c r="AX456" t="s">
        <v>74</v>
      </c>
      <c r="AY456" t="s">
        <v>74</v>
      </c>
      <c r="AZ456" t="s">
        <v>74</v>
      </c>
      <c r="BA456" t="s">
        <v>74</v>
      </c>
      <c r="BB456">
        <v>181</v>
      </c>
      <c r="BC456">
        <v>199</v>
      </c>
      <c r="BD456" t="s">
        <v>74</v>
      </c>
      <c r="BE456" t="s">
        <v>8575</v>
      </c>
      <c r="BF456" t="str">
        <f>HYPERLINK("http://dx.doi.org/10.1016/j.precamres.2009.07.001","http://dx.doi.org/10.1016/j.precamres.2009.07.001")</f>
        <v>http://dx.doi.org/10.1016/j.precamres.2009.07.001</v>
      </c>
      <c r="BG456" t="s">
        <v>74</v>
      </c>
      <c r="BH456" t="s">
        <v>74</v>
      </c>
      <c r="BI456">
        <v>19</v>
      </c>
      <c r="BJ456" t="s">
        <v>464</v>
      </c>
      <c r="BK456" t="s">
        <v>98</v>
      </c>
      <c r="BL456" t="s">
        <v>465</v>
      </c>
      <c r="BM456" t="s">
        <v>8576</v>
      </c>
      <c r="BN456" t="s">
        <v>74</v>
      </c>
      <c r="BO456" t="s">
        <v>74</v>
      </c>
      <c r="BP456" t="s">
        <v>74</v>
      </c>
      <c r="BQ456" t="s">
        <v>74</v>
      </c>
      <c r="BR456" t="s">
        <v>101</v>
      </c>
      <c r="BS456" t="s">
        <v>8577</v>
      </c>
      <c r="BT456" t="str">
        <f>HYPERLINK("https%3A%2F%2Fwww.webofscience.com%2Fwos%2Fwoscc%2Ffull-record%2FWOS:000271362800012","View Full Record in Web of Science")</f>
        <v>View Full Record in Web of Science</v>
      </c>
    </row>
    <row r="457" spans="1:72" x14ac:dyDescent="0.15">
      <c r="A457" t="s">
        <v>72</v>
      </c>
      <c r="B457" t="s">
        <v>8578</v>
      </c>
      <c r="C457" t="s">
        <v>74</v>
      </c>
      <c r="D457" t="s">
        <v>74</v>
      </c>
      <c r="E457" t="s">
        <v>74</v>
      </c>
      <c r="F457" t="s">
        <v>8579</v>
      </c>
      <c r="G457" t="s">
        <v>74</v>
      </c>
      <c r="H457" t="s">
        <v>74</v>
      </c>
      <c r="I457" t="s">
        <v>8580</v>
      </c>
      <c r="J457" t="s">
        <v>8581</v>
      </c>
      <c r="K457" t="s">
        <v>74</v>
      </c>
      <c r="L457" t="s">
        <v>74</v>
      </c>
      <c r="M457" t="s">
        <v>78</v>
      </c>
      <c r="N457" t="s">
        <v>297</v>
      </c>
      <c r="O457" t="s">
        <v>74</v>
      </c>
      <c r="P457" t="s">
        <v>74</v>
      </c>
      <c r="Q457" t="s">
        <v>74</v>
      </c>
      <c r="R457" t="s">
        <v>74</v>
      </c>
      <c r="S457" t="s">
        <v>74</v>
      </c>
      <c r="T457" t="s">
        <v>74</v>
      </c>
      <c r="U457" t="s">
        <v>8582</v>
      </c>
      <c r="V457" t="s">
        <v>8583</v>
      </c>
      <c r="W457" t="s">
        <v>8584</v>
      </c>
      <c r="X457" t="s">
        <v>8585</v>
      </c>
      <c r="Y457" t="s">
        <v>8586</v>
      </c>
      <c r="Z457" t="s">
        <v>8587</v>
      </c>
      <c r="AA457" t="s">
        <v>74</v>
      </c>
      <c r="AB457" t="s">
        <v>74</v>
      </c>
      <c r="AC457" t="s">
        <v>74</v>
      </c>
      <c r="AD457" t="s">
        <v>74</v>
      </c>
      <c r="AE457" t="s">
        <v>74</v>
      </c>
      <c r="AF457" t="s">
        <v>74</v>
      </c>
      <c r="AG457">
        <v>28</v>
      </c>
      <c r="AH457">
        <v>11</v>
      </c>
      <c r="AI457">
        <v>12</v>
      </c>
      <c r="AJ457">
        <v>0</v>
      </c>
      <c r="AK457">
        <v>9</v>
      </c>
      <c r="AL457" t="s">
        <v>1894</v>
      </c>
      <c r="AM457" t="s">
        <v>1895</v>
      </c>
      <c r="AN457" t="s">
        <v>1896</v>
      </c>
      <c r="AO457" t="s">
        <v>8588</v>
      </c>
      <c r="AP457" t="s">
        <v>74</v>
      </c>
      <c r="AQ457" t="s">
        <v>74</v>
      </c>
      <c r="AR457" t="s">
        <v>8589</v>
      </c>
      <c r="AS457" t="s">
        <v>8590</v>
      </c>
      <c r="AT457" t="s">
        <v>7374</v>
      </c>
      <c r="AU457">
        <v>2009</v>
      </c>
      <c r="AV457">
        <v>83</v>
      </c>
      <c r="AW457" t="s">
        <v>6761</v>
      </c>
      <c r="AX457" t="s">
        <v>74</v>
      </c>
      <c r="AY457" t="s">
        <v>74</v>
      </c>
      <c r="AZ457" t="s">
        <v>1546</v>
      </c>
      <c r="BA457" t="s">
        <v>74</v>
      </c>
      <c r="BB457">
        <v>237</v>
      </c>
      <c r="BC457">
        <v>241</v>
      </c>
      <c r="BD457" t="s">
        <v>74</v>
      </c>
      <c r="BE457" t="s">
        <v>8591</v>
      </c>
      <c r="BF457" t="str">
        <f>HYPERLINK("http://dx.doi.org/10.1016/j.pocean.2009.07.040","http://dx.doi.org/10.1016/j.pocean.2009.07.040")</f>
        <v>http://dx.doi.org/10.1016/j.pocean.2009.07.040</v>
      </c>
      <c r="BG457" t="s">
        <v>74</v>
      </c>
      <c r="BH457" t="s">
        <v>74</v>
      </c>
      <c r="BI457">
        <v>5</v>
      </c>
      <c r="BJ457" t="s">
        <v>806</v>
      </c>
      <c r="BK457" t="s">
        <v>98</v>
      </c>
      <c r="BL457" t="s">
        <v>806</v>
      </c>
      <c r="BM457" t="s">
        <v>8592</v>
      </c>
      <c r="BN457" t="s">
        <v>74</v>
      </c>
      <c r="BO457" t="s">
        <v>74</v>
      </c>
      <c r="BP457" t="s">
        <v>74</v>
      </c>
      <c r="BQ457" t="s">
        <v>74</v>
      </c>
      <c r="BR457" t="s">
        <v>101</v>
      </c>
      <c r="BS457" t="s">
        <v>8593</v>
      </c>
      <c r="BT457" t="str">
        <f>HYPERLINK("https%3A%2F%2Fwww.webofscience.com%2Fwos%2Fwoscc%2Ffull-record%2FWOS:000273242100022","View Full Record in Web of Science")</f>
        <v>View Full Record in Web of Science</v>
      </c>
    </row>
    <row r="458" spans="1:72" x14ac:dyDescent="0.15">
      <c r="A458" t="s">
        <v>72</v>
      </c>
      <c r="B458" t="s">
        <v>8594</v>
      </c>
      <c r="C458" t="s">
        <v>74</v>
      </c>
      <c r="D458" t="s">
        <v>74</v>
      </c>
      <c r="E458" t="s">
        <v>74</v>
      </c>
      <c r="F458" t="s">
        <v>8595</v>
      </c>
      <c r="G458" t="s">
        <v>74</v>
      </c>
      <c r="H458" t="s">
        <v>74</v>
      </c>
      <c r="I458" t="s">
        <v>8596</v>
      </c>
      <c r="J458" t="s">
        <v>8597</v>
      </c>
      <c r="K458" t="s">
        <v>74</v>
      </c>
      <c r="L458" t="s">
        <v>74</v>
      </c>
      <c r="M458" t="s">
        <v>78</v>
      </c>
      <c r="N458" t="s">
        <v>79</v>
      </c>
      <c r="O458" t="s">
        <v>74</v>
      </c>
      <c r="P458" t="s">
        <v>74</v>
      </c>
      <c r="Q458" t="s">
        <v>74</v>
      </c>
      <c r="R458" t="s">
        <v>74</v>
      </c>
      <c r="S458" t="s">
        <v>74</v>
      </c>
      <c r="T458" t="s">
        <v>8598</v>
      </c>
      <c r="U458" t="s">
        <v>8599</v>
      </c>
      <c r="V458" t="s">
        <v>8600</v>
      </c>
      <c r="W458" t="s">
        <v>8601</v>
      </c>
      <c r="X458" t="s">
        <v>8602</v>
      </c>
      <c r="Y458" t="s">
        <v>8603</v>
      </c>
      <c r="Z458" t="s">
        <v>8604</v>
      </c>
      <c r="AA458" t="s">
        <v>8605</v>
      </c>
      <c r="AB458" t="s">
        <v>8606</v>
      </c>
      <c r="AC458" t="s">
        <v>8607</v>
      </c>
      <c r="AD458" t="s">
        <v>2613</v>
      </c>
      <c r="AE458" t="s">
        <v>74</v>
      </c>
      <c r="AF458" t="s">
        <v>74</v>
      </c>
      <c r="AG458">
        <v>44</v>
      </c>
      <c r="AH458">
        <v>37</v>
      </c>
      <c r="AI458">
        <v>39</v>
      </c>
      <c r="AJ458">
        <v>1</v>
      </c>
      <c r="AK458">
        <v>12</v>
      </c>
      <c r="AL458" t="s">
        <v>1184</v>
      </c>
      <c r="AM458" t="s">
        <v>1185</v>
      </c>
      <c r="AN458" t="s">
        <v>1186</v>
      </c>
      <c r="AO458" t="s">
        <v>8608</v>
      </c>
      <c r="AP458" t="s">
        <v>8609</v>
      </c>
      <c r="AQ458" t="s">
        <v>74</v>
      </c>
      <c r="AR458" t="s">
        <v>8610</v>
      </c>
      <c r="AS458" t="s">
        <v>8611</v>
      </c>
      <c r="AT458" t="s">
        <v>7132</v>
      </c>
      <c r="AU458">
        <v>2009</v>
      </c>
      <c r="AV458">
        <v>135</v>
      </c>
      <c r="AW458">
        <v>645</v>
      </c>
      <c r="AX458" t="s">
        <v>8612</v>
      </c>
      <c r="AY458" t="s">
        <v>74</v>
      </c>
      <c r="AZ458" t="s">
        <v>1546</v>
      </c>
      <c r="BA458" t="s">
        <v>74</v>
      </c>
      <c r="BB458">
        <v>1919</v>
      </c>
      <c r="BC458">
        <v>1933</v>
      </c>
      <c r="BD458" t="s">
        <v>74</v>
      </c>
      <c r="BE458" t="s">
        <v>8613</v>
      </c>
      <c r="BF458" t="str">
        <f>HYPERLINK("http://dx.doi.org/10.1002/qj.513","http://dx.doi.org/10.1002/qj.513")</f>
        <v>http://dx.doi.org/10.1002/qj.513</v>
      </c>
      <c r="BG458" t="s">
        <v>74</v>
      </c>
      <c r="BH458" t="s">
        <v>74</v>
      </c>
      <c r="BI458">
        <v>15</v>
      </c>
      <c r="BJ458" t="s">
        <v>413</v>
      </c>
      <c r="BK458" t="s">
        <v>98</v>
      </c>
      <c r="BL458" t="s">
        <v>413</v>
      </c>
      <c r="BM458" t="s">
        <v>8614</v>
      </c>
      <c r="BN458" t="s">
        <v>74</v>
      </c>
      <c r="BO458" t="s">
        <v>1381</v>
      </c>
      <c r="BP458" t="s">
        <v>74</v>
      </c>
      <c r="BQ458" t="s">
        <v>74</v>
      </c>
      <c r="BR458" t="s">
        <v>101</v>
      </c>
      <c r="BS458" t="s">
        <v>8615</v>
      </c>
      <c r="BT458" t="str">
        <f>HYPERLINK("https%3A%2F%2Fwww.webofscience.com%2Fwos%2Fwoscc%2Ffull-record%2FWOS:000273575200002","View Full Record in Web of Science")</f>
        <v>View Full Record in Web of Science</v>
      </c>
    </row>
    <row r="459" spans="1:72" x14ac:dyDescent="0.15">
      <c r="A459" t="s">
        <v>72</v>
      </c>
      <c r="B459" t="s">
        <v>8616</v>
      </c>
      <c r="C459" t="s">
        <v>74</v>
      </c>
      <c r="D459" t="s">
        <v>74</v>
      </c>
      <c r="E459" t="s">
        <v>74</v>
      </c>
      <c r="F459" t="s">
        <v>8617</v>
      </c>
      <c r="G459" t="s">
        <v>74</v>
      </c>
      <c r="H459" t="s">
        <v>74</v>
      </c>
      <c r="I459" t="s">
        <v>8618</v>
      </c>
      <c r="J459" t="s">
        <v>8597</v>
      </c>
      <c r="K459" t="s">
        <v>74</v>
      </c>
      <c r="L459" t="s">
        <v>74</v>
      </c>
      <c r="M459" t="s">
        <v>78</v>
      </c>
      <c r="N459" t="s">
        <v>79</v>
      </c>
      <c r="O459" t="s">
        <v>74</v>
      </c>
      <c r="P459" t="s">
        <v>74</v>
      </c>
      <c r="Q459" t="s">
        <v>74</v>
      </c>
      <c r="R459" t="s">
        <v>74</v>
      </c>
      <c r="S459" t="s">
        <v>74</v>
      </c>
      <c r="T459" t="s">
        <v>8619</v>
      </c>
      <c r="U459" t="s">
        <v>8620</v>
      </c>
      <c r="V459" t="s">
        <v>8621</v>
      </c>
      <c r="W459" t="s">
        <v>8622</v>
      </c>
      <c r="X459" t="s">
        <v>8602</v>
      </c>
      <c r="Y459" t="s">
        <v>8623</v>
      </c>
      <c r="Z459" t="s">
        <v>8624</v>
      </c>
      <c r="AA459" t="s">
        <v>8625</v>
      </c>
      <c r="AB459" t="s">
        <v>8626</v>
      </c>
      <c r="AC459" t="s">
        <v>8607</v>
      </c>
      <c r="AD459" t="s">
        <v>2613</v>
      </c>
      <c r="AE459" t="s">
        <v>74</v>
      </c>
      <c r="AF459" t="s">
        <v>74</v>
      </c>
      <c r="AG459">
        <v>46</v>
      </c>
      <c r="AH459">
        <v>42</v>
      </c>
      <c r="AI459">
        <v>44</v>
      </c>
      <c r="AJ459">
        <v>1</v>
      </c>
      <c r="AK459">
        <v>9</v>
      </c>
      <c r="AL459" t="s">
        <v>1184</v>
      </c>
      <c r="AM459" t="s">
        <v>1185</v>
      </c>
      <c r="AN459" t="s">
        <v>1186</v>
      </c>
      <c r="AO459" t="s">
        <v>8608</v>
      </c>
      <c r="AP459" t="s">
        <v>8609</v>
      </c>
      <c r="AQ459" t="s">
        <v>74</v>
      </c>
      <c r="AR459" t="s">
        <v>8610</v>
      </c>
      <c r="AS459" t="s">
        <v>8611</v>
      </c>
      <c r="AT459" t="s">
        <v>7132</v>
      </c>
      <c r="AU459">
        <v>2009</v>
      </c>
      <c r="AV459">
        <v>135</v>
      </c>
      <c r="AW459">
        <v>645</v>
      </c>
      <c r="AX459" t="s">
        <v>8612</v>
      </c>
      <c r="AY459" t="s">
        <v>74</v>
      </c>
      <c r="AZ459" t="s">
        <v>1546</v>
      </c>
      <c r="BA459" t="s">
        <v>74</v>
      </c>
      <c r="BB459">
        <v>1950</v>
      </c>
      <c r="BC459">
        <v>1967</v>
      </c>
      <c r="BD459" t="s">
        <v>74</v>
      </c>
      <c r="BE459" t="s">
        <v>8627</v>
      </c>
      <c r="BF459" t="str">
        <f>HYPERLINK("http://dx.doi.org/10.1002/qj.455","http://dx.doi.org/10.1002/qj.455")</f>
        <v>http://dx.doi.org/10.1002/qj.455</v>
      </c>
      <c r="BG459" t="s">
        <v>74</v>
      </c>
      <c r="BH459" t="s">
        <v>74</v>
      </c>
      <c r="BI459">
        <v>18</v>
      </c>
      <c r="BJ459" t="s">
        <v>413</v>
      </c>
      <c r="BK459" t="s">
        <v>98</v>
      </c>
      <c r="BL459" t="s">
        <v>413</v>
      </c>
      <c r="BM459" t="s">
        <v>8614</v>
      </c>
      <c r="BN459" t="s">
        <v>74</v>
      </c>
      <c r="BO459" t="s">
        <v>74</v>
      </c>
      <c r="BP459" t="s">
        <v>74</v>
      </c>
      <c r="BQ459" t="s">
        <v>74</v>
      </c>
      <c r="BR459" t="s">
        <v>101</v>
      </c>
      <c r="BS459" t="s">
        <v>8628</v>
      </c>
      <c r="BT459" t="str">
        <f>HYPERLINK("https%3A%2F%2Fwww.webofscience.com%2Fwos%2Fwoscc%2Ffull-record%2FWOS:000273575200004","View Full Record in Web of Science")</f>
        <v>View Full Record in Web of Science</v>
      </c>
    </row>
    <row r="460" spans="1:72" x14ac:dyDescent="0.15">
      <c r="A460" t="s">
        <v>72</v>
      </c>
      <c r="B460" t="s">
        <v>8629</v>
      </c>
      <c r="C460" t="s">
        <v>74</v>
      </c>
      <c r="D460" t="s">
        <v>74</v>
      </c>
      <c r="E460" t="s">
        <v>74</v>
      </c>
      <c r="F460" t="s">
        <v>8630</v>
      </c>
      <c r="G460" t="s">
        <v>74</v>
      </c>
      <c r="H460" t="s">
        <v>74</v>
      </c>
      <c r="I460" t="s">
        <v>8631</v>
      </c>
      <c r="J460" t="s">
        <v>8597</v>
      </c>
      <c r="K460" t="s">
        <v>74</v>
      </c>
      <c r="L460" t="s">
        <v>74</v>
      </c>
      <c r="M460" t="s">
        <v>78</v>
      </c>
      <c r="N460" t="s">
        <v>79</v>
      </c>
      <c r="O460" t="s">
        <v>74</v>
      </c>
      <c r="P460" t="s">
        <v>74</v>
      </c>
      <c r="Q460" t="s">
        <v>74</v>
      </c>
      <c r="R460" t="s">
        <v>74</v>
      </c>
      <c r="S460" t="s">
        <v>74</v>
      </c>
      <c r="T460" t="s">
        <v>8632</v>
      </c>
      <c r="U460" t="s">
        <v>8633</v>
      </c>
      <c r="V460" t="s">
        <v>8634</v>
      </c>
      <c r="W460" t="s">
        <v>8635</v>
      </c>
      <c r="X460" t="s">
        <v>8636</v>
      </c>
      <c r="Y460" t="s">
        <v>8637</v>
      </c>
      <c r="Z460" t="s">
        <v>8638</v>
      </c>
      <c r="AA460" t="s">
        <v>8639</v>
      </c>
      <c r="AB460" t="s">
        <v>8640</v>
      </c>
      <c r="AC460" t="s">
        <v>8641</v>
      </c>
      <c r="AD460" t="s">
        <v>8641</v>
      </c>
      <c r="AE460" t="s">
        <v>8642</v>
      </c>
      <c r="AF460" t="s">
        <v>74</v>
      </c>
      <c r="AG460">
        <v>41</v>
      </c>
      <c r="AH460">
        <v>114</v>
      </c>
      <c r="AI460">
        <v>115</v>
      </c>
      <c r="AJ460">
        <v>0</v>
      </c>
      <c r="AK460">
        <v>10</v>
      </c>
      <c r="AL460" t="s">
        <v>1184</v>
      </c>
      <c r="AM460" t="s">
        <v>1185</v>
      </c>
      <c r="AN460" t="s">
        <v>1186</v>
      </c>
      <c r="AO460" t="s">
        <v>8608</v>
      </c>
      <c r="AP460" t="s">
        <v>8609</v>
      </c>
      <c r="AQ460" t="s">
        <v>74</v>
      </c>
      <c r="AR460" t="s">
        <v>8610</v>
      </c>
      <c r="AS460" t="s">
        <v>8611</v>
      </c>
      <c r="AT460" t="s">
        <v>7132</v>
      </c>
      <c r="AU460">
        <v>2009</v>
      </c>
      <c r="AV460">
        <v>135</v>
      </c>
      <c r="AW460">
        <v>645</v>
      </c>
      <c r="AX460" t="s">
        <v>8612</v>
      </c>
      <c r="AY460" t="s">
        <v>74</v>
      </c>
      <c r="AZ460" t="s">
        <v>1546</v>
      </c>
      <c r="BA460" t="s">
        <v>74</v>
      </c>
      <c r="BB460">
        <v>2131</v>
      </c>
      <c r="BC460">
        <v>2145</v>
      </c>
      <c r="BD460" t="s">
        <v>74</v>
      </c>
      <c r="BE460" t="s">
        <v>8643</v>
      </c>
      <c r="BF460" t="str">
        <f>HYPERLINK("http://dx.doi.org/10.1002/qj.525","http://dx.doi.org/10.1002/qj.525")</f>
        <v>http://dx.doi.org/10.1002/qj.525</v>
      </c>
      <c r="BG460" t="s">
        <v>74</v>
      </c>
      <c r="BH460" t="s">
        <v>74</v>
      </c>
      <c r="BI460">
        <v>15</v>
      </c>
      <c r="BJ460" t="s">
        <v>413</v>
      </c>
      <c r="BK460" t="s">
        <v>98</v>
      </c>
      <c r="BL460" t="s">
        <v>413</v>
      </c>
      <c r="BM460" t="s">
        <v>8614</v>
      </c>
      <c r="BN460" t="s">
        <v>74</v>
      </c>
      <c r="BO460" t="s">
        <v>74</v>
      </c>
      <c r="BP460" t="s">
        <v>74</v>
      </c>
      <c r="BQ460" t="s">
        <v>74</v>
      </c>
      <c r="BR460" t="s">
        <v>101</v>
      </c>
      <c r="BS460" t="s">
        <v>8644</v>
      </c>
      <c r="BT460" t="str">
        <f>HYPERLINK("https%3A%2F%2Fwww.webofscience.com%2Fwos%2Fwoscc%2Ffull-record%2FWOS:000273575200016","View Full Record in Web of Science")</f>
        <v>View Full Record in Web of Science</v>
      </c>
    </row>
    <row r="461" spans="1:72" x14ac:dyDescent="0.15">
      <c r="A461" t="s">
        <v>72</v>
      </c>
      <c r="B461" t="s">
        <v>8645</v>
      </c>
      <c r="C461" t="s">
        <v>74</v>
      </c>
      <c r="D461" t="s">
        <v>74</v>
      </c>
      <c r="E461" t="s">
        <v>74</v>
      </c>
      <c r="F461" t="s">
        <v>8646</v>
      </c>
      <c r="G461" t="s">
        <v>74</v>
      </c>
      <c r="H461" t="s">
        <v>74</v>
      </c>
      <c r="I461" t="s">
        <v>8647</v>
      </c>
      <c r="J461" t="s">
        <v>8648</v>
      </c>
      <c r="K461" t="s">
        <v>74</v>
      </c>
      <c r="L461" t="s">
        <v>74</v>
      </c>
      <c r="M461" t="s">
        <v>78</v>
      </c>
      <c r="N461" t="s">
        <v>297</v>
      </c>
      <c r="O461" t="s">
        <v>74</v>
      </c>
      <c r="P461" t="s">
        <v>74</v>
      </c>
      <c r="Q461" t="s">
        <v>74</v>
      </c>
      <c r="R461" t="s">
        <v>74</v>
      </c>
      <c r="S461" t="s">
        <v>74</v>
      </c>
      <c r="T461" t="s">
        <v>8649</v>
      </c>
      <c r="U461" t="s">
        <v>8650</v>
      </c>
      <c r="V461" t="s">
        <v>8651</v>
      </c>
      <c r="W461" t="s">
        <v>8652</v>
      </c>
      <c r="X461" t="s">
        <v>8653</v>
      </c>
      <c r="Y461" t="s">
        <v>8654</v>
      </c>
      <c r="Z461" t="s">
        <v>8655</v>
      </c>
      <c r="AA461" t="s">
        <v>74</v>
      </c>
      <c r="AB461" t="s">
        <v>74</v>
      </c>
      <c r="AC461" t="s">
        <v>74</v>
      </c>
      <c r="AD461" t="s">
        <v>74</v>
      </c>
      <c r="AE461" t="s">
        <v>74</v>
      </c>
      <c r="AF461" t="s">
        <v>74</v>
      </c>
      <c r="AG461">
        <v>105</v>
      </c>
      <c r="AH461">
        <v>21</v>
      </c>
      <c r="AI461">
        <v>23</v>
      </c>
      <c r="AJ461">
        <v>0</v>
      </c>
      <c r="AK461">
        <v>21</v>
      </c>
      <c r="AL461" t="s">
        <v>1978</v>
      </c>
      <c r="AM461" t="s">
        <v>1895</v>
      </c>
      <c r="AN461" t="s">
        <v>1979</v>
      </c>
      <c r="AO461" t="s">
        <v>8656</v>
      </c>
      <c r="AP461" t="s">
        <v>8657</v>
      </c>
      <c r="AQ461" t="s">
        <v>74</v>
      </c>
      <c r="AR461" t="s">
        <v>8658</v>
      </c>
      <c r="AS461" t="s">
        <v>8659</v>
      </c>
      <c r="AT461" t="s">
        <v>7132</v>
      </c>
      <c r="AU461">
        <v>2009</v>
      </c>
      <c r="AV461">
        <v>4</v>
      </c>
      <c r="AW461">
        <v>5</v>
      </c>
      <c r="AX461" t="s">
        <v>74</v>
      </c>
      <c r="AY461" t="s">
        <v>74</v>
      </c>
      <c r="AZ461" t="s">
        <v>1546</v>
      </c>
      <c r="BA461" t="s">
        <v>74</v>
      </c>
      <c r="BB461">
        <v>391</v>
      </c>
      <c r="BC461">
        <v>399</v>
      </c>
      <c r="BD461" t="s">
        <v>74</v>
      </c>
      <c r="BE461" t="s">
        <v>8660</v>
      </c>
      <c r="BF461" t="str">
        <f>HYPERLINK("http://dx.doi.org/10.1016/j.quageo.2008.12.003","http://dx.doi.org/10.1016/j.quageo.2008.12.003")</f>
        <v>http://dx.doi.org/10.1016/j.quageo.2008.12.003</v>
      </c>
      <c r="BG461" t="s">
        <v>74</v>
      </c>
      <c r="BH461" t="s">
        <v>74</v>
      </c>
      <c r="BI461">
        <v>9</v>
      </c>
      <c r="BJ461" t="s">
        <v>2121</v>
      </c>
      <c r="BK461" t="s">
        <v>98</v>
      </c>
      <c r="BL461" t="s">
        <v>2122</v>
      </c>
      <c r="BM461" t="s">
        <v>8661</v>
      </c>
      <c r="BN461" t="s">
        <v>74</v>
      </c>
      <c r="BO461" t="s">
        <v>74</v>
      </c>
      <c r="BP461" t="s">
        <v>74</v>
      </c>
      <c r="BQ461" t="s">
        <v>74</v>
      </c>
      <c r="BR461" t="s">
        <v>101</v>
      </c>
      <c r="BS461" t="s">
        <v>8662</v>
      </c>
      <c r="BT461" t="str">
        <f>HYPERLINK("https%3A%2F%2Fwww.webofscience.com%2Fwos%2Fwoscc%2Ffull-record%2FWOS:000271335200007","View Full Record in Web of Science")</f>
        <v>View Full Record in Web of Science</v>
      </c>
    </row>
    <row r="462" spans="1:72" x14ac:dyDescent="0.15">
      <c r="A462" t="s">
        <v>72</v>
      </c>
      <c r="B462" t="s">
        <v>8663</v>
      </c>
      <c r="C462" t="s">
        <v>74</v>
      </c>
      <c r="D462" t="s">
        <v>74</v>
      </c>
      <c r="E462" t="s">
        <v>74</v>
      </c>
      <c r="F462" t="s">
        <v>8664</v>
      </c>
      <c r="G462" t="s">
        <v>74</v>
      </c>
      <c r="H462" t="s">
        <v>74</v>
      </c>
      <c r="I462" t="s">
        <v>8665</v>
      </c>
      <c r="J462" t="s">
        <v>3295</v>
      </c>
      <c r="K462" t="s">
        <v>74</v>
      </c>
      <c r="L462" t="s">
        <v>74</v>
      </c>
      <c r="M462" t="s">
        <v>78</v>
      </c>
      <c r="N462" t="s">
        <v>297</v>
      </c>
      <c r="O462" t="s">
        <v>74</v>
      </c>
      <c r="P462" t="s">
        <v>74</v>
      </c>
      <c r="Q462" t="s">
        <v>74</v>
      </c>
      <c r="R462" t="s">
        <v>74</v>
      </c>
      <c r="S462" t="s">
        <v>74</v>
      </c>
      <c r="T462" t="s">
        <v>74</v>
      </c>
      <c r="U462" t="s">
        <v>8666</v>
      </c>
      <c r="V462" t="s">
        <v>8667</v>
      </c>
      <c r="W462" t="s">
        <v>8668</v>
      </c>
      <c r="X462" t="s">
        <v>8669</v>
      </c>
      <c r="Y462" t="s">
        <v>8670</v>
      </c>
      <c r="Z462" t="s">
        <v>8671</v>
      </c>
      <c r="AA462" t="s">
        <v>8672</v>
      </c>
      <c r="AB462" t="s">
        <v>8673</v>
      </c>
      <c r="AC462" t="s">
        <v>8674</v>
      </c>
      <c r="AD462" t="s">
        <v>8675</v>
      </c>
      <c r="AE462" t="s">
        <v>74</v>
      </c>
      <c r="AF462" t="s">
        <v>74</v>
      </c>
      <c r="AG462">
        <v>169</v>
      </c>
      <c r="AH462">
        <v>84</v>
      </c>
      <c r="AI462">
        <v>99</v>
      </c>
      <c r="AJ462">
        <v>0</v>
      </c>
      <c r="AK462">
        <v>51</v>
      </c>
      <c r="AL462" t="s">
        <v>1894</v>
      </c>
      <c r="AM462" t="s">
        <v>1895</v>
      </c>
      <c r="AN462" t="s">
        <v>1896</v>
      </c>
      <c r="AO462" t="s">
        <v>3307</v>
      </c>
      <c r="AP462" t="s">
        <v>74</v>
      </c>
      <c r="AQ462" t="s">
        <v>74</v>
      </c>
      <c r="AR462" t="s">
        <v>3308</v>
      </c>
      <c r="AS462" t="s">
        <v>3309</v>
      </c>
      <c r="AT462" t="s">
        <v>7132</v>
      </c>
      <c r="AU462">
        <v>2009</v>
      </c>
      <c r="AV462">
        <v>28</v>
      </c>
      <c r="AW462" t="s">
        <v>7486</v>
      </c>
      <c r="AX462" t="s">
        <v>74</v>
      </c>
      <c r="AY462" t="s">
        <v>74</v>
      </c>
      <c r="AZ462" t="s">
        <v>1546</v>
      </c>
      <c r="BA462" t="s">
        <v>74</v>
      </c>
      <c r="BB462">
        <v>2165</v>
      </c>
      <c r="BC462">
        <v>2212</v>
      </c>
      <c r="BD462" t="s">
        <v>74</v>
      </c>
      <c r="BE462" t="s">
        <v>8676</v>
      </c>
      <c r="BF462" t="str">
        <f>HYPERLINK("http://dx.doi.org/10.1016/j.quascirev.2009.03.012","http://dx.doi.org/10.1016/j.quascirev.2009.03.012")</f>
        <v>http://dx.doi.org/10.1016/j.quascirev.2009.03.012</v>
      </c>
      <c r="BG462" t="s">
        <v>74</v>
      </c>
      <c r="BH462" t="s">
        <v>74</v>
      </c>
      <c r="BI462">
        <v>48</v>
      </c>
      <c r="BJ462" t="s">
        <v>2121</v>
      </c>
      <c r="BK462" t="s">
        <v>98</v>
      </c>
      <c r="BL462" t="s">
        <v>2122</v>
      </c>
      <c r="BM462" t="s">
        <v>8677</v>
      </c>
      <c r="BN462" t="s">
        <v>74</v>
      </c>
      <c r="BO462" t="s">
        <v>74</v>
      </c>
      <c r="BP462" t="s">
        <v>74</v>
      </c>
      <c r="BQ462" t="s">
        <v>74</v>
      </c>
      <c r="BR462" t="s">
        <v>101</v>
      </c>
      <c r="BS462" t="s">
        <v>8678</v>
      </c>
      <c r="BT462" t="str">
        <f>HYPERLINK("https%3A%2F%2Fwww.webofscience.com%2Fwos%2Fwoscc%2Ffull-record%2FWOS:000270341900010","View Full Record in Web of Science")</f>
        <v>View Full Record in Web of Science</v>
      </c>
    </row>
    <row r="463" spans="1:72" x14ac:dyDescent="0.15">
      <c r="A463" t="s">
        <v>72</v>
      </c>
      <c r="B463" t="s">
        <v>8679</v>
      </c>
      <c r="C463" t="s">
        <v>74</v>
      </c>
      <c r="D463" t="s">
        <v>74</v>
      </c>
      <c r="E463" t="s">
        <v>74</v>
      </c>
      <c r="F463" t="s">
        <v>8680</v>
      </c>
      <c r="G463" t="s">
        <v>74</v>
      </c>
      <c r="H463" t="s">
        <v>74</v>
      </c>
      <c r="I463" t="s">
        <v>8681</v>
      </c>
      <c r="J463" t="s">
        <v>3295</v>
      </c>
      <c r="K463" t="s">
        <v>74</v>
      </c>
      <c r="L463" t="s">
        <v>74</v>
      </c>
      <c r="M463" t="s">
        <v>78</v>
      </c>
      <c r="N463" t="s">
        <v>297</v>
      </c>
      <c r="O463" t="s">
        <v>74</v>
      </c>
      <c r="P463" t="s">
        <v>74</v>
      </c>
      <c r="Q463" t="s">
        <v>74</v>
      </c>
      <c r="R463" t="s">
        <v>74</v>
      </c>
      <c r="S463" t="s">
        <v>74</v>
      </c>
      <c r="T463" t="s">
        <v>74</v>
      </c>
      <c r="U463" t="s">
        <v>8682</v>
      </c>
      <c r="V463" t="s">
        <v>8683</v>
      </c>
      <c r="W463" t="s">
        <v>8684</v>
      </c>
      <c r="X463" t="s">
        <v>8685</v>
      </c>
      <c r="Y463" t="s">
        <v>8686</v>
      </c>
      <c r="Z463" t="s">
        <v>8687</v>
      </c>
      <c r="AA463" t="s">
        <v>74</v>
      </c>
      <c r="AB463" t="s">
        <v>74</v>
      </c>
      <c r="AC463" t="s">
        <v>8688</v>
      </c>
      <c r="AD463" t="s">
        <v>8689</v>
      </c>
      <c r="AE463" t="s">
        <v>8690</v>
      </c>
      <c r="AF463" t="s">
        <v>74</v>
      </c>
      <c r="AG463">
        <v>224</v>
      </c>
      <c r="AH463">
        <v>91</v>
      </c>
      <c r="AI463">
        <v>99</v>
      </c>
      <c r="AJ463">
        <v>2</v>
      </c>
      <c r="AK463">
        <v>44</v>
      </c>
      <c r="AL463" t="s">
        <v>1894</v>
      </c>
      <c r="AM463" t="s">
        <v>1895</v>
      </c>
      <c r="AN463" t="s">
        <v>1896</v>
      </c>
      <c r="AO463" t="s">
        <v>3307</v>
      </c>
      <c r="AP463" t="s">
        <v>74</v>
      </c>
      <c r="AQ463" t="s">
        <v>74</v>
      </c>
      <c r="AR463" t="s">
        <v>3308</v>
      </c>
      <c r="AS463" t="s">
        <v>3309</v>
      </c>
      <c r="AT463" t="s">
        <v>7132</v>
      </c>
      <c r="AU463">
        <v>2009</v>
      </c>
      <c r="AV463">
        <v>28</v>
      </c>
      <c r="AW463" t="s">
        <v>7486</v>
      </c>
      <c r="AX463" t="s">
        <v>74</v>
      </c>
      <c r="AY463" t="s">
        <v>74</v>
      </c>
      <c r="AZ463" t="s">
        <v>1546</v>
      </c>
      <c r="BA463" t="s">
        <v>74</v>
      </c>
      <c r="BB463">
        <v>2213</v>
      </c>
      <c r="BC463">
        <v>2230</v>
      </c>
      <c r="BD463" t="s">
        <v>74</v>
      </c>
      <c r="BE463" t="s">
        <v>8691</v>
      </c>
      <c r="BF463" t="str">
        <f>HYPERLINK("http://dx.doi.org/10.1016/j.quascirev.2009.06.011","http://dx.doi.org/10.1016/j.quascirev.2009.06.011")</f>
        <v>http://dx.doi.org/10.1016/j.quascirev.2009.06.011</v>
      </c>
      <c r="BG463" t="s">
        <v>74</v>
      </c>
      <c r="BH463" t="s">
        <v>74</v>
      </c>
      <c r="BI463">
        <v>18</v>
      </c>
      <c r="BJ463" t="s">
        <v>2121</v>
      </c>
      <c r="BK463" t="s">
        <v>98</v>
      </c>
      <c r="BL463" t="s">
        <v>2122</v>
      </c>
      <c r="BM463" t="s">
        <v>8677</v>
      </c>
      <c r="BN463" t="s">
        <v>74</v>
      </c>
      <c r="BO463" t="s">
        <v>74</v>
      </c>
      <c r="BP463" t="s">
        <v>74</v>
      </c>
      <c r="BQ463" t="s">
        <v>74</v>
      </c>
      <c r="BR463" t="s">
        <v>101</v>
      </c>
      <c r="BS463" t="s">
        <v>8692</v>
      </c>
      <c r="BT463" t="str">
        <f>HYPERLINK("https%3A%2F%2Fwww.webofscience.com%2Fwos%2Fwoscc%2Ffull-record%2FWOS:000270341900011","View Full Record in Web of Science")</f>
        <v>View Full Record in Web of Science</v>
      </c>
    </row>
    <row r="464" spans="1:72" x14ac:dyDescent="0.15">
      <c r="A464" t="s">
        <v>72</v>
      </c>
      <c r="B464" t="s">
        <v>8693</v>
      </c>
      <c r="C464" t="s">
        <v>74</v>
      </c>
      <c r="D464" t="s">
        <v>74</v>
      </c>
      <c r="E464" t="s">
        <v>74</v>
      </c>
      <c r="F464" t="s">
        <v>8694</v>
      </c>
      <c r="G464" t="s">
        <v>74</v>
      </c>
      <c r="H464" t="s">
        <v>74</v>
      </c>
      <c r="I464" t="s">
        <v>8695</v>
      </c>
      <c r="J464" t="s">
        <v>8696</v>
      </c>
      <c r="K464" t="s">
        <v>74</v>
      </c>
      <c r="L464" t="s">
        <v>74</v>
      </c>
      <c r="M464" t="s">
        <v>78</v>
      </c>
      <c r="N464" t="s">
        <v>79</v>
      </c>
      <c r="O464" t="s">
        <v>74</v>
      </c>
      <c r="P464" t="s">
        <v>74</v>
      </c>
      <c r="Q464" t="s">
        <v>74</v>
      </c>
      <c r="R464" t="s">
        <v>74</v>
      </c>
      <c r="S464" t="s">
        <v>74</v>
      </c>
      <c r="T464" t="s">
        <v>8697</v>
      </c>
      <c r="U464" t="s">
        <v>8698</v>
      </c>
      <c r="V464" t="s">
        <v>8699</v>
      </c>
      <c r="W464" t="s">
        <v>8700</v>
      </c>
      <c r="X464" t="s">
        <v>4837</v>
      </c>
      <c r="Y464" t="s">
        <v>4838</v>
      </c>
      <c r="Z464" t="s">
        <v>8701</v>
      </c>
      <c r="AA464" t="s">
        <v>4840</v>
      </c>
      <c r="AB464" t="s">
        <v>4841</v>
      </c>
      <c r="AC464" t="s">
        <v>8702</v>
      </c>
      <c r="AD464" t="s">
        <v>8703</v>
      </c>
      <c r="AE464" t="s">
        <v>8704</v>
      </c>
      <c r="AF464" t="s">
        <v>74</v>
      </c>
      <c r="AG464">
        <v>39</v>
      </c>
      <c r="AH464">
        <v>60</v>
      </c>
      <c r="AI464">
        <v>67</v>
      </c>
      <c r="AJ464">
        <v>0</v>
      </c>
      <c r="AK464">
        <v>39</v>
      </c>
      <c r="AL464" t="s">
        <v>280</v>
      </c>
      <c r="AM464" t="s">
        <v>281</v>
      </c>
      <c r="AN464" t="s">
        <v>282</v>
      </c>
      <c r="AO464" t="s">
        <v>8705</v>
      </c>
      <c r="AP464" t="s">
        <v>8706</v>
      </c>
      <c r="AQ464" t="s">
        <v>74</v>
      </c>
      <c r="AR464" t="s">
        <v>8707</v>
      </c>
      <c r="AS464" t="s">
        <v>8708</v>
      </c>
      <c r="AT464" t="s">
        <v>7132</v>
      </c>
      <c r="AU464">
        <v>2009</v>
      </c>
      <c r="AV464">
        <v>160</v>
      </c>
      <c r="AW464">
        <v>8</v>
      </c>
      <c r="AX464" t="s">
        <v>74</v>
      </c>
      <c r="AY464" t="s">
        <v>74</v>
      </c>
      <c r="AZ464" t="s">
        <v>74</v>
      </c>
      <c r="BA464" t="s">
        <v>74</v>
      </c>
      <c r="BB464">
        <v>538</v>
      </c>
      <c r="BC464">
        <v>546</v>
      </c>
      <c r="BD464" t="s">
        <v>74</v>
      </c>
      <c r="BE464" t="s">
        <v>8709</v>
      </c>
      <c r="BF464" t="str">
        <f>HYPERLINK("http://dx.doi.org/10.1016/j.resmic.2009.08.008","http://dx.doi.org/10.1016/j.resmic.2009.08.008")</f>
        <v>http://dx.doi.org/10.1016/j.resmic.2009.08.008</v>
      </c>
      <c r="BG464" t="s">
        <v>74</v>
      </c>
      <c r="BH464" t="s">
        <v>74</v>
      </c>
      <c r="BI464">
        <v>9</v>
      </c>
      <c r="BJ464" t="s">
        <v>1958</v>
      </c>
      <c r="BK464" t="s">
        <v>98</v>
      </c>
      <c r="BL464" t="s">
        <v>1958</v>
      </c>
      <c r="BM464" t="s">
        <v>8710</v>
      </c>
      <c r="BN464">
        <v>19732827</v>
      </c>
      <c r="BO464" t="s">
        <v>765</v>
      </c>
      <c r="BP464" t="s">
        <v>74</v>
      </c>
      <c r="BQ464" t="s">
        <v>74</v>
      </c>
      <c r="BR464" t="s">
        <v>101</v>
      </c>
      <c r="BS464" t="s">
        <v>8711</v>
      </c>
      <c r="BT464" t="str">
        <f>HYPERLINK("https%3A%2F%2Fwww.webofscience.com%2Fwos%2Fwoscc%2Ffull-record%2FWOS:000272117600002","View Full Record in Web of Science")</f>
        <v>View Full Record in Web of Science</v>
      </c>
    </row>
    <row r="465" spans="1:72" x14ac:dyDescent="0.15">
      <c r="A465" t="s">
        <v>72</v>
      </c>
      <c r="B465" t="s">
        <v>8712</v>
      </c>
      <c r="C465" t="s">
        <v>74</v>
      </c>
      <c r="D465" t="s">
        <v>74</v>
      </c>
      <c r="E465" t="s">
        <v>74</v>
      </c>
      <c r="F465" t="s">
        <v>8713</v>
      </c>
      <c r="G465" t="s">
        <v>74</v>
      </c>
      <c r="H465" t="s">
        <v>74</v>
      </c>
      <c r="I465" t="s">
        <v>8714</v>
      </c>
      <c r="J465" t="s">
        <v>8715</v>
      </c>
      <c r="K465" t="s">
        <v>74</v>
      </c>
      <c r="L465" t="s">
        <v>74</v>
      </c>
      <c r="M465" t="s">
        <v>78</v>
      </c>
      <c r="N465" t="s">
        <v>523</v>
      </c>
      <c r="O465" t="s">
        <v>74</v>
      </c>
      <c r="P465" t="s">
        <v>74</v>
      </c>
      <c r="Q465" t="s">
        <v>74</v>
      </c>
      <c r="R465" t="s">
        <v>74</v>
      </c>
      <c r="S465" t="s">
        <v>74</v>
      </c>
      <c r="T465" t="s">
        <v>74</v>
      </c>
      <c r="U465" t="s">
        <v>74</v>
      </c>
      <c r="V465" t="s">
        <v>74</v>
      </c>
      <c r="W465" t="s">
        <v>8716</v>
      </c>
      <c r="X465" t="s">
        <v>8717</v>
      </c>
      <c r="Y465" t="s">
        <v>8718</v>
      </c>
      <c r="Z465" t="s">
        <v>8719</v>
      </c>
      <c r="AA465" t="s">
        <v>8720</v>
      </c>
      <c r="AB465" t="s">
        <v>8721</v>
      </c>
      <c r="AC465" t="s">
        <v>74</v>
      </c>
      <c r="AD465" t="s">
        <v>74</v>
      </c>
      <c r="AE465" t="s">
        <v>74</v>
      </c>
      <c r="AF465" t="s">
        <v>74</v>
      </c>
      <c r="AG465">
        <v>2</v>
      </c>
      <c r="AH465">
        <v>3</v>
      </c>
      <c r="AI465">
        <v>3</v>
      </c>
      <c r="AJ465">
        <v>0</v>
      </c>
      <c r="AK465">
        <v>5</v>
      </c>
      <c r="AL465" t="s">
        <v>8722</v>
      </c>
      <c r="AM465" t="s">
        <v>8723</v>
      </c>
      <c r="AN465" t="s">
        <v>8724</v>
      </c>
      <c r="AO465" t="s">
        <v>8725</v>
      </c>
      <c r="AP465" t="s">
        <v>74</v>
      </c>
      <c r="AQ465" t="s">
        <v>74</v>
      </c>
      <c r="AR465" t="s">
        <v>8726</v>
      </c>
      <c r="AS465" t="s">
        <v>8727</v>
      </c>
      <c r="AT465" t="s">
        <v>7374</v>
      </c>
      <c r="AU465">
        <v>2009</v>
      </c>
      <c r="AV465">
        <v>41</v>
      </c>
      <c r="AW465">
        <v>4</v>
      </c>
      <c r="AX465" t="s">
        <v>74</v>
      </c>
      <c r="AY465" t="s">
        <v>74</v>
      </c>
      <c r="AZ465" t="s">
        <v>74</v>
      </c>
      <c r="BA465" t="s">
        <v>74</v>
      </c>
      <c r="BB465">
        <v>262</v>
      </c>
      <c r="BC465">
        <v>262</v>
      </c>
      <c r="BD465" t="s">
        <v>74</v>
      </c>
      <c r="BE465" t="s">
        <v>74</v>
      </c>
      <c r="BF465" t="s">
        <v>74</v>
      </c>
      <c r="BG465" t="s">
        <v>74</v>
      </c>
      <c r="BH465" t="s">
        <v>74</v>
      </c>
      <c r="BI465">
        <v>1</v>
      </c>
      <c r="BJ465" t="s">
        <v>1958</v>
      </c>
      <c r="BK465" t="s">
        <v>98</v>
      </c>
      <c r="BL465" t="s">
        <v>1958</v>
      </c>
      <c r="BM465" t="s">
        <v>8728</v>
      </c>
      <c r="BN465">
        <v>20085191</v>
      </c>
      <c r="BO465" t="s">
        <v>74</v>
      </c>
      <c r="BP465" t="s">
        <v>74</v>
      </c>
      <c r="BQ465" t="s">
        <v>74</v>
      </c>
      <c r="BR465" t="s">
        <v>101</v>
      </c>
      <c r="BS465" t="s">
        <v>8729</v>
      </c>
      <c r="BT465" t="str">
        <f>HYPERLINK("https%3A%2F%2Fwww.webofscience.com%2Fwos%2Fwoscc%2Ffull-record%2FWOS:000272994100012","View Full Record in Web of Science")</f>
        <v>View Full Record in Web of Science</v>
      </c>
    </row>
    <row r="466" spans="1:72" x14ac:dyDescent="0.15">
      <c r="A466" t="s">
        <v>72</v>
      </c>
      <c r="B466" t="s">
        <v>8730</v>
      </c>
      <c r="C466" t="s">
        <v>74</v>
      </c>
      <c r="D466" t="s">
        <v>74</v>
      </c>
      <c r="E466" t="s">
        <v>74</v>
      </c>
      <c r="F466" t="s">
        <v>8731</v>
      </c>
      <c r="G466" t="s">
        <v>74</v>
      </c>
      <c r="H466" t="s">
        <v>74</v>
      </c>
      <c r="I466" t="s">
        <v>8732</v>
      </c>
      <c r="J466" t="s">
        <v>8733</v>
      </c>
      <c r="K466" t="s">
        <v>74</v>
      </c>
      <c r="L466" t="s">
        <v>74</v>
      </c>
      <c r="M466" t="s">
        <v>1153</v>
      </c>
      <c r="N466" t="s">
        <v>79</v>
      </c>
      <c r="O466" t="s">
        <v>74</v>
      </c>
      <c r="P466" t="s">
        <v>74</v>
      </c>
      <c r="Q466" t="s">
        <v>74</v>
      </c>
      <c r="R466" t="s">
        <v>74</v>
      </c>
      <c r="S466" t="s">
        <v>74</v>
      </c>
      <c r="T466" t="s">
        <v>8734</v>
      </c>
      <c r="U466" t="s">
        <v>74</v>
      </c>
      <c r="V466" t="s">
        <v>8735</v>
      </c>
      <c r="W466" t="s">
        <v>8736</v>
      </c>
      <c r="X466" t="s">
        <v>74</v>
      </c>
      <c r="Y466" t="s">
        <v>8737</v>
      </c>
      <c r="Z466" t="s">
        <v>8738</v>
      </c>
      <c r="AA466" t="s">
        <v>74</v>
      </c>
      <c r="AB466" t="s">
        <v>74</v>
      </c>
      <c r="AC466" t="s">
        <v>74</v>
      </c>
      <c r="AD466" t="s">
        <v>74</v>
      </c>
      <c r="AE466" t="s">
        <v>74</v>
      </c>
      <c r="AF466" t="s">
        <v>74</v>
      </c>
      <c r="AG466">
        <v>2</v>
      </c>
      <c r="AH466">
        <v>0</v>
      </c>
      <c r="AI466">
        <v>0</v>
      </c>
      <c r="AJ466">
        <v>0</v>
      </c>
      <c r="AK466">
        <v>0</v>
      </c>
      <c r="AL466" t="s">
        <v>8739</v>
      </c>
      <c r="AM466" t="s">
        <v>8740</v>
      </c>
      <c r="AN466" t="s">
        <v>8741</v>
      </c>
      <c r="AO466" t="s">
        <v>8742</v>
      </c>
      <c r="AP466" t="s">
        <v>74</v>
      </c>
      <c r="AQ466" t="s">
        <v>74</v>
      </c>
      <c r="AR466" t="s">
        <v>8743</v>
      </c>
      <c r="AS466" t="s">
        <v>8744</v>
      </c>
      <c r="AT466" t="s">
        <v>7132</v>
      </c>
      <c r="AU466">
        <v>2009</v>
      </c>
      <c r="AV466" t="s">
        <v>74</v>
      </c>
      <c r="AW466">
        <v>21</v>
      </c>
      <c r="AX466" t="s">
        <v>74</v>
      </c>
      <c r="AY466" t="s">
        <v>74</v>
      </c>
      <c r="AZ466" t="s">
        <v>74</v>
      </c>
      <c r="BA466" t="s">
        <v>74</v>
      </c>
      <c r="BB466">
        <v>138</v>
      </c>
      <c r="BC466">
        <v>147</v>
      </c>
      <c r="BD466" t="s">
        <v>74</v>
      </c>
      <c r="BE466" t="s">
        <v>74</v>
      </c>
      <c r="BF466" t="s">
        <v>74</v>
      </c>
      <c r="BG466" t="s">
        <v>74</v>
      </c>
      <c r="BH466" t="s">
        <v>74</v>
      </c>
      <c r="BI466">
        <v>10</v>
      </c>
      <c r="BJ466" t="s">
        <v>8745</v>
      </c>
      <c r="BK466" t="s">
        <v>1028</v>
      </c>
      <c r="BL466" t="s">
        <v>8745</v>
      </c>
      <c r="BM466" t="s">
        <v>8746</v>
      </c>
      <c r="BN466" t="s">
        <v>74</v>
      </c>
      <c r="BO466" t="s">
        <v>74</v>
      </c>
      <c r="BP466" t="s">
        <v>74</v>
      </c>
      <c r="BQ466" t="s">
        <v>74</v>
      </c>
      <c r="BR466" t="s">
        <v>101</v>
      </c>
      <c r="BS466" t="s">
        <v>8747</v>
      </c>
      <c r="BT466" t="str">
        <f>HYPERLINK("https%3A%2F%2Fwww.webofscience.com%2Fwos%2Fwoscc%2Ffull-record%2FWOS:000421375200010","View Full Record in Web of Science")</f>
        <v>View Full Record in Web of Science</v>
      </c>
    </row>
    <row r="467" spans="1:72" x14ac:dyDescent="0.15">
      <c r="A467" t="s">
        <v>72</v>
      </c>
      <c r="B467" t="s">
        <v>8748</v>
      </c>
      <c r="C467" t="s">
        <v>74</v>
      </c>
      <c r="D467" t="s">
        <v>74</v>
      </c>
      <c r="E467" t="s">
        <v>74</v>
      </c>
      <c r="F467" t="s">
        <v>8749</v>
      </c>
      <c r="G467" t="s">
        <v>74</v>
      </c>
      <c r="H467" t="s">
        <v>74</v>
      </c>
      <c r="I467" t="s">
        <v>8750</v>
      </c>
      <c r="J467" t="s">
        <v>8751</v>
      </c>
      <c r="K467" t="s">
        <v>74</v>
      </c>
      <c r="L467" t="s">
        <v>74</v>
      </c>
      <c r="M467" t="s">
        <v>78</v>
      </c>
      <c r="N467" t="s">
        <v>79</v>
      </c>
      <c r="O467" t="s">
        <v>74</v>
      </c>
      <c r="P467" t="s">
        <v>74</v>
      </c>
      <c r="Q467" t="s">
        <v>74</v>
      </c>
      <c r="R467" t="s">
        <v>74</v>
      </c>
      <c r="S467" t="s">
        <v>74</v>
      </c>
      <c r="T467" t="s">
        <v>8752</v>
      </c>
      <c r="U467" t="s">
        <v>8753</v>
      </c>
      <c r="V467" t="s">
        <v>8754</v>
      </c>
      <c r="W467" t="s">
        <v>8755</v>
      </c>
      <c r="X467" t="s">
        <v>8756</v>
      </c>
      <c r="Y467" t="s">
        <v>8757</v>
      </c>
      <c r="Z467" t="s">
        <v>750</v>
      </c>
      <c r="AA467" t="s">
        <v>8758</v>
      </c>
      <c r="AB467" t="s">
        <v>8759</v>
      </c>
      <c r="AC467" t="s">
        <v>8760</v>
      </c>
      <c r="AD467" t="s">
        <v>8761</v>
      </c>
      <c r="AE467" t="s">
        <v>8762</v>
      </c>
      <c r="AF467" t="s">
        <v>74</v>
      </c>
      <c r="AG467">
        <v>34</v>
      </c>
      <c r="AH467">
        <v>11</v>
      </c>
      <c r="AI467">
        <v>13</v>
      </c>
      <c r="AJ467">
        <v>0</v>
      </c>
      <c r="AK467">
        <v>12</v>
      </c>
      <c r="AL467" t="s">
        <v>1764</v>
      </c>
      <c r="AM467" t="s">
        <v>1765</v>
      </c>
      <c r="AN467" t="s">
        <v>1766</v>
      </c>
      <c r="AO467" t="s">
        <v>8763</v>
      </c>
      <c r="AP467" t="s">
        <v>74</v>
      </c>
      <c r="AQ467" t="s">
        <v>74</v>
      </c>
      <c r="AR467" t="s">
        <v>8764</v>
      </c>
      <c r="AS467" t="s">
        <v>8765</v>
      </c>
      <c r="AT467" t="s">
        <v>7132</v>
      </c>
      <c r="AU467">
        <v>2009</v>
      </c>
      <c r="AV467">
        <v>52</v>
      </c>
      <c r="AW467">
        <v>10</v>
      </c>
      <c r="AX467" t="s">
        <v>74</v>
      </c>
      <c r="AY467" t="s">
        <v>74</v>
      </c>
      <c r="AZ467" t="s">
        <v>74</v>
      </c>
      <c r="BA467" t="s">
        <v>74</v>
      </c>
      <c r="BB467">
        <v>1502</v>
      </c>
      <c r="BC467">
        <v>1509</v>
      </c>
      <c r="BD467" t="s">
        <v>74</v>
      </c>
      <c r="BE467" t="s">
        <v>8766</v>
      </c>
      <c r="BF467" t="str">
        <f>HYPERLINK("http://dx.doi.org/10.1007/s11430-009-0039-6","http://dx.doi.org/10.1007/s11430-009-0039-6")</f>
        <v>http://dx.doi.org/10.1007/s11430-009-0039-6</v>
      </c>
      <c r="BG467" t="s">
        <v>74</v>
      </c>
      <c r="BH467" t="s">
        <v>74</v>
      </c>
      <c r="BI467">
        <v>8</v>
      </c>
      <c r="BJ467" t="s">
        <v>464</v>
      </c>
      <c r="BK467" t="s">
        <v>98</v>
      </c>
      <c r="BL467" t="s">
        <v>465</v>
      </c>
      <c r="BM467" t="s">
        <v>8767</v>
      </c>
      <c r="BN467" t="s">
        <v>74</v>
      </c>
      <c r="BO467" t="s">
        <v>74</v>
      </c>
      <c r="BP467" t="s">
        <v>74</v>
      </c>
      <c r="BQ467" t="s">
        <v>74</v>
      </c>
      <c r="BR467" t="s">
        <v>101</v>
      </c>
      <c r="BS467" t="s">
        <v>8768</v>
      </c>
      <c r="BT467" t="str">
        <f>HYPERLINK("https%3A%2F%2Fwww.webofscience.com%2Fwos%2Fwoscc%2Ffull-record%2FWOS:000271097800004","View Full Record in Web of Science")</f>
        <v>View Full Record in Web of Science</v>
      </c>
    </row>
    <row r="468" spans="1:72" x14ac:dyDescent="0.15">
      <c r="A468" t="s">
        <v>72</v>
      </c>
      <c r="B468" t="s">
        <v>5913</v>
      </c>
      <c r="C468" t="s">
        <v>74</v>
      </c>
      <c r="D468" t="s">
        <v>74</v>
      </c>
      <c r="E468" t="s">
        <v>74</v>
      </c>
      <c r="F468" t="s">
        <v>8769</v>
      </c>
      <c r="G468" t="s">
        <v>74</v>
      </c>
      <c r="H468" t="s">
        <v>74</v>
      </c>
      <c r="I468" t="s">
        <v>8770</v>
      </c>
      <c r="J468" t="s">
        <v>8771</v>
      </c>
      <c r="K468" t="s">
        <v>74</v>
      </c>
      <c r="L468" t="s">
        <v>74</v>
      </c>
      <c r="M468" t="s">
        <v>78</v>
      </c>
      <c r="N468" t="s">
        <v>79</v>
      </c>
      <c r="O468" t="s">
        <v>74</v>
      </c>
      <c r="P468" t="s">
        <v>74</v>
      </c>
      <c r="Q468" t="s">
        <v>74</v>
      </c>
      <c r="R468" t="s">
        <v>74</v>
      </c>
      <c r="S468" t="s">
        <v>74</v>
      </c>
      <c r="T468" t="s">
        <v>8772</v>
      </c>
      <c r="U468" t="s">
        <v>8773</v>
      </c>
      <c r="V468" t="s">
        <v>8774</v>
      </c>
      <c r="W468" t="s">
        <v>8775</v>
      </c>
      <c r="X468" t="s">
        <v>5920</v>
      </c>
      <c r="Y468" t="s">
        <v>5921</v>
      </c>
      <c r="Z468" t="s">
        <v>5922</v>
      </c>
      <c r="AA468" t="s">
        <v>8776</v>
      </c>
      <c r="AB468" t="s">
        <v>8777</v>
      </c>
      <c r="AC468" t="s">
        <v>8778</v>
      </c>
      <c r="AD468" t="s">
        <v>8779</v>
      </c>
      <c r="AE468" t="s">
        <v>8780</v>
      </c>
      <c r="AF468" t="s">
        <v>74</v>
      </c>
      <c r="AG468">
        <v>45</v>
      </c>
      <c r="AH468">
        <v>78</v>
      </c>
      <c r="AI468">
        <v>93</v>
      </c>
      <c r="AJ468">
        <v>11</v>
      </c>
      <c r="AK468">
        <v>133</v>
      </c>
      <c r="AL468" t="s">
        <v>1894</v>
      </c>
      <c r="AM468" t="s">
        <v>1895</v>
      </c>
      <c r="AN468" t="s">
        <v>1896</v>
      </c>
      <c r="AO468" t="s">
        <v>8781</v>
      </c>
      <c r="AP468" t="s">
        <v>8782</v>
      </c>
      <c r="AQ468" t="s">
        <v>74</v>
      </c>
      <c r="AR468" t="s">
        <v>8783</v>
      </c>
      <c r="AS468" t="s">
        <v>8784</v>
      </c>
      <c r="AT468" t="s">
        <v>7132</v>
      </c>
      <c r="AU468">
        <v>2009</v>
      </c>
      <c r="AV468">
        <v>41</v>
      </c>
      <c r="AW468">
        <v>10</v>
      </c>
      <c r="AX468" t="s">
        <v>74</v>
      </c>
      <c r="AY468" t="s">
        <v>74</v>
      </c>
      <c r="AZ468" t="s">
        <v>74</v>
      </c>
      <c r="BA468" t="s">
        <v>74</v>
      </c>
      <c r="BB468">
        <v>2052</v>
      </c>
      <c r="BC468">
        <v>2060</v>
      </c>
      <c r="BD468" t="s">
        <v>74</v>
      </c>
      <c r="BE468" t="s">
        <v>8785</v>
      </c>
      <c r="BF468" t="str">
        <f>HYPERLINK("http://dx.doi.org/10.1016/j.soilbio.2009.07.009","http://dx.doi.org/10.1016/j.soilbio.2009.07.009")</f>
        <v>http://dx.doi.org/10.1016/j.soilbio.2009.07.009</v>
      </c>
      <c r="BG468" t="s">
        <v>74</v>
      </c>
      <c r="BH468" t="s">
        <v>74</v>
      </c>
      <c r="BI468">
        <v>9</v>
      </c>
      <c r="BJ468" t="s">
        <v>8786</v>
      </c>
      <c r="BK468" t="s">
        <v>98</v>
      </c>
      <c r="BL468" t="s">
        <v>8787</v>
      </c>
      <c r="BM468" t="s">
        <v>8788</v>
      </c>
      <c r="BN468" t="s">
        <v>74</v>
      </c>
      <c r="BO468" t="s">
        <v>74</v>
      </c>
      <c r="BP468" t="s">
        <v>74</v>
      </c>
      <c r="BQ468" t="s">
        <v>74</v>
      </c>
      <c r="BR468" t="s">
        <v>101</v>
      </c>
      <c r="BS468" t="s">
        <v>8789</v>
      </c>
      <c r="BT468" t="str">
        <f>HYPERLINK("https%3A%2F%2Fwww.webofscience.com%2Fwos%2Fwoscc%2Ffull-record%2FWOS:000271047800005","View Full Record in Web of Science")</f>
        <v>View Full Record in Web of Science</v>
      </c>
    </row>
    <row r="469" spans="1:72" x14ac:dyDescent="0.15">
      <c r="A469" t="s">
        <v>72</v>
      </c>
      <c r="B469" t="s">
        <v>8790</v>
      </c>
      <c r="C469" t="s">
        <v>74</v>
      </c>
      <c r="D469" t="s">
        <v>74</v>
      </c>
      <c r="E469" t="s">
        <v>74</v>
      </c>
      <c r="F469" t="s">
        <v>8791</v>
      </c>
      <c r="G469" t="s">
        <v>74</v>
      </c>
      <c r="H469" t="s">
        <v>74</v>
      </c>
      <c r="I469" t="s">
        <v>8792</v>
      </c>
      <c r="J469" t="s">
        <v>8771</v>
      </c>
      <c r="K469" t="s">
        <v>74</v>
      </c>
      <c r="L469" t="s">
        <v>74</v>
      </c>
      <c r="M469" t="s">
        <v>78</v>
      </c>
      <c r="N469" t="s">
        <v>79</v>
      </c>
      <c r="O469" t="s">
        <v>74</v>
      </c>
      <c r="P469" t="s">
        <v>74</v>
      </c>
      <c r="Q469" t="s">
        <v>74</v>
      </c>
      <c r="R469" t="s">
        <v>74</v>
      </c>
      <c r="S469" t="s">
        <v>74</v>
      </c>
      <c r="T469" t="s">
        <v>8793</v>
      </c>
      <c r="U469" t="s">
        <v>8794</v>
      </c>
      <c r="V469" t="s">
        <v>8795</v>
      </c>
      <c r="W469" t="s">
        <v>8796</v>
      </c>
      <c r="X469" t="s">
        <v>8797</v>
      </c>
      <c r="Y469" t="s">
        <v>8798</v>
      </c>
      <c r="Z469" t="s">
        <v>8799</v>
      </c>
      <c r="AA469" t="s">
        <v>8800</v>
      </c>
      <c r="AB469" t="s">
        <v>8801</v>
      </c>
      <c r="AC469" t="s">
        <v>8802</v>
      </c>
      <c r="AD469" t="s">
        <v>8803</v>
      </c>
      <c r="AE469" t="s">
        <v>8804</v>
      </c>
      <c r="AF469" t="s">
        <v>74</v>
      </c>
      <c r="AG469">
        <v>62</v>
      </c>
      <c r="AH469">
        <v>6</v>
      </c>
      <c r="AI469">
        <v>7</v>
      </c>
      <c r="AJ469">
        <v>2</v>
      </c>
      <c r="AK469">
        <v>23</v>
      </c>
      <c r="AL469" t="s">
        <v>1894</v>
      </c>
      <c r="AM469" t="s">
        <v>1895</v>
      </c>
      <c r="AN469" t="s">
        <v>1896</v>
      </c>
      <c r="AO469" t="s">
        <v>8781</v>
      </c>
      <c r="AP469" t="s">
        <v>8782</v>
      </c>
      <c r="AQ469" t="s">
        <v>74</v>
      </c>
      <c r="AR469" t="s">
        <v>8783</v>
      </c>
      <c r="AS469" t="s">
        <v>8784</v>
      </c>
      <c r="AT469" t="s">
        <v>7132</v>
      </c>
      <c r="AU469">
        <v>2009</v>
      </c>
      <c r="AV469">
        <v>41</v>
      </c>
      <c r="AW469">
        <v>10</v>
      </c>
      <c r="AX469" t="s">
        <v>74</v>
      </c>
      <c r="AY469" t="s">
        <v>74</v>
      </c>
      <c r="AZ469" t="s">
        <v>74</v>
      </c>
      <c r="BA469" t="s">
        <v>74</v>
      </c>
      <c r="BB469">
        <v>2105</v>
      </c>
      <c r="BC469">
        <v>2114</v>
      </c>
      <c r="BD469" t="s">
        <v>74</v>
      </c>
      <c r="BE469" t="s">
        <v>8805</v>
      </c>
      <c r="BF469" t="str">
        <f>HYPERLINK("http://dx.doi.org/10.1016/j.soilbio.2009.07.020","http://dx.doi.org/10.1016/j.soilbio.2009.07.020")</f>
        <v>http://dx.doi.org/10.1016/j.soilbio.2009.07.020</v>
      </c>
      <c r="BG469" t="s">
        <v>74</v>
      </c>
      <c r="BH469" t="s">
        <v>74</v>
      </c>
      <c r="BI469">
        <v>10</v>
      </c>
      <c r="BJ469" t="s">
        <v>8786</v>
      </c>
      <c r="BK469" t="s">
        <v>98</v>
      </c>
      <c r="BL469" t="s">
        <v>8787</v>
      </c>
      <c r="BM469" t="s">
        <v>8788</v>
      </c>
      <c r="BN469" t="s">
        <v>74</v>
      </c>
      <c r="BO469" t="s">
        <v>74</v>
      </c>
      <c r="BP469" t="s">
        <v>74</v>
      </c>
      <c r="BQ469" t="s">
        <v>74</v>
      </c>
      <c r="BR469" t="s">
        <v>101</v>
      </c>
      <c r="BS469" t="s">
        <v>8806</v>
      </c>
      <c r="BT469" t="str">
        <f>HYPERLINK("https%3A%2F%2Fwww.webofscience.com%2Fwos%2Fwoscc%2Ffull-record%2FWOS:000271047800012","View Full Record in Web of Science")</f>
        <v>View Full Record in Web of Science</v>
      </c>
    </row>
    <row r="470" spans="1:72" x14ac:dyDescent="0.15">
      <c r="A470" t="s">
        <v>72</v>
      </c>
      <c r="B470" t="s">
        <v>8807</v>
      </c>
      <c r="C470" t="s">
        <v>74</v>
      </c>
      <c r="D470" t="s">
        <v>74</v>
      </c>
      <c r="E470" t="s">
        <v>74</v>
      </c>
      <c r="F470" t="s">
        <v>8808</v>
      </c>
      <c r="G470" t="s">
        <v>74</v>
      </c>
      <c r="H470" t="s">
        <v>74</v>
      </c>
      <c r="I470" t="s">
        <v>8809</v>
      </c>
      <c r="J470" t="s">
        <v>8810</v>
      </c>
      <c r="K470" t="s">
        <v>74</v>
      </c>
      <c r="L470" t="s">
        <v>74</v>
      </c>
      <c r="M470" t="s">
        <v>78</v>
      </c>
      <c r="N470" t="s">
        <v>1965</v>
      </c>
      <c r="O470" t="s">
        <v>8811</v>
      </c>
      <c r="P470" t="s">
        <v>8812</v>
      </c>
      <c r="Q470" t="s">
        <v>8813</v>
      </c>
      <c r="R470" t="s">
        <v>74</v>
      </c>
      <c r="S470" t="s">
        <v>74</v>
      </c>
      <c r="T470" t="s">
        <v>8814</v>
      </c>
      <c r="U470" t="s">
        <v>8815</v>
      </c>
      <c r="V470" t="s">
        <v>8816</v>
      </c>
      <c r="W470" t="s">
        <v>8817</v>
      </c>
      <c r="X470" t="s">
        <v>8818</v>
      </c>
      <c r="Y470" t="s">
        <v>8819</v>
      </c>
      <c r="Z470" t="s">
        <v>8820</v>
      </c>
      <c r="AA470" t="s">
        <v>74</v>
      </c>
      <c r="AB470" t="s">
        <v>74</v>
      </c>
      <c r="AC470" t="s">
        <v>74</v>
      </c>
      <c r="AD470" t="s">
        <v>74</v>
      </c>
      <c r="AE470" t="s">
        <v>74</v>
      </c>
      <c r="AF470" t="s">
        <v>74</v>
      </c>
      <c r="AG470">
        <v>43</v>
      </c>
      <c r="AH470">
        <v>75</v>
      </c>
      <c r="AI470">
        <v>81</v>
      </c>
      <c r="AJ470">
        <v>1</v>
      </c>
      <c r="AK470">
        <v>67</v>
      </c>
      <c r="AL470" t="s">
        <v>1894</v>
      </c>
      <c r="AM470" t="s">
        <v>1895</v>
      </c>
      <c r="AN470" t="s">
        <v>1896</v>
      </c>
      <c r="AO470" t="s">
        <v>8821</v>
      </c>
      <c r="AP470" t="s">
        <v>74</v>
      </c>
      <c r="AQ470" t="s">
        <v>74</v>
      </c>
      <c r="AR470" t="s">
        <v>8822</v>
      </c>
      <c r="AS470" t="s">
        <v>8823</v>
      </c>
      <c r="AT470" t="s">
        <v>7132</v>
      </c>
      <c r="AU470">
        <v>2009</v>
      </c>
      <c r="AV470">
        <v>64</v>
      </c>
      <c r="AW470">
        <v>10</v>
      </c>
      <c r="AX470" t="s">
        <v>74</v>
      </c>
      <c r="AY470" t="s">
        <v>74</v>
      </c>
      <c r="AZ470" t="s">
        <v>74</v>
      </c>
      <c r="BA470" t="s">
        <v>74</v>
      </c>
      <c r="BB470">
        <v>1048</v>
      </c>
      <c r="BC470">
        <v>1058</v>
      </c>
      <c r="BD470" t="s">
        <v>74</v>
      </c>
      <c r="BE470" t="s">
        <v>8824</v>
      </c>
      <c r="BF470" t="str">
        <f>HYPERLINK("http://dx.doi.org/10.1016/j.sab.2009.07.017","http://dx.doi.org/10.1016/j.sab.2009.07.017")</f>
        <v>http://dx.doi.org/10.1016/j.sab.2009.07.017</v>
      </c>
      <c r="BG470" t="s">
        <v>74</v>
      </c>
      <c r="BH470" t="s">
        <v>74</v>
      </c>
      <c r="BI470">
        <v>11</v>
      </c>
      <c r="BJ470" t="s">
        <v>8825</v>
      </c>
      <c r="BK470" t="s">
        <v>1986</v>
      </c>
      <c r="BL470" t="s">
        <v>8825</v>
      </c>
      <c r="BM470" t="s">
        <v>8826</v>
      </c>
      <c r="BN470" t="s">
        <v>74</v>
      </c>
      <c r="BO470" t="s">
        <v>74</v>
      </c>
      <c r="BP470" t="s">
        <v>74</v>
      </c>
      <c r="BQ470" t="s">
        <v>74</v>
      </c>
      <c r="BR470" t="s">
        <v>101</v>
      </c>
      <c r="BS470" t="s">
        <v>8827</v>
      </c>
      <c r="BT470" t="str">
        <f>HYPERLINK("https%3A%2F%2Fwww.webofscience.com%2Fwos%2Fwoscc%2Ffull-record%2FWOS:000271546700016","View Full Record in Web of Science")</f>
        <v>View Full Record in Web of Science</v>
      </c>
    </row>
    <row r="471" spans="1:72" x14ac:dyDescent="0.15">
      <c r="A471" t="s">
        <v>72</v>
      </c>
      <c r="B471" t="s">
        <v>8828</v>
      </c>
      <c r="C471" t="s">
        <v>74</v>
      </c>
      <c r="D471" t="s">
        <v>74</v>
      </c>
      <c r="E471" t="s">
        <v>74</v>
      </c>
      <c r="F471" t="s">
        <v>8829</v>
      </c>
      <c r="G471" t="s">
        <v>74</v>
      </c>
      <c r="H471" t="s">
        <v>74</v>
      </c>
      <c r="I471" t="s">
        <v>8830</v>
      </c>
      <c r="J471" t="s">
        <v>8831</v>
      </c>
      <c r="K471" t="s">
        <v>74</v>
      </c>
      <c r="L471" t="s">
        <v>74</v>
      </c>
      <c r="M471" t="s">
        <v>78</v>
      </c>
      <c r="N471" t="s">
        <v>79</v>
      </c>
      <c r="O471" t="s">
        <v>74</v>
      </c>
      <c r="P471" t="s">
        <v>74</v>
      </c>
      <c r="Q471" t="s">
        <v>74</v>
      </c>
      <c r="R471" t="s">
        <v>74</v>
      </c>
      <c r="S471" t="s">
        <v>74</v>
      </c>
      <c r="T471" t="s">
        <v>8832</v>
      </c>
      <c r="U471" t="s">
        <v>8833</v>
      </c>
      <c r="V471" t="s">
        <v>8834</v>
      </c>
      <c r="W471" t="s">
        <v>8835</v>
      </c>
      <c r="X471" t="s">
        <v>8836</v>
      </c>
      <c r="Y471" t="s">
        <v>8837</v>
      </c>
      <c r="Z471" t="s">
        <v>8838</v>
      </c>
      <c r="AA471" t="s">
        <v>8839</v>
      </c>
      <c r="AB471" t="s">
        <v>8840</v>
      </c>
      <c r="AC471" t="s">
        <v>8841</v>
      </c>
      <c r="AD471" t="s">
        <v>8842</v>
      </c>
      <c r="AE471" t="s">
        <v>8843</v>
      </c>
      <c r="AF471" t="s">
        <v>74</v>
      </c>
      <c r="AG471">
        <v>27</v>
      </c>
      <c r="AH471">
        <v>43</v>
      </c>
      <c r="AI471">
        <v>46</v>
      </c>
      <c r="AJ471">
        <v>0</v>
      </c>
      <c r="AK471">
        <v>19</v>
      </c>
      <c r="AL471" t="s">
        <v>1850</v>
      </c>
      <c r="AM471" t="s">
        <v>1851</v>
      </c>
      <c r="AN471" t="s">
        <v>1852</v>
      </c>
      <c r="AO471" t="s">
        <v>8844</v>
      </c>
      <c r="AP471" t="s">
        <v>8845</v>
      </c>
      <c r="AQ471" t="s">
        <v>74</v>
      </c>
      <c r="AR471" t="s">
        <v>8846</v>
      </c>
      <c r="AS471" t="s">
        <v>8847</v>
      </c>
      <c r="AT471" t="s">
        <v>7132</v>
      </c>
      <c r="AU471">
        <v>2009</v>
      </c>
      <c r="AV471">
        <v>25</v>
      </c>
      <c r="AW471">
        <v>10</v>
      </c>
      <c r="AX471" t="s">
        <v>74</v>
      </c>
      <c r="AY471" t="s">
        <v>74</v>
      </c>
      <c r="AZ471" t="s">
        <v>74</v>
      </c>
      <c r="BA471" t="s">
        <v>74</v>
      </c>
      <c r="BB471">
        <v>1751</v>
      </c>
      <c r="BC471">
        <v>1756</v>
      </c>
      <c r="BD471" t="s">
        <v>74</v>
      </c>
      <c r="BE471" t="s">
        <v>8848</v>
      </c>
      <c r="BF471" t="str">
        <f>HYPERLINK("http://dx.doi.org/10.1007/s11274-009-0072-9","http://dx.doi.org/10.1007/s11274-009-0072-9")</f>
        <v>http://dx.doi.org/10.1007/s11274-009-0072-9</v>
      </c>
      <c r="BG471" t="s">
        <v>74</v>
      </c>
      <c r="BH471" t="s">
        <v>74</v>
      </c>
      <c r="BI471">
        <v>6</v>
      </c>
      <c r="BJ471" t="s">
        <v>2011</v>
      </c>
      <c r="BK471" t="s">
        <v>98</v>
      </c>
      <c r="BL471" t="s">
        <v>2011</v>
      </c>
      <c r="BM471" t="s">
        <v>8849</v>
      </c>
      <c r="BN471" t="s">
        <v>74</v>
      </c>
      <c r="BO471" t="s">
        <v>74</v>
      </c>
      <c r="BP471" t="s">
        <v>74</v>
      </c>
      <c r="BQ471" t="s">
        <v>74</v>
      </c>
      <c r="BR471" t="s">
        <v>101</v>
      </c>
      <c r="BS471" t="s">
        <v>8850</v>
      </c>
      <c r="BT471" t="str">
        <f>HYPERLINK("https%3A%2F%2Fwww.webofscience.com%2Fwos%2Fwoscc%2Ffull-record%2FWOS:000269537600008","View Full Record in Web of Science")</f>
        <v>View Full Record in Web of Science</v>
      </c>
    </row>
    <row r="472" spans="1:72" x14ac:dyDescent="0.15">
      <c r="A472" t="s">
        <v>72</v>
      </c>
      <c r="B472" t="s">
        <v>8851</v>
      </c>
      <c r="C472" t="s">
        <v>74</v>
      </c>
      <c r="D472" t="s">
        <v>74</v>
      </c>
      <c r="E472" t="s">
        <v>74</v>
      </c>
      <c r="F472" t="s">
        <v>8852</v>
      </c>
      <c r="G472" t="s">
        <v>74</v>
      </c>
      <c r="H472" t="s">
        <v>74</v>
      </c>
      <c r="I472" t="s">
        <v>8853</v>
      </c>
      <c r="J472" t="s">
        <v>3797</v>
      </c>
      <c r="K472" t="s">
        <v>74</v>
      </c>
      <c r="L472" t="s">
        <v>74</v>
      </c>
      <c r="M472" t="s">
        <v>78</v>
      </c>
      <c r="N472" t="s">
        <v>79</v>
      </c>
      <c r="O472" t="s">
        <v>74</v>
      </c>
      <c r="P472" t="s">
        <v>74</v>
      </c>
      <c r="Q472" t="s">
        <v>74</v>
      </c>
      <c r="R472" t="s">
        <v>74</v>
      </c>
      <c r="S472" t="s">
        <v>74</v>
      </c>
      <c r="T472" t="s">
        <v>8854</v>
      </c>
      <c r="U472" t="s">
        <v>8855</v>
      </c>
      <c r="V472" t="s">
        <v>8856</v>
      </c>
      <c r="W472" t="s">
        <v>8857</v>
      </c>
      <c r="X472" t="s">
        <v>74</v>
      </c>
      <c r="Y472" t="s">
        <v>8858</v>
      </c>
      <c r="Z472" t="s">
        <v>8859</v>
      </c>
      <c r="AA472" t="s">
        <v>74</v>
      </c>
      <c r="AB472" t="s">
        <v>74</v>
      </c>
      <c r="AC472" t="s">
        <v>74</v>
      </c>
      <c r="AD472" t="s">
        <v>74</v>
      </c>
      <c r="AE472" t="s">
        <v>74</v>
      </c>
      <c r="AF472" t="s">
        <v>74</v>
      </c>
      <c r="AG472">
        <v>39</v>
      </c>
      <c r="AH472">
        <v>3</v>
      </c>
      <c r="AI472">
        <v>3</v>
      </c>
      <c r="AJ472">
        <v>0</v>
      </c>
      <c r="AK472">
        <v>0</v>
      </c>
      <c r="AL472" t="s">
        <v>3808</v>
      </c>
      <c r="AM472" t="s">
        <v>3809</v>
      </c>
      <c r="AN472" t="s">
        <v>3810</v>
      </c>
      <c r="AO472" t="s">
        <v>3811</v>
      </c>
      <c r="AP472" t="s">
        <v>3812</v>
      </c>
      <c r="AQ472" t="s">
        <v>74</v>
      </c>
      <c r="AR472" t="s">
        <v>3797</v>
      </c>
      <c r="AS472" t="s">
        <v>3813</v>
      </c>
      <c r="AT472" t="s">
        <v>7351</v>
      </c>
      <c r="AU472">
        <v>2009</v>
      </c>
      <c r="AV472" t="s">
        <v>74</v>
      </c>
      <c r="AW472">
        <v>2244</v>
      </c>
      <c r="AX472" t="s">
        <v>74</v>
      </c>
      <c r="AY472" t="s">
        <v>74</v>
      </c>
      <c r="AZ472" t="s">
        <v>74</v>
      </c>
      <c r="BA472" t="s">
        <v>74</v>
      </c>
      <c r="BB472">
        <v>60</v>
      </c>
      <c r="BC472">
        <v>68</v>
      </c>
      <c r="BD472" t="s">
        <v>74</v>
      </c>
      <c r="BE472" t="s">
        <v>74</v>
      </c>
      <c r="BF472" t="s">
        <v>74</v>
      </c>
      <c r="BG472" t="s">
        <v>74</v>
      </c>
      <c r="BH472" t="s">
        <v>74</v>
      </c>
      <c r="BI472">
        <v>9</v>
      </c>
      <c r="BJ472" t="s">
        <v>207</v>
      </c>
      <c r="BK472" t="s">
        <v>98</v>
      </c>
      <c r="BL472" t="s">
        <v>207</v>
      </c>
      <c r="BM472" t="s">
        <v>8860</v>
      </c>
      <c r="BN472" t="s">
        <v>74</v>
      </c>
      <c r="BO472" t="s">
        <v>74</v>
      </c>
      <c r="BP472" t="s">
        <v>74</v>
      </c>
      <c r="BQ472" t="s">
        <v>74</v>
      </c>
      <c r="BR472" t="s">
        <v>101</v>
      </c>
      <c r="BS472" t="s">
        <v>8861</v>
      </c>
      <c r="BT472" t="str">
        <f>HYPERLINK("https%3A%2F%2Fwww.webofscience.com%2Fwos%2Fwoscc%2Ffull-record%2FWOS:000270392300003","View Full Record in Web of Science")</f>
        <v>View Full Record in Web of Science</v>
      </c>
    </row>
    <row r="473" spans="1:72" x14ac:dyDescent="0.15">
      <c r="A473" t="s">
        <v>72</v>
      </c>
      <c r="B473" t="s">
        <v>8862</v>
      </c>
      <c r="C473" t="s">
        <v>74</v>
      </c>
      <c r="D473" t="s">
        <v>74</v>
      </c>
      <c r="E473" t="s">
        <v>74</v>
      </c>
      <c r="F473" t="s">
        <v>8863</v>
      </c>
      <c r="G473" t="s">
        <v>74</v>
      </c>
      <c r="H473" t="s">
        <v>74</v>
      </c>
      <c r="I473" t="s">
        <v>8864</v>
      </c>
      <c r="J473" t="s">
        <v>8865</v>
      </c>
      <c r="K473" t="s">
        <v>74</v>
      </c>
      <c r="L473" t="s">
        <v>74</v>
      </c>
      <c r="M473" t="s">
        <v>8866</v>
      </c>
      <c r="N473" t="s">
        <v>79</v>
      </c>
      <c r="O473" t="s">
        <v>74</v>
      </c>
      <c r="P473" t="s">
        <v>74</v>
      </c>
      <c r="Q473" t="s">
        <v>74</v>
      </c>
      <c r="R473" t="s">
        <v>74</v>
      </c>
      <c r="S473" t="s">
        <v>74</v>
      </c>
      <c r="T473" t="s">
        <v>8867</v>
      </c>
      <c r="U473" t="s">
        <v>8868</v>
      </c>
      <c r="V473" t="s">
        <v>8869</v>
      </c>
      <c r="W473" t="s">
        <v>8870</v>
      </c>
      <c r="X473" t="s">
        <v>8871</v>
      </c>
      <c r="Y473" t="s">
        <v>8872</v>
      </c>
      <c r="Z473" t="s">
        <v>8873</v>
      </c>
      <c r="AA473" t="s">
        <v>8874</v>
      </c>
      <c r="AB473" t="s">
        <v>8875</v>
      </c>
      <c r="AC473" t="s">
        <v>74</v>
      </c>
      <c r="AD473" t="s">
        <v>74</v>
      </c>
      <c r="AE473" t="s">
        <v>74</v>
      </c>
      <c r="AF473" t="s">
        <v>74</v>
      </c>
      <c r="AG473">
        <v>65</v>
      </c>
      <c r="AH473">
        <v>6</v>
      </c>
      <c r="AI473">
        <v>6</v>
      </c>
      <c r="AJ473">
        <v>0</v>
      </c>
      <c r="AK473">
        <v>10</v>
      </c>
      <c r="AL473" t="s">
        <v>8876</v>
      </c>
      <c r="AM473" t="s">
        <v>8877</v>
      </c>
      <c r="AN473" t="s">
        <v>8878</v>
      </c>
      <c r="AO473" t="s">
        <v>8879</v>
      </c>
      <c r="AP473" t="s">
        <v>8880</v>
      </c>
      <c r="AQ473" t="s">
        <v>74</v>
      </c>
      <c r="AR473" t="s">
        <v>8881</v>
      </c>
      <c r="AS473" t="s">
        <v>8882</v>
      </c>
      <c r="AT473" t="s">
        <v>8883</v>
      </c>
      <c r="AU473">
        <v>2009</v>
      </c>
      <c r="AV473">
        <v>99</v>
      </c>
      <c r="AW473">
        <v>3</v>
      </c>
      <c r="AX473" t="s">
        <v>74</v>
      </c>
      <c r="AY473" t="s">
        <v>74</v>
      </c>
      <c r="AZ473" t="s">
        <v>74</v>
      </c>
      <c r="BA473" t="s">
        <v>74</v>
      </c>
      <c r="BB473">
        <v>223</v>
      </c>
      <c r="BC473">
        <v>236</v>
      </c>
      <c r="BD473" t="s">
        <v>74</v>
      </c>
      <c r="BE473" t="s">
        <v>8884</v>
      </c>
      <c r="BF473" t="str">
        <f>HYPERLINK("http://dx.doi.org/10.1590/S0073-47212009000300001","http://dx.doi.org/10.1590/S0073-47212009000300001")</f>
        <v>http://dx.doi.org/10.1590/S0073-47212009000300001</v>
      </c>
      <c r="BG473" t="s">
        <v>74</v>
      </c>
      <c r="BH473" t="s">
        <v>74</v>
      </c>
      <c r="BI473">
        <v>14</v>
      </c>
      <c r="BJ473" t="s">
        <v>207</v>
      </c>
      <c r="BK473" t="s">
        <v>98</v>
      </c>
      <c r="BL473" t="s">
        <v>207</v>
      </c>
      <c r="BM473" t="s">
        <v>8885</v>
      </c>
      <c r="BN473" t="s">
        <v>74</v>
      </c>
      <c r="BO473" t="s">
        <v>8886</v>
      </c>
      <c r="BP473" t="s">
        <v>74</v>
      </c>
      <c r="BQ473" t="s">
        <v>74</v>
      </c>
      <c r="BR473" t="s">
        <v>101</v>
      </c>
      <c r="BS473" t="s">
        <v>8887</v>
      </c>
      <c r="BT473" t="str">
        <f>HYPERLINK("https%3A%2F%2Fwww.webofscience.com%2Fwos%2Fwoscc%2Ffull-record%2FWOS:000274209800001","View Full Record in Web of Science")</f>
        <v>View Full Record in Web of Science</v>
      </c>
    </row>
    <row r="474" spans="1:72" x14ac:dyDescent="0.15">
      <c r="A474" t="s">
        <v>72</v>
      </c>
      <c r="B474" t="s">
        <v>8888</v>
      </c>
      <c r="C474" t="s">
        <v>74</v>
      </c>
      <c r="D474" t="s">
        <v>74</v>
      </c>
      <c r="E474" t="s">
        <v>74</v>
      </c>
      <c r="F474" t="s">
        <v>8889</v>
      </c>
      <c r="G474" t="s">
        <v>74</v>
      </c>
      <c r="H474" t="s">
        <v>74</v>
      </c>
      <c r="I474" t="s">
        <v>8890</v>
      </c>
      <c r="J474" t="s">
        <v>789</v>
      </c>
      <c r="K474" t="s">
        <v>74</v>
      </c>
      <c r="L474" t="s">
        <v>74</v>
      </c>
      <c r="M474" t="s">
        <v>78</v>
      </c>
      <c r="N474" t="s">
        <v>79</v>
      </c>
      <c r="O474" t="s">
        <v>74</v>
      </c>
      <c r="P474" t="s">
        <v>74</v>
      </c>
      <c r="Q474" t="s">
        <v>74</v>
      </c>
      <c r="R474" t="s">
        <v>74</v>
      </c>
      <c r="S474" t="s">
        <v>74</v>
      </c>
      <c r="T474" t="s">
        <v>74</v>
      </c>
      <c r="U474" t="s">
        <v>8891</v>
      </c>
      <c r="V474" t="s">
        <v>8892</v>
      </c>
      <c r="W474" t="s">
        <v>8893</v>
      </c>
      <c r="X474" t="s">
        <v>8894</v>
      </c>
      <c r="Y474" t="s">
        <v>8895</v>
      </c>
      <c r="Z474" t="s">
        <v>8896</v>
      </c>
      <c r="AA474" t="s">
        <v>8897</v>
      </c>
      <c r="AB474" t="s">
        <v>5681</v>
      </c>
      <c r="AC474" t="s">
        <v>8898</v>
      </c>
      <c r="AD474" t="s">
        <v>8899</v>
      </c>
      <c r="AE474" t="s">
        <v>8900</v>
      </c>
      <c r="AF474" t="s">
        <v>74</v>
      </c>
      <c r="AG474">
        <v>28</v>
      </c>
      <c r="AH474">
        <v>4</v>
      </c>
      <c r="AI474">
        <v>5</v>
      </c>
      <c r="AJ474">
        <v>0</v>
      </c>
      <c r="AK474">
        <v>6</v>
      </c>
      <c r="AL474" t="s">
        <v>226</v>
      </c>
      <c r="AM474" t="s">
        <v>227</v>
      </c>
      <c r="AN474" t="s">
        <v>228</v>
      </c>
      <c r="AO474" t="s">
        <v>800</v>
      </c>
      <c r="AP474" t="s">
        <v>801</v>
      </c>
      <c r="AQ474" t="s">
        <v>74</v>
      </c>
      <c r="AR474" t="s">
        <v>802</v>
      </c>
      <c r="AS474" t="s">
        <v>803</v>
      </c>
      <c r="AT474" t="s">
        <v>8883</v>
      </c>
      <c r="AU474">
        <v>2009</v>
      </c>
      <c r="AV474">
        <v>114</v>
      </c>
      <c r="AW474" t="s">
        <v>74</v>
      </c>
      <c r="AX474" t="s">
        <v>74</v>
      </c>
      <c r="AY474" t="s">
        <v>74</v>
      </c>
      <c r="AZ474" t="s">
        <v>74</v>
      </c>
      <c r="BA474" t="s">
        <v>74</v>
      </c>
      <c r="BB474" t="s">
        <v>74</v>
      </c>
      <c r="BC474" t="s">
        <v>74</v>
      </c>
      <c r="BD474" t="s">
        <v>8901</v>
      </c>
      <c r="BE474" t="s">
        <v>8902</v>
      </c>
      <c r="BF474" t="str">
        <f>HYPERLINK("http://dx.doi.org/10.1029/2008JC005184","http://dx.doi.org/10.1029/2008JC005184")</f>
        <v>http://dx.doi.org/10.1029/2008JC005184</v>
      </c>
      <c r="BG474" t="s">
        <v>74</v>
      </c>
      <c r="BH474" t="s">
        <v>74</v>
      </c>
      <c r="BI474">
        <v>16</v>
      </c>
      <c r="BJ474" t="s">
        <v>806</v>
      </c>
      <c r="BK474" t="s">
        <v>98</v>
      </c>
      <c r="BL474" t="s">
        <v>806</v>
      </c>
      <c r="BM474" t="s">
        <v>8903</v>
      </c>
      <c r="BN474" t="s">
        <v>74</v>
      </c>
      <c r="BO474" t="s">
        <v>263</v>
      </c>
      <c r="BP474" t="s">
        <v>74</v>
      </c>
      <c r="BQ474" t="s">
        <v>74</v>
      </c>
      <c r="BR474" t="s">
        <v>101</v>
      </c>
      <c r="BS474" t="s">
        <v>8904</v>
      </c>
      <c r="BT474" t="str">
        <f>HYPERLINK("https%3A%2F%2Fwww.webofscience.com%2Fwos%2Fwoscc%2Ffull-record%2FWOS:000270464100001","View Full Record in Web of Science")</f>
        <v>View Full Record in Web of Science</v>
      </c>
    </row>
    <row r="475" spans="1:72" x14ac:dyDescent="0.15">
      <c r="A475" t="s">
        <v>72</v>
      </c>
      <c r="B475" t="s">
        <v>8905</v>
      </c>
      <c r="C475" t="s">
        <v>74</v>
      </c>
      <c r="D475" t="s">
        <v>74</v>
      </c>
      <c r="E475" t="s">
        <v>74</v>
      </c>
      <c r="F475" t="s">
        <v>8906</v>
      </c>
      <c r="G475" t="s">
        <v>74</v>
      </c>
      <c r="H475" t="s">
        <v>74</v>
      </c>
      <c r="I475" t="s">
        <v>8907</v>
      </c>
      <c r="J475" t="s">
        <v>987</v>
      </c>
      <c r="K475" t="s">
        <v>74</v>
      </c>
      <c r="L475" t="s">
        <v>74</v>
      </c>
      <c r="M475" t="s">
        <v>78</v>
      </c>
      <c r="N475" t="s">
        <v>79</v>
      </c>
      <c r="O475" t="s">
        <v>74</v>
      </c>
      <c r="P475" t="s">
        <v>74</v>
      </c>
      <c r="Q475" t="s">
        <v>74</v>
      </c>
      <c r="R475" t="s">
        <v>74</v>
      </c>
      <c r="S475" t="s">
        <v>74</v>
      </c>
      <c r="T475" t="s">
        <v>74</v>
      </c>
      <c r="U475" t="s">
        <v>8908</v>
      </c>
      <c r="V475" t="s">
        <v>8909</v>
      </c>
      <c r="W475" t="s">
        <v>8910</v>
      </c>
      <c r="X475" t="s">
        <v>8911</v>
      </c>
      <c r="Y475" t="s">
        <v>8912</v>
      </c>
      <c r="Z475" t="s">
        <v>8913</v>
      </c>
      <c r="AA475" t="s">
        <v>8914</v>
      </c>
      <c r="AB475" t="s">
        <v>8915</v>
      </c>
      <c r="AC475" t="s">
        <v>8916</v>
      </c>
      <c r="AD475" t="s">
        <v>8917</v>
      </c>
      <c r="AE475" t="s">
        <v>8918</v>
      </c>
      <c r="AF475" t="s">
        <v>74</v>
      </c>
      <c r="AG475">
        <v>57</v>
      </c>
      <c r="AH475">
        <v>160</v>
      </c>
      <c r="AI475">
        <v>165</v>
      </c>
      <c r="AJ475">
        <v>0</v>
      </c>
      <c r="AK475">
        <v>3</v>
      </c>
      <c r="AL475" t="s">
        <v>226</v>
      </c>
      <c r="AM475" t="s">
        <v>227</v>
      </c>
      <c r="AN475" t="s">
        <v>228</v>
      </c>
      <c r="AO475" t="s">
        <v>997</v>
      </c>
      <c r="AP475" t="s">
        <v>998</v>
      </c>
      <c r="AQ475" t="s">
        <v>74</v>
      </c>
      <c r="AR475" t="s">
        <v>999</v>
      </c>
      <c r="AS475" t="s">
        <v>1000</v>
      </c>
      <c r="AT475" t="s">
        <v>8883</v>
      </c>
      <c r="AU475">
        <v>2009</v>
      </c>
      <c r="AV475">
        <v>114</v>
      </c>
      <c r="AW475" t="s">
        <v>74</v>
      </c>
      <c r="AX475" t="s">
        <v>74</v>
      </c>
      <c r="AY475" t="s">
        <v>74</v>
      </c>
      <c r="AZ475" t="s">
        <v>74</v>
      </c>
      <c r="BA475" t="s">
        <v>74</v>
      </c>
      <c r="BB475" t="s">
        <v>74</v>
      </c>
      <c r="BC475" t="s">
        <v>74</v>
      </c>
      <c r="BD475" t="s">
        <v>8919</v>
      </c>
      <c r="BE475" t="s">
        <v>8920</v>
      </c>
      <c r="BF475" t="str">
        <f>HYPERLINK("http://dx.doi.org/10.1029/2009JA014336","http://dx.doi.org/10.1029/2009JA014336")</f>
        <v>http://dx.doi.org/10.1029/2009JA014336</v>
      </c>
      <c r="BG475" t="s">
        <v>74</v>
      </c>
      <c r="BH475" t="s">
        <v>74</v>
      </c>
      <c r="BI475">
        <v>21</v>
      </c>
      <c r="BJ475" t="s">
        <v>1003</v>
      </c>
      <c r="BK475" t="s">
        <v>98</v>
      </c>
      <c r="BL475" t="s">
        <v>1003</v>
      </c>
      <c r="BM475" t="s">
        <v>8921</v>
      </c>
      <c r="BN475" t="s">
        <v>74</v>
      </c>
      <c r="BO475" t="s">
        <v>1381</v>
      </c>
      <c r="BP475" t="s">
        <v>74</v>
      </c>
      <c r="BQ475" t="s">
        <v>74</v>
      </c>
      <c r="BR475" t="s">
        <v>101</v>
      </c>
      <c r="BS475" t="s">
        <v>8922</v>
      </c>
      <c r="BT475" t="str">
        <f>HYPERLINK("https%3A%2F%2Fwww.webofscience.com%2Fwos%2Fwoscc%2Ffull-record%2FWOS:000270465200002","View Full Record in Web of Science")</f>
        <v>View Full Record in Web of Science</v>
      </c>
    </row>
    <row r="476" spans="1:72" x14ac:dyDescent="0.15">
      <c r="A476" t="s">
        <v>72</v>
      </c>
      <c r="B476" t="s">
        <v>8923</v>
      </c>
      <c r="C476" t="s">
        <v>74</v>
      </c>
      <c r="D476" t="s">
        <v>74</v>
      </c>
      <c r="E476" t="s">
        <v>74</v>
      </c>
      <c r="F476" t="s">
        <v>8924</v>
      </c>
      <c r="G476" t="s">
        <v>74</v>
      </c>
      <c r="H476" t="s">
        <v>74</v>
      </c>
      <c r="I476" t="s">
        <v>8925</v>
      </c>
      <c r="J476" t="s">
        <v>542</v>
      </c>
      <c r="K476" t="s">
        <v>74</v>
      </c>
      <c r="L476" t="s">
        <v>74</v>
      </c>
      <c r="M476" t="s">
        <v>78</v>
      </c>
      <c r="N476" t="s">
        <v>79</v>
      </c>
      <c r="O476" t="s">
        <v>74</v>
      </c>
      <c r="P476" t="s">
        <v>74</v>
      </c>
      <c r="Q476" t="s">
        <v>74</v>
      </c>
      <c r="R476" t="s">
        <v>74</v>
      </c>
      <c r="S476" t="s">
        <v>74</v>
      </c>
      <c r="T476" t="s">
        <v>8926</v>
      </c>
      <c r="U476" t="s">
        <v>8927</v>
      </c>
      <c r="V476" t="s">
        <v>8928</v>
      </c>
      <c r="W476" t="s">
        <v>8929</v>
      </c>
      <c r="X476" t="s">
        <v>8930</v>
      </c>
      <c r="Y476" t="s">
        <v>8931</v>
      </c>
      <c r="Z476" t="s">
        <v>8932</v>
      </c>
      <c r="AA476" t="s">
        <v>8933</v>
      </c>
      <c r="AB476" t="s">
        <v>74</v>
      </c>
      <c r="AC476" t="s">
        <v>74</v>
      </c>
      <c r="AD476" t="s">
        <v>74</v>
      </c>
      <c r="AE476" t="s">
        <v>74</v>
      </c>
      <c r="AF476" t="s">
        <v>74</v>
      </c>
      <c r="AG476">
        <v>88</v>
      </c>
      <c r="AH476">
        <v>22</v>
      </c>
      <c r="AI476">
        <v>24</v>
      </c>
      <c r="AJ476">
        <v>1</v>
      </c>
      <c r="AK476">
        <v>20</v>
      </c>
      <c r="AL476" t="s">
        <v>226</v>
      </c>
      <c r="AM476" t="s">
        <v>227</v>
      </c>
      <c r="AN476" t="s">
        <v>228</v>
      </c>
      <c r="AO476" t="s">
        <v>553</v>
      </c>
      <c r="AP476" t="s">
        <v>74</v>
      </c>
      <c r="AQ476" t="s">
        <v>74</v>
      </c>
      <c r="AR476" t="s">
        <v>554</v>
      </c>
      <c r="AS476" t="s">
        <v>555</v>
      </c>
      <c r="AT476" t="s">
        <v>8934</v>
      </c>
      <c r="AU476">
        <v>2009</v>
      </c>
      <c r="AV476">
        <v>10</v>
      </c>
      <c r="AW476" t="s">
        <v>74</v>
      </c>
      <c r="AX476" t="s">
        <v>74</v>
      </c>
      <c r="AY476" t="s">
        <v>74</v>
      </c>
      <c r="AZ476" t="s">
        <v>74</v>
      </c>
      <c r="BA476" t="s">
        <v>74</v>
      </c>
      <c r="BB476" t="s">
        <v>74</v>
      </c>
      <c r="BC476" t="s">
        <v>74</v>
      </c>
      <c r="BD476" t="s">
        <v>8935</v>
      </c>
      <c r="BE476" t="s">
        <v>8936</v>
      </c>
      <c r="BF476" t="str">
        <f>HYPERLINK("http://dx.doi.org/10.1029/2009GC002373","http://dx.doi.org/10.1029/2009GC002373")</f>
        <v>http://dx.doi.org/10.1029/2009GC002373</v>
      </c>
      <c r="BG476" t="s">
        <v>74</v>
      </c>
      <c r="BH476" t="s">
        <v>74</v>
      </c>
      <c r="BI476">
        <v>23</v>
      </c>
      <c r="BJ476" t="s">
        <v>261</v>
      </c>
      <c r="BK476" t="s">
        <v>98</v>
      </c>
      <c r="BL476" t="s">
        <v>261</v>
      </c>
      <c r="BM476" t="s">
        <v>8937</v>
      </c>
      <c r="BN476" t="s">
        <v>74</v>
      </c>
      <c r="BO476" t="s">
        <v>263</v>
      </c>
      <c r="BP476" t="s">
        <v>74</v>
      </c>
      <c r="BQ476" t="s">
        <v>74</v>
      </c>
      <c r="BR476" t="s">
        <v>101</v>
      </c>
      <c r="BS476" t="s">
        <v>8938</v>
      </c>
      <c r="BT476" t="str">
        <f>HYPERLINK("https%3A%2F%2Fwww.webofscience.com%2Fwos%2Fwoscc%2Ffull-record%2FWOS:000270234300001","View Full Record in Web of Science")</f>
        <v>View Full Record in Web of Science</v>
      </c>
    </row>
    <row r="477" spans="1:72" x14ac:dyDescent="0.15">
      <c r="A477" t="s">
        <v>72</v>
      </c>
      <c r="B477" t="s">
        <v>8939</v>
      </c>
      <c r="C477" t="s">
        <v>74</v>
      </c>
      <c r="D477" t="s">
        <v>74</v>
      </c>
      <c r="E477" t="s">
        <v>74</v>
      </c>
      <c r="F477" t="s">
        <v>8940</v>
      </c>
      <c r="G477" t="s">
        <v>74</v>
      </c>
      <c r="H477" t="s">
        <v>74</v>
      </c>
      <c r="I477" t="s">
        <v>8941</v>
      </c>
      <c r="J477" t="s">
        <v>3797</v>
      </c>
      <c r="K477" t="s">
        <v>74</v>
      </c>
      <c r="L477" t="s">
        <v>74</v>
      </c>
      <c r="M477" t="s">
        <v>78</v>
      </c>
      <c r="N477" t="s">
        <v>79</v>
      </c>
      <c r="O477" t="s">
        <v>74</v>
      </c>
      <c r="P477" t="s">
        <v>74</v>
      </c>
      <c r="Q477" t="s">
        <v>74</v>
      </c>
      <c r="R477" t="s">
        <v>74</v>
      </c>
      <c r="S477" t="s">
        <v>74</v>
      </c>
      <c r="T477" t="s">
        <v>8942</v>
      </c>
      <c r="U477" t="s">
        <v>8943</v>
      </c>
      <c r="V477" t="s">
        <v>8944</v>
      </c>
      <c r="W477" t="s">
        <v>74</v>
      </c>
      <c r="X477" t="s">
        <v>74</v>
      </c>
      <c r="Y477" t="s">
        <v>8945</v>
      </c>
      <c r="Z477" t="s">
        <v>8946</v>
      </c>
      <c r="AA477" t="s">
        <v>74</v>
      </c>
      <c r="AB477" t="s">
        <v>74</v>
      </c>
      <c r="AC477" t="s">
        <v>8947</v>
      </c>
      <c r="AD477" t="s">
        <v>8948</v>
      </c>
      <c r="AE477" t="s">
        <v>8949</v>
      </c>
      <c r="AF477" t="s">
        <v>74</v>
      </c>
      <c r="AG477">
        <v>24</v>
      </c>
      <c r="AH477">
        <v>1</v>
      </c>
      <c r="AI477">
        <v>1</v>
      </c>
      <c r="AJ477">
        <v>0</v>
      </c>
      <c r="AK477">
        <v>1</v>
      </c>
      <c r="AL477" t="s">
        <v>3808</v>
      </c>
      <c r="AM477" t="s">
        <v>3809</v>
      </c>
      <c r="AN477" t="s">
        <v>3810</v>
      </c>
      <c r="AO477" t="s">
        <v>3811</v>
      </c>
      <c r="AP477" t="s">
        <v>3812</v>
      </c>
      <c r="AQ477" t="s">
        <v>74</v>
      </c>
      <c r="AR477" t="s">
        <v>3797</v>
      </c>
      <c r="AS477" t="s">
        <v>3813</v>
      </c>
      <c r="AT477" t="s">
        <v>8934</v>
      </c>
      <c r="AU477">
        <v>2009</v>
      </c>
      <c r="AV477" t="s">
        <v>74</v>
      </c>
      <c r="AW477">
        <v>2240</v>
      </c>
      <c r="AX477" t="s">
        <v>74</v>
      </c>
      <c r="AY477" t="s">
        <v>74</v>
      </c>
      <c r="AZ477" t="s">
        <v>74</v>
      </c>
      <c r="BA477" t="s">
        <v>74</v>
      </c>
      <c r="BB477">
        <v>31</v>
      </c>
      <c r="BC477">
        <v>40</v>
      </c>
      <c r="BD477" t="s">
        <v>74</v>
      </c>
      <c r="BE477" t="s">
        <v>8950</v>
      </c>
      <c r="BF477" t="str">
        <f>HYPERLINK("http://dx.doi.org/10.11646/zootaxa.2240.1.2","http://dx.doi.org/10.11646/zootaxa.2240.1.2")</f>
        <v>http://dx.doi.org/10.11646/zootaxa.2240.1.2</v>
      </c>
      <c r="BG477" t="s">
        <v>74</v>
      </c>
      <c r="BH477" t="s">
        <v>74</v>
      </c>
      <c r="BI477">
        <v>10</v>
      </c>
      <c r="BJ477" t="s">
        <v>207</v>
      </c>
      <c r="BK477" t="s">
        <v>98</v>
      </c>
      <c r="BL477" t="s">
        <v>207</v>
      </c>
      <c r="BM477" t="s">
        <v>8951</v>
      </c>
      <c r="BN477" t="s">
        <v>74</v>
      </c>
      <c r="BO477" t="s">
        <v>74</v>
      </c>
      <c r="BP477" t="s">
        <v>74</v>
      </c>
      <c r="BQ477" t="s">
        <v>74</v>
      </c>
      <c r="BR477" t="s">
        <v>101</v>
      </c>
      <c r="BS477" t="s">
        <v>8952</v>
      </c>
      <c r="BT477" t="str">
        <f>HYPERLINK("https%3A%2F%2Fwww.webofscience.com%2Fwos%2Fwoscc%2Ffull-record%2FWOS:000270176500002","View Full Record in Web of Science")</f>
        <v>View Full Record in Web of Science</v>
      </c>
    </row>
    <row r="478" spans="1:72" x14ac:dyDescent="0.15">
      <c r="A478" t="s">
        <v>72</v>
      </c>
      <c r="B478" t="s">
        <v>8953</v>
      </c>
      <c r="C478" t="s">
        <v>74</v>
      </c>
      <c r="D478" t="s">
        <v>74</v>
      </c>
      <c r="E478" t="s">
        <v>74</v>
      </c>
      <c r="F478" t="s">
        <v>8954</v>
      </c>
      <c r="G478" t="s">
        <v>74</v>
      </c>
      <c r="H478" t="s">
        <v>74</v>
      </c>
      <c r="I478" t="s">
        <v>8955</v>
      </c>
      <c r="J478" t="s">
        <v>721</v>
      </c>
      <c r="K478" t="s">
        <v>74</v>
      </c>
      <c r="L478" t="s">
        <v>74</v>
      </c>
      <c r="M478" t="s">
        <v>78</v>
      </c>
      <c r="N478" t="s">
        <v>79</v>
      </c>
      <c r="O478" t="s">
        <v>74</v>
      </c>
      <c r="P478" t="s">
        <v>74</v>
      </c>
      <c r="Q478" t="s">
        <v>74</v>
      </c>
      <c r="R478" t="s">
        <v>74</v>
      </c>
      <c r="S478" t="s">
        <v>74</v>
      </c>
      <c r="T478" t="s">
        <v>74</v>
      </c>
      <c r="U478" t="s">
        <v>8956</v>
      </c>
      <c r="V478" t="s">
        <v>8957</v>
      </c>
      <c r="W478" t="s">
        <v>8958</v>
      </c>
      <c r="X478" t="s">
        <v>8959</v>
      </c>
      <c r="Y478" t="s">
        <v>8960</v>
      </c>
      <c r="Z478" t="s">
        <v>8961</v>
      </c>
      <c r="AA478" t="s">
        <v>8962</v>
      </c>
      <c r="AB478" t="s">
        <v>8963</v>
      </c>
      <c r="AC478" t="s">
        <v>8964</v>
      </c>
      <c r="AD478" t="s">
        <v>8965</v>
      </c>
      <c r="AE478" t="s">
        <v>8966</v>
      </c>
      <c r="AF478" t="s">
        <v>74</v>
      </c>
      <c r="AG478">
        <v>33</v>
      </c>
      <c r="AH478">
        <v>67</v>
      </c>
      <c r="AI478">
        <v>70</v>
      </c>
      <c r="AJ478">
        <v>1</v>
      </c>
      <c r="AK478">
        <v>24</v>
      </c>
      <c r="AL478" t="s">
        <v>226</v>
      </c>
      <c r="AM478" t="s">
        <v>227</v>
      </c>
      <c r="AN478" t="s">
        <v>228</v>
      </c>
      <c r="AO478" t="s">
        <v>731</v>
      </c>
      <c r="AP478" t="s">
        <v>74</v>
      </c>
      <c r="AQ478" t="s">
        <v>74</v>
      </c>
      <c r="AR478" t="s">
        <v>733</v>
      </c>
      <c r="AS478" t="s">
        <v>734</v>
      </c>
      <c r="AT478" t="s">
        <v>8967</v>
      </c>
      <c r="AU478">
        <v>2009</v>
      </c>
      <c r="AV478">
        <v>36</v>
      </c>
      <c r="AW478" t="s">
        <v>74</v>
      </c>
      <c r="AX478" t="s">
        <v>74</v>
      </c>
      <c r="AY478" t="s">
        <v>74</v>
      </c>
      <c r="AZ478" t="s">
        <v>74</v>
      </c>
      <c r="BA478" t="s">
        <v>74</v>
      </c>
      <c r="BB478" t="s">
        <v>74</v>
      </c>
      <c r="BC478" t="s">
        <v>74</v>
      </c>
      <c r="BD478" t="s">
        <v>8968</v>
      </c>
      <c r="BE478" t="s">
        <v>8969</v>
      </c>
      <c r="BF478" t="str">
        <f>HYPERLINK("http://dx.doi.org/10.1029/2009GL039186","http://dx.doi.org/10.1029/2009GL039186")</f>
        <v>http://dx.doi.org/10.1029/2009GL039186</v>
      </c>
      <c r="BG478" t="s">
        <v>74</v>
      </c>
      <c r="BH478" t="s">
        <v>74</v>
      </c>
      <c r="BI478">
        <v>5</v>
      </c>
      <c r="BJ478" t="s">
        <v>464</v>
      </c>
      <c r="BK478" t="s">
        <v>98</v>
      </c>
      <c r="BL478" t="s">
        <v>465</v>
      </c>
      <c r="BM478" t="s">
        <v>8970</v>
      </c>
      <c r="BN478" t="s">
        <v>74</v>
      </c>
      <c r="BO478" t="s">
        <v>467</v>
      </c>
      <c r="BP478" t="s">
        <v>74</v>
      </c>
      <c r="BQ478" t="s">
        <v>74</v>
      </c>
      <c r="BR478" t="s">
        <v>101</v>
      </c>
      <c r="BS478" t="s">
        <v>8971</v>
      </c>
      <c r="BT478" t="str">
        <f>HYPERLINK("https%3A%2F%2Fwww.webofscience.com%2Fwos%2Fwoscc%2Ffull-record%2FWOS:000270235100001","View Full Record in Web of Science")</f>
        <v>View Full Record in Web of Science</v>
      </c>
    </row>
    <row r="479" spans="1:72" x14ac:dyDescent="0.15">
      <c r="A479" t="s">
        <v>72</v>
      </c>
      <c r="B479" t="s">
        <v>8972</v>
      </c>
      <c r="C479" t="s">
        <v>74</v>
      </c>
      <c r="D479" t="s">
        <v>74</v>
      </c>
      <c r="E479" t="s">
        <v>74</v>
      </c>
      <c r="F479" t="s">
        <v>8973</v>
      </c>
      <c r="G479" t="s">
        <v>74</v>
      </c>
      <c r="H479" t="s">
        <v>74</v>
      </c>
      <c r="I479" t="s">
        <v>8974</v>
      </c>
      <c r="J479" t="s">
        <v>522</v>
      </c>
      <c r="K479" t="s">
        <v>74</v>
      </c>
      <c r="L479" t="s">
        <v>74</v>
      </c>
      <c r="M479" t="s">
        <v>78</v>
      </c>
      <c r="N479" t="s">
        <v>79</v>
      </c>
      <c r="O479" t="s">
        <v>74</v>
      </c>
      <c r="P479" t="s">
        <v>74</v>
      </c>
      <c r="Q479" t="s">
        <v>74</v>
      </c>
      <c r="R479" t="s">
        <v>74</v>
      </c>
      <c r="S479" t="s">
        <v>74</v>
      </c>
      <c r="T479" t="s">
        <v>74</v>
      </c>
      <c r="U479" t="s">
        <v>8975</v>
      </c>
      <c r="V479" t="s">
        <v>8976</v>
      </c>
      <c r="W479" t="s">
        <v>8977</v>
      </c>
      <c r="X479" t="s">
        <v>8978</v>
      </c>
      <c r="Y479" t="s">
        <v>8979</v>
      </c>
      <c r="Z479" t="s">
        <v>8980</v>
      </c>
      <c r="AA479" t="s">
        <v>8981</v>
      </c>
      <c r="AB479" t="s">
        <v>8982</v>
      </c>
      <c r="AC479" t="s">
        <v>8983</v>
      </c>
      <c r="AD479" t="s">
        <v>8984</v>
      </c>
      <c r="AE479" t="s">
        <v>8985</v>
      </c>
      <c r="AF479" t="s">
        <v>74</v>
      </c>
      <c r="AG479">
        <v>30</v>
      </c>
      <c r="AH479">
        <v>158</v>
      </c>
      <c r="AI479">
        <v>173</v>
      </c>
      <c r="AJ479">
        <v>2</v>
      </c>
      <c r="AK479">
        <v>101</v>
      </c>
      <c r="AL479" t="s">
        <v>2890</v>
      </c>
      <c r="AM479" t="s">
        <v>433</v>
      </c>
      <c r="AN479" t="s">
        <v>3957</v>
      </c>
      <c r="AO479" t="s">
        <v>532</v>
      </c>
      <c r="AP479" t="s">
        <v>533</v>
      </c>
      <c r="AQ479" t="s">
        <v>74</v>
      </c>
      <c r="AR479" t="s">
        <v>522</v>
      </c>
      <c r="AS479" t="s">
        <v>534</v>
      </c>
      <c r="AT479" t="s">
        <v>8967</v>
      </c>
      <c r="AU479">
        <v>2009</v>
      </c>
      <c r="AV479">
        <v>461</v>
      </c>
      <c r="AW479">
        <v>7263</v>
      </c>
      <c r="AX479" t="s">
        <v>74</v>
      </c>
      <c r="AY479" t="s">
        <v>74</v>
      </c>
      <c r="AZ479" t="s">
        <v>74</v>
      </c>
      <c r="BA479" t="s">
        <v>74</v>
      </c>
      <c r="BB479">
        <v>507</v>
      </c>
      <c r="BC479">
        <v>510</v>
      </c>
      <c r="BD479" t="s">
        <v>74</v>
      </c>
      <c r="BE479" t="s">
        <v>8986</v>
      </c>
      <c r="BF479" t="str">
        <f>HYPERLINK("http://dx.doi.org/10.1038/nature08393","http://dx.doi.org/10.1038/nature08393")</f>
        <v>http://dx.doi.org/10.1038/nature08393</v>
      </c>
      <c r="BG479" t="s">
        <v>74</v>
      </c>
      <c r="BH479" t="s">
        <v>74</v>
      </c>
      <c r="BI479">
        <v>4</v>
      </c>
      <c r="BJ479" t="s">
        <v>388</v>
      </c>
      <c r="BK479" t="s">
        <v>98</v>
      </c>
      <c r="BL479" t="s">
        <v>389</v>
      </c>
      <c r="BM479" t="s">
        <v>8987</v>
      </c>
      <c r="BN479">
        <v>19779448</v>
      </c>
      <c r="BO479" t="s">
        <v>239</v>
      </c>
      <c r="BP479" t="s">
        <v>74</v>
      </c>
      <c r="BQ479" t="s">
        <v>74</v>
      </c>
      <c r="BR479" t="s">
        <v>101</v>
      </c>
      <c r="BS479" t="s">
        <v>8988</v>
      </c>
      <c r="BT479" t="str">
        <f>HYPERLINK("https%3A%2F%2Fwww.webofscience.com%2Fwos%2Fwoscc%2Ffull-record%2FWOS:000270082900036","View Full Record in Web of Science")</f>
        <v>View Full Record in Web of Science</v>
      </c>
    </row>
    <row r="480" spans="1:72" x14ac:dyDescent="0.15">
      <c r="A480" t="s">
        <v>72</v>
      </c>
      <c r="B480" t="s">
        <v>8989</v>
      </c>
      <c r="C480" t="s">
        <v>74</v>
      </c>
      <c r="D480" t="s">
        <v>74</v>
      </c>
      <c r="E480" t="s">
        <v>74</v>
      </c>
      <c r="F480" t="s">
        <v>8990</v>
      </c>
      <c r="G480" t="s">
        <v>74</v>
      </c>
      <c r="H480" t="s">
        <v>74</v>
      </c>
      <c r="I480" t="s">
        <v>8991</v>
      </c>
      <c r="J480" t="s">
        <v>395</v>
      </c>
      <c r="K480" t="s">
        <v>74</v>
      </c>
      <c r="L480" t="s">
        <v>74</v>
      </c>
      <c r="M480" t="s">
        <v>78</v>
      </c>
      <c r="N480" t="s">
        <v>79</v>
      </c>
      <c r="O480" t="s">
        <v>74</v>
      </c>
      <c r="P480" t="s">
        <v>74</v>
      </c>
      <c r="Q480" t="s">
        <v>74</v>
      </c>
      <c r="R480" t="s">
        <v>74</v>
      </c>
      <c r="S480" t="s">
        <v>74</v>
      </c>
      <c r="T480" t="s">
        <v>74</v>
      </c>
      <c r="U480" t="s">
        <v>8992</v>
      </c>
      <c r="V480" t="s">
        <v>8993</v>
      </c>
      <c r="W480" t="s">
        <v>8994</v>
      </c>
      <c r="X480" t="s">
        <v>8995</v>
      </c>
      <c r="Y480" t="s">
        <v>8996</v>
      </c>
      <c r="Z480" t="s">
        <v>8997</v>
      </c>
      <c r="AA480" t="s">
        <v>8998</v>
      </c>
      <c r="AB480" t="s">
        <v>8999</v>
      </c>
      <c r="AC480" t="s">
        <v>9000</v>
      </c>
      <c r="AD480" t="s">
        <v>9001</v>
      </c>
      <c r="AE480" t="s">
        <v>74</v>
      </c>
      <c r="AF480" t="s">
        <v>74</v>
      </c>
      <c r="AG480">
        <v>60</v>
      </c>
      <c r="AH480">
        <v>18</v>
      </c>
      <c r="AI480">
        <v>18</v>
      </c>
      <c r="AJ480">
        <v>0</v>
      </c>
      <c r="AK480">
        <v>4</v>
      </c>
      <c r="AL480" t="s">
        <v>226</v>
      </c>
      <c r="AM480" t="s">
        <v>227</v>
      </c>
      <c r="AN480" t="s">
        <v>228</v>
      </c>
      <c r="AO480" t="s">
        <v>407</v>
      </c>
      <c r="AP480" t="s">
        <v>74</v>
      </c>
      <c r="AQ480" t="s">
        <v>74</v>
      </c>
      <c r="AR480" t="s">
        <v>409</v>
      </c>
      <c r="AS480" t="s">
        <v>410</v>
      </c>
      <c r="AT480" t="s">
        <v>9002</v>
      </c>
      <c r="AU480">
        <v>2009</v>
      </c>
      <c r="AV480">
        <v>114</v>
      </c>
      <c r="AW480" t="s">
        <v>74</v>
      </c>
      <c r="AX480" t="s">
        <v>74</v>
      </c>
      <c r="AY480" t="s">
        <v>74</v>
      </c>
      <c r="AZ480" t="s">
        <v>74</v>
      </c>
      <c r="BA480" t="s">
        <v>74</v>
      </c>
      <c r="BB480" t="s">
        <v>74</v>
      </c>
      <c r="BC480" t="s">
        <v>74</v>
      </c>
      <c r="BD480" t="s">
        <v>9003</v>
      </c>
      <c r="BE480" t="s">
        <v>9004</v>
      </c>
      <c r="BF480" t="str">
        <f>HYPERLINK("http://dx.doi.org/10.1029/2009JD011886","http://dx.doi.org/10.1029/2009JD011886")</f>
        <v>http://dx.doi.org/10.1029/2009JD011886</v>
      </c>
      <c r="BG480" t="s">
        <v>74</v>
      </c>
      <c r="BH480" t="s">
        <v>74</v>
      </c>
      <c r="BI480">
        <v>15</v>
      </c>
      <c r="BJ480" t="s">
        <v>413</v>
      </c>
      <c r="BK480" t="s">
        <v>98</v>
      </c>
      <c r="BL480" t="s">
        <v>413</v>
      </c>
      <c r="BM480" t="s">
        <v>9005</v>
      </c>
      <c r="BN480" t="s">
        <v>74</v>
      </c>
      <c r="BO480" t="s">
        <v>263</v>
      </c>
      <c r="BP480" t="s">
        <v>74</v>
      </c>
      <c r="BQ480" t="s">
        <v>74</v>
      </c>
      <c r="BR480" t="s">
        <v>101</v>
      </c>
      <c r="BS480" t="s">
        <v>9006</v>
      </c>
      <c r="BT480" t="str">
        <f>HYPERLINK("https%3A%2F%2Fwww.webofscience.com%2Fwos%2Fwoscc%2Ffull-record%2FWOS:000270235600010","View Full Record in Web of Science")</f>
        <v>View Full Record in Web of Science</v>
      </c>
    </row>
    <row r="481" spans="1:72" x14ac:dyDescent="0.15">
      <c r="A481" t="s">
        <v>72</v>
      </c>
      <c r="B481" t="s">
        <v>9007</v>
      </c>
      <c r="C481" t="s">
        <v>74</v>
      </c>
      <c r="D481" t="s">
        <v>74</v>
      </c>
      <c r="E481" t="s">
        <v>74</v>
      </c>
      <c r="F481" t="s">
        <v>9008</v>
      </c>
      <c r="G481" t="s">
        <v>74</v>
      </c>
      <c r="H481" t="s">
        <v>74</v>
      </c>
      <c r="I481" t="s">
        <v>9009</v>
      </c>
      <c r="J481" t="s">
        <v>395</v>
      </c>
      <c r="K481" t="s">
        <v>74</v>
      </c>
      <c r="L481" t="s">
        <v>74</v>
      </c>
      <c r="M481" t="s">
        <v>78</v>
      </c>
      <c r="N481" t="s">
        <v>79</v>
      </c>
      <c r="O481" t="s">
        <v>74</v>
      </c>
      <c r="P481" t="s">
        <v>74</v>
      </c>
      <c r="Q481" t="s">
        <v>74</v>
      </c>
      <c r="R481" t="s">
        <v>74</v>
      </c>
      <c r="S481" t="s">
        <v>74</v>
      </c>
      <c r="T481" t="s">
        <v>74</v>
      </c>
      <c r="U481" t="s">
        <v>9010</v>
      </c>
      <c r="V481" t="s">
        <v>9011</v>
      </c>
      <c r="W481" t="s">
        <v>9012</v>
      </c>
      <c r="X481" t="s">
        <v>9013</v>
      </c>
      <c r="Y481" t="s">
        <v>9014</v>
      </c>
      <c r="Z481" t="s">
        <v>9015</v>
      </c>
      <c r="AA481" t="s">
        <v>9016</v>
      </c>
      <c r="AB481" t="s">
        <v>74</v>
      </c>
      <c r="AC481" t="s">
        <v>74</v>
      </c>
      <c r="AD481" t="s">
        <v>74</v>
      </c>
      <c r="AE481" t="s">
        <v>74</v>
      </c>
      <c r="AF481" t="s">
        <v>74</v>
      </c>
      <c r="AG481">
        <v>39</v>
      </c>
      <c r="AH481">
        <v>8</v>
      </c>
      <c r="AI481">
        <v>10</v>
      </c>
      <c r="AJ481">
        <v>2</v>
      </c>
      <c r="AK481">
        <v>18</v>
      </c>
      <c r="AL481" t="s">
        <v>226</v>
      </c>
      <c r="AM481" t="s">
        <v>227</v>
      </c>
      <c r="AN481" t="s">
        <v>228</v>
      </c>
      <c r="AO481" t="s">
        <v>407</v>
      </c>
      <c r="AP481" t="s">
        <v>408</v>
      </c>
      <c r="AQ481" t="s">
        <v>74</v>
      </c>
      <c r="AR481" t="s">
        <v>409</v>
      </c>
      <c r="AS481" t="s">
        <v>410</v>
      </c>
      <c r="AT481" t="s">
        <v>9002</v>
      </c>
      <c r="AU481">
        <v>2009</v>
      </c>
      <c r="AV481">
        <v>114</v>
      </c>
      <c r="AW481" t="s">
        <v>74</v>
      </c>
      <c r="AX481" t="s">
        <v>74</v>
      </c>
      <c r="AY481" t="s">
        <v>74</v>
      </c>
      <c r="AZ481" t="s">
        <v>74</v>
      </c>
      <c r="BA481" t="s">
        <v>74</v>
      </c>
      <c r="BB481" t="s">
        <v>74</v>
      </c>
      <c r="BC481" t="s">
        <v>74</v>
      </c>
      <c r="BD481" t="s">
        <v>9017</v>
      </c>
      <c r="BE481" t="s">
        <v>9018</v>
      </c>
      <c r="BF481" t="str">
        <f>HYPERLINK("http://dx.doi.org/10.1029/2009JD011849","http://dx.doi.org/10.1029/2009JD011849")</f>
        <v>http://dx.doi.org/10.1029/2009JD011849</v>
      </c>
      <c r="BG481" t="s">
        <v>74</v>
      </c>
      <c r="BH481" t="s">
        <v>74</v>
      </c>
      <c r="BI481">
        <v>9</v>
      </c>
      <c r="BJ481" t="s">
        <v>413</v>
      </c>
      <c r="BK481" t="s">
        <v>98</v>
      </c>
      <c r="BL481" t="s">
        <v>413</v>
      </c>
      <c r="BM481" t="s">
        <v>9005</v>
      </c>
      <c r="BN481" t="s">
        <v>74</v>
      </c>
      <c r="BO481" t="s">
        <v>263</v>
      </c>
      <c r="BP481" t="s">
        <v>74</v>
      </c>
      <c r="BQ481" t="s">
        <v>74</v>
      </c>
      <c r="BR481" t="s">
        <v>101</v>
      </c>
      <c r="BS481" t="s">
        <v>9019</v>
      </c>
      <c r="BT481" t="str">
        <f>HYPERLINK("https%3A%2F%2Fwww.webofscience.com%2Fwos%2Fwoscc%2Ffull-record%2FWOS:000270235600009","View Full Record in Web of Science")</f>
        <v>View Full Record in Web of Science</v>
      </c>
    </row>
    <row r="482" spans="1:72" x14ac:dyDescent="0.15">
      <c r="A482" t="s">
        <v>72</v>
      </c>
      <c r="B482" t="s">
        <v>9020</v>
      </c>
      <c r="C482" t="s">
        <v>74</v>
      </c>
      <c r="D482" t="s">
        <v>74</v>
      </c>
      <c r="E482" t="s">
        <v>74</v>
      </c>
      <c r="F482" t="s">
        <v>9021</v>
      </c>
      <c r="G482" t="s">
        <v>74</v>
      </c>
      <c r="H482" t="s">
        <v>74</v>
      </c>
      <c r="I482" t="s">
        <v>9022</v>
      </c>
      <c r="J482" t="s">
        <v>987</v>
      </c>
      <c r="K482" t="s">
        <v>74</v>
      </c>
      <c r="L482" t="s">
        <v>74</v>
      </c>
      <c r="M482" t="s">
        <v>78</v>
      </c>
      <c r="N482" t="s">
        <v>79</v>
      </c>
      <c r="O482" t="s">
        <v>74</v>
      </c>
      <c r="P482" t="s">
        <v>74</v>
      </c>
      <c r="Q482" t="s">
        <v>74</v>
      </c>
      <c r="R482" t="s">
        <v>74</v>
      </c>
      <c r="S482" t="s">
        <v>74</v>
      </c>
      <c r="T482" t="s">
        <v>74</v>
      </c>
      <c r="U482" t="s">
        <v>9023</v>
      </c>
      <c r="V482" t="s">
        <v>9024</v>
      </c>
      <c r="W482" t="s">
        <v>9025</v>
      </c>
      <c r="X482" t="s">
        <v>9026</v>
      </c>
      <c r="Y482" t="s">
        <v>9027</v>
      </c>
      <c r="Z482" t="s">
        <v>9028</v>
      </c>
      <c r="AA482" t="s">
        <v>9029</v>
      </c>
      <c r="AB482" t="s">
        <v>9030</v>
      </c>
      <c r="AC482" t="s">
        <v>9031</v>
      </c>
      <c r="AD482" t="s">
        <v>9031</v>
      </c>
      <c r="AE482" t="s">
        <v>9032</v>
      </c>
      <c r="AF482" t="s">
        <v>74</v>
      </c>
      <c r="AG482">
        <v>35</v>
      </c>
      <c r="AH482">
        <v>3</v>
      </c>
      <c r="AI482">
        <v>3</v>
      </c>
      <c r="AJ482">
        <v>0</v>
      </c>
      <c r="AK482">
        <v>3</v>
      </c>
      <c r="AL482" t="s">
        <v>226</v>
      </c>
      <c r="AM482" t="s">
        <v>227</v>
      </c>
      <c r="AN482" t="s">
        <v>228</v>
      </c>
      <c r="AO482" t="s">
        <v>997</v>
      </c>
      <c r="AP482" t="s">
        <v>998</v>
      </c>
      <c r="AQ482" t="s">
        <v>74</v>
      </c>
      <c r="AR482" t="s">
        <v>999</v>
      </c>
      <c r="AS482" t="s">
        <v>1000</v>
      </c>
      <c r="AT482" t="s">
        <v>9002</v>
      </c>
      <c r="AU482">
        <v>2009</v>
      </c>
      <c r="AV482">
        <v>114</v>
      </c>
      <c r="AW482" t="s">
        <v>74</v>
      </c>
      <c r="AX482" t="s">
        <v>74</v>
      </c>
      <c r="AY482" t="s">
        <v>74</v>
      </c>
      <c r="AZ482" t="s">
        <v>74</v>
      </c>
      <c r="BA482" t="s">
        <v>74</v>
      </c>
      <c r="BB482" t="s">
        <v>74</v>
      </c>
      <c r="BC482" t="s">
        <v>74</v>
      </c>
      <c r="BD482" t="s">
        <v>9033</v>
      </c>
      <c r="BE482" t="s">
        <v>9034</v>
      </c>
      <c r="BF482" t="str">
        <f>HYPERLINK("http://dx.doi.org/10.1029/2008JA013956","http://dx.doi.org/10.1029/2008JA013956")</f>
        <v>http://dx.doi.org/10.1029/2008JA013956</v>
      </c>
      <c r="BG482" t="s">
        <v>74</v>
      </c>
      <c r="BH482" t="s">
        <v>74</v>
      </c>
      <c r="BI482">
        <v>18</v>
      </c>
      <c r="BJ482" t="s">
        <v>1003</v>
      </c>
      <c r="BK482" t="s">
        <v>98</v>
      </c>
      <c r="BL482" t="s">
        <v>1003</v>
      </c>
      <c r="BM482" t="s">
        <v>9035</v>
      </c>
      <c r="BN482" t="s">
        <v>74</v>
      </c>
      <c r="BO482" t="s">
        <v>74</v>
      </c>
      <c r="BP482" t="s">
        <v>74</v>
      </c>
      <c r="BQ482" t="s">
        <v>74</v>
      </c>
      <c r="BR482" t="s">
        <v>101</v>
      </c>
      <c r="BS482" t="s">
        <v>9036</v>
      </c>
      <c r="BT482" t="str">
        <f>HYPERLINK("https%3A%2F%2Fwww.webofscience.com%2Fwos%2Fwoscc%2Ffull-record%2FWOS:000270237500002","View Full Record in Web of Science")</f>
        <v>View Full Record in Web of Science</v>
      </c>
    </row>
    <row r="483" spans="1:72" x14ac:dyDescent="0.15">
      <c r="A483" t="s">
        <v>72</v>
      </c>
      <c r="B483" t="s">
        <v>9037</v>
      </c>
      <c r="C483" t="s">
        <v>74</v>
      </c>
      <c r="D483" t="s">
        <v>74</v>
      </c>
      <c r="E483" t="s">
        <v>74</v>
      </c>
      <c r="F483" t="s">
        <v>9038</v>
      </c>
      <c r="G483" t="s">
        <v>74</v>
      </c>
      <c r="H483" t="s">
        <v>74</v>
      </c>
      <c r="I483" t="s">
        <v>9039</v>
      </c>
      <c r="J483" t="s">
        <v>721</v>
      </c>
      <c r="K483" t="s">
        <v>74</v>
      </c>
      <c r="L483" t="s">
        <v>74</v>
      </c>
      <c r="M483" t="s">
        <v>78</v>
      </c>
      <c r="N483" t="s">
        <v>79</v>
      </c>
      <c r="O483" t="s">
        <v>74</v>
      </c>
      <c r="P483" t="s">
        <v>74</v>
      </c>
      <c r="Q483" t="s">
        <v>74</v>
      </c>
      <c r="R483" t="s">
        <v>74</v>
      </c>
      <c r="S483" t="s">
        <v>74</v>
      </c>
      <c r="T483" t="s">
        <v>74</v>
      </c>
      <c r="U483" t="s">
        <v>74</v>
      </c>
      <c r="V483" t="s">
        <v>9040</v>
      </c>
      <c r="W483" t="s">
        <v>9041</v>
      </c>
      <c r="X483" t="s">
        <v>9042</v>
      </c>
      <c r="Y483" t="s">
        <v>9043</v>
      </c>
      <c r="Z483" t="s">
        <v>9044</v>
      </c>
      <c r="AA483" t="s">
        <v>9045</v>
      </c>
      <c r="AB483" t="s">
        <v>9046</v>
      </c>
      <c r="AC483" t="s">
        <v>9047</v>
      </c>
      <c r="AD483" t="s">
        <v>9048</v>
      </c>
      <c r="AE483" t="s">
        <v>9049</v>
      </c>
      <c r="AF483" t="s">
        <v>74</v>
      </c>
      <c r="AG483">
        <v>21</v>
      </c>
      <c r="AH483">
        <v>67</v>
      </c>
      <c r="AI483">
        <v>70</v>
      </c>
      <c r="AJ483">
        <v>0</v>
      </c>
      <c r="AK483">
        <v>11</v>
      </c>
      <c r="AL483" t="s">
        <v>226</v>
      </c>
      <c r="AM483" t="s">
        <v>227</v>
      </c>
      <c r="AN483" t="s">
        <v>228</v>
      </c>
      <c r="AO483" t="s">
        <v>731</v>
      </c>
      <c r="AP483" t="s">
        <v>732</v>
      </c>
      <c r="AQ483" t="s">
        <v>74</v>
      </c>
      <c r="AR483" t="s">
        <v>733</v>
      </c>
      <c r="AS483" t="s">
        <v>734</v>
      </c>
      <c r="AT483" t="s">
        <v>9050</v>
      </c>
      <c r="AU483">
        <v>2009</v>
      </c>
      <c r="AV483">
        <v>36</v>
      </c>
      <c r="AW483" t="s">
        <v>74</v>
      </c>
      <c r="AX483" t="s">
        <v>74</v>
      </c>
      <c r="AY483" t="s">
        <v>74</v>
      </c>
      <c r="AZ483" t="s">
        <v>74</v>
      </c>
      <c r="BA483" t="s">
        <v>74</v>
      </c>
      <c r="BB483" t="s">
        <v>74</v>
      </c>
      <c r="BC483" t="s">
        <v>74</v>
      </c>
      <c r="BD483" t="s">
        <v>9051</v>
      </c>
      <c r="BE483" t="s">
        <v>9052</v>
      </c>
      <c r="BF483" t="str">
        <f>HYPERLINK("http://dx.doi.org/10.1029/2009GL040419","http://dx.doi.org/10.1029/2009GL040419")</f>
        <v>http://dx.doi.org/10.1029/2009GL040419</v>
      </c>
      <c r="BG483" t="s">
        <v>74</v>
      </c>
      <c r="BH483" t="s">
        <v>74</v>
      </c>
      <c r="BI483">
        <v>6</v>
      </c>
      <c r="BJ483" t="s">
        <v>464</v>
      </c>
      <c r="BK483" t="s">
        <v>98</v>
      </c>
      <c r="BL483" t="s">
        <v>465</v>
      </c>
      <c r="BM483" t="s">
        <v>9053</v>
      </c>
      <c r="BN483" t="s">
        <v>74</v>
      </c>
      <c r="BO483" t="s">
        <v>263</v>
      </c>
      <c r="BP483" t="s">
        <v>74</v>
      </c>
      <c r="BQ483" t="s">
        <v>74</v>
      </c>
      <c r="BR483" t="s">
        <v>101</v>
      </c>
      <c r="BS483" t="s">
        <v>9054</v>
      </c>
      <c r="BT483" t="str">
        <f>HYPERLINK("https%3A%2F%2Fwww.webofscience.com%2Fwos%2Fwoscc%2Ffull-record%2FWOS:000270234600009","View Full Record in Web of Science")</f>
        <v>View Full Record in Web of Science</v>
      </c>
    </row>
    <row r="484" spans="1:72" x14ac:dyDescent="0.15">
      <c r="A484" t="s">
        <v>72</v>
      </c>
      <c r="B484" t="s">
        <v>9055</v>
      </c>
      <c r="C484" t="s">
        <v>74</v>
      </c>
      <c r="D484" t="s">
        <v>74</v>
      </c>
      <c r="E484" t="s">
        <v>74</v>
      </c>
      <c r="F484" t="s">
        <v>9056</v>
      </c>
      <c r="G484" t="s">
        <v>74</v>
      </c>
      <c r="H484" t="s">
        <v>74</v>
      </c>
      <c r="I484" t="s">
        <v>9057</v>
      </c>
      <c r="J484" t="s">
        <v>2386</v>
      </c>
      <c r="K484" t="s">
        <v>74</v>
      </c>
      <c r="L484" t="s">
        <v>74</v>
      </c>
      <c r="M484" t="s">
        <v>78</v>
      </c>
      <c r="N484" t="s">
        <v>79</v>
      </c>
      <c r="O484" t="s">
        <v>74</v>
      </c>
      <c r="P484" t="s">
        <v>74</v>
      </c>
      <c r="Q484" t="s">
        <v>74</v>
      </c>
      <c r="R484" t="s">
        <v>74</v>
      </c>
      <c r="S484" t="s">
        <v>74</v>
      </c>
      <c r="T484" t="s">
        <v>74</v>
      </c>
      <c r="U484" t="s">
        <v>9058</v>
      </c>
      <c r="V484" t="s">
        <v>9059</v>
      </c>
      <c r="W484" t="s">
        <v>9060</v>
      </c>
      <c r="X484" t="s">
        <v>9061</v>
      </c>
      <c r="Y484" t="s">
        <v>9062</v>
      </c>
      <c r="Z484" t="s">
        <v>9063</v>
      </c>
      <c r="AA484" t="s">
        <v>74</v>
      </c>
      <c r="AB484" t="s">
        <v>9064</v>
      </c>
      <c r="AC484" t="s">
        <v>9065</v>
      </c>
      <c r="AD484" t="s">
        <v>9066</v>
      </c>
      <c r="AE484" t="s">
        <v>9067</v>
      </c>
      <c r="AF484" t="s">
        <v>74</v>
      </c>
      <c r="AG484">
        <v>57</v>
      </c>
      <c r="AH484">
        <v>83</v>
      </c>
      <c r="AI484">
        <v>87</v>
      </c>
      <c r="AJ484">
        <v>0</v>
      </c>
      <c r="AK484">
        <v>25</v>
      </c>
      <c r="AL484" t="s">
        <v>2397</v>
      </c>
      <c r="AM484" t="s">
        <v>2398</v>
      </c>
      <c r="AN484" t="s">
        <v>2399</v>
      </c>
      <c r="AO484" t="s">
        <v>2400</v>
      </c>
      <c r="AP484" t="s">
        <v>74</v>
      </c>
      <c r="AQ484" t="s">
        <v>74</v>
      </c>
      <c r="AR484" t="s">
        <v>2402</v>
      </c>
      <c r="AS484" t="s">
        <v>2403</v>
      </c>
      <c r="AT484" t="s">
        <v>9068</v>
      </c>
      <c r="AU484">
        <v>2009</v>
      </c>
      <c r="AV484">
        <v>22</v>
      </c>
      <c r="AW484">
        <v>18</v>
      </c>
      <c r="AX484" t="s">
        <v>74</v>
      </c>
      <c r="AY484" t="s">
        <v>74</v>
      </c>
      <c r="AZ484" t="s">
        <v>74</v>
      </c>
      <c r="BA484" t="s">
        <v>74</v>
      </c>
      <c r="BB484">
        <v>4759</v>
      </c>
      <c r="BC484">
        <v>4770</v>
      </c>
      <c r="BD484" t="s">
        <v>74</v>
      </c>
      <c r="BE484" t="s">
        <v>9069</v>
      </c>
      <c r="BF484" t="str">
        <f>HYPERLINK("http://dx.doi.org/10.1175/2009JCLI2640.1","http://dx.doi.org/10.1175/2009JCLI2640.1")</f>
        <v>http://dx.doi.org/10.1175/2009JCLI2640.1</v>
      </c>
      <c r="BG484" t="s">
        <v>74</v>
      </c>
      <c r="BH484" t="s">
        <v>74</v>
      </c>
      <c r="BI484">
        <v>12</v>
      </c>
      <c r="BJ484" t="s">
        <v>413</v>
      </c>
      <c r="BK484" t="s">
        <v>98</v>
      </c>
      <c r="BL484" t="s">
        <v>413</v>
      </c>
      <c r="BM484" t="s">
        <v>9070</v>
      </c>
      <c r="BN484" t="s">
        <v>74</v>
      </c>
      <c r="BO484" t="s">
        <v>263</v>
      </c>
      <c r="BP484" t="s">
        <v>74</v>
      </c>
      <c r="BQ484" t="s">
        <v>74</v>
      </c>
      <c r="BR484" t="s">
        <v>101</v>
      </c>
      <c r="BS484" t="s">
        <v>9071</v>
      </c>
      <c r="BT484" t="str">
        <f>HYPERLINK("https%3A%2F%2Fwww.webofscience.com%2Fwos%2Fwoscc%2Ffull-record%2FWOS:000270021000003","View Full Record in Web of Science")</f>
        <v>View Full Record in Web of Science</v>
      </c>
    </row>
    <row r="485" spans="1:72" x14ac:dyDescent="0.15">
      <c r="A485" t="s">
        <v>72</v>
      </c>
      <c r="B485" t="s">
        <v>9072</v>
      </c>
      <c r="C485" t="s">
        <v>74</v>
      </c>
      <c r="D485" t="s">
        <v>74</v>
      </c>
      <c r="E485" t="s">
        <v>74</v>
      </c>
      <c r="F485" t="s">
        <v>9073</v>
      </c>
      <c r="G485" t="s">
        <v>74</v>
      </c>
      <c r="H485" t="s">
        <v>74</v>
      </c>
      <c r="I485" t="s">
        <v>9074</v>
      </c>
      <c r="J485" t="s">
        <v>9075</v>
      </c>
      <c r="K485" t="s">
        <v>74</v>
      </c>
      <c r="L485" t="s">
        <v>74</v>
      </c>
      <c r="M485" t="s">
        <v>78</v>
      </c>
      <c r="N485" t="s">
        <v>79</v>
      </c>
      <c r="O485" t="s">
        <v>74</v>
      </c>
      <c r="P485" t="s">
        <v>74</v>
      </c>
      <c r="Q485" t="s">
        <v>74</v>
      </c>
      <c r="R485" t="s">
        <v>74</v>
      </c>
      <c r="S485" t="s">
        <v>74</v>
      </c>
      <c r="T485" t="s">
        <v>9076</v>
      </c>
      <c r="U485" t="s">
        <v>9077</v>
      </c>
      <c r="V485" t="s">
        <v>9078</v>
      </c>
      <c r="W485" t="s">
        <v>9079</v>
      </c>
      <c r="X485" t="s">
        <v>9080</v>
      </c>
      <c r="Y485" t="s">
        <v>9081</v>
      </c>
      <c r="Z485" t="s">
        <v>9082</v>
      </c>
      <c r="AA485" t="s">
        <v>9083</v>
      </c>
      <c r="AB485" t="s">
        <v>9084</v>
      </c>
      <c r="AC485" t="s">
        <v>9085</v>
      </c>
      <c r="AD485" t="s">
        <v>9086</v>
      </c>
      <c r="AE485" t="s">
        <v>9087</v>
      </c>
      <c r="AF485" t="s">
        <v>74</v>
      </c>
      <c r="AG485">
        <v>24</v>
      </c>
      <c r="AH485">
        <v>35</v>
      </c>
      <c r="AI485">
        <v>37</v>
      </c>
      <c r="AJ485">
        <v>0</v>
      </c>
      <c r="AK485">
        <v>2</v>
      </c>
      <c r="AL485" t="s">
        <v>2045</v>
      </c>
      <c r="AM485" t="s">
        <v>2046</v>
      </c>
      <c r="AN485" t="s">
        <v>2047</v>
      </c>
      <c r="AO485" t="s">
        <v>9088</v>
      </c>
      <c r="AP485" t="s">
        <v>74</v>
      </c>
      <c r="AQ485" t="s">
        <v>74</v>
      </c>
      <c r="AR485" t="s">
        <v>9089</v>
      </c>
      <c r="AS485" t="s">
        <v>9090</v>
      </c>
      <c r="AT485" t="s">
        <v>9068</v>
      </c>
      <c r="AU485">
        <v>2009</v>
      </c>
      <c r="AV485">
        <v>398</v>
      </c>
      <c r="AW485">
        <v>3</v>
      </c>
      <c r="AX485" t="s">
        <v>74</v>
      </c>
      <c r="AY485" t="s">
        <v>74</v>
      </c>
      <c r="AZ485" t="s">
        <v>74</v>
      </c>
      <c r="BA485" t="s">
        <v>74</v>
      </c>
      <c r="BB485">
        <v>1093</v>
      </c>
      <c r="BC485">
        <v>1104</v>
      </c>
      <c r="BD485" t="s">
        <v>74</v>
      </c>
      <c r="BE485" t="s">
        <v>9091</v>
      </c>
      <c r="BF485" t="str">
        <f>HYPERLINK("http://dx.doi.org/10.1111/j.1365-2966.2009.15151.x","http://dx.doi.org/10.1111/j.1365-2966.2009.15151.x")</f>
        <v>http://dx.doi.org/10.1111/j.1365-2966.2009.15151.x</v>
      </c>
      <c r="BG485" t="s">
        <v>74</v>
      </c>
      <c r="BH485" t="s">
        <v>74</v>
      </c>
      <c r="BI485">
        <v>12</v>
      </c>
      <c r="BJ485" t="s">
        <v>1003</v>
      </c>
      <c r="BK485" t="s">
        <v>98</v>
      </c>
      <c r="BL485" t="s">
        <v>1003</v>
      </c>
      <c r="BM485" t="s">
        <v>9092</v>
      </c>
      <c r="BN485" t="s">
        <v>74</v>
      </c>
      <c r="BO485" t="s">
        <v>627</v>
      </c>
      <c r="BP485" t="s">
        <v>74</v>
      </c>
      <c r="BQ485" t="s">
        <v>74</v>
      </c>
      <c r="BR485" t="s">
        <v>101</v>
      </c>
      <c r="BS485" t="s">
        <v>9093</v>
      </c>
      <c r="BT485" t="str">
        <f>HYPERLINK("https%3A%2F%2Fwww.webofscience.com%2Fwos%2Fwoscc%2Ffull-record%2FWOS:000269731500004","View Full Record in Web of Science")</f>
        <v>View Full Record in Web of Science</v>
      </c>
    </row>
    <row r="486" spans="1:72" x14ac:dyDescent="0.15">
      <c r="A486" t="s">
        <v>72</v>
      </c>
      <c r="B486" t="s">
        <v>9094</v>
      </c>
      <c r="C486" t="s">
        <v>74</v>
      </c>
      <c r="D486" t="s">
        <v>74</v>
      </c>
      <c r="E486" t="s">
        <v>74</v>
      </c>
      <c r="F486" t="s">
        <v>9095</v>
      </c>
      <c r="G486" t="s">
        <v>74</v>
      </c>
      <c r="H486" t="s">
        <v>74</v>
      </c>
      <c r="I486" t="s">
        <v>9096</v>
      </c>
      <c r="J486" t="s">
        <v>9097</v>
      </c>
      <c r="K486" t="s">
        <v>74</v>
      </c>
      <c r="L486" t="s">
        <v>74</v>
      </c>
      <c r="M486" t="s">
        <v>78</v>
      </c>
      <c r="N486" t="s">
        <v>1965</v>
      </c>
      <c r="O486" t="s">
        <v>9098</v>
      </c>
      <c r="P486" t="s">
        <v>9099</v>
      </c>
      <c r="Q486" t="s">
        <v>9100</v>
      </c>
      <c r="R486" t="s">
        <v>74</v>
      </c>
      <c r="S486" t="s">
        <v>74</v>
      </c>
      <c r="T486" t="s">
        <v>9101</v>
      </c>
      <c r="U486" t="s">
        <v>9102</v>
      </c>
      <c r="V486" t="s">
        <v>9103</v>
      </c>
      <c r="W486" t="s">
        <v>9104</v>
      </c>
      <c r="X486" t="s">
        <v>9105</v>
      </c>
      <c r="Y486" t="s">
        <v>9106</v>
      </c>
      <c r="Z486" t="s">
        <v>9107</v>
      </c>
      <c r="AA486" t="s">
        <v>4429</v>
      </c>
      <c r="AB486" t="s">
        <v>9108</v>
      </c>
      <c r="AC486" t="s">
        <v>74</v>
      </c>
      <c r="AD486" t="s">
        <v>74</v>
      </c>
      <c r="AE486" t="s">
        <v>74</v>
      </c>
      <c r="AF486" t="s">
        <v>74</v>
      </c>
      <c r="AG486">
        <v>39</v>
      </c>
      <c r="AH486">
        <v>38</v>
      </c>
      <c r="AI486">
        <v>38</v>
      </c>
      <c r="AJ486">
        <v>1</v>
      </c>
      <c r="AK486">
        <v>41</v>
      </c>
      <c r="AL486" t="s">
        <v>1211</v>
      </c>
      <c r="AM486" t="s">
        <v>433</v>
      </c>
      <c r="AN486" t="s">
        <v>1212</v>
      </c>
      <c r="AO486" t="s">
        <v>9109</v>
      </c>
      <c r="AP486" t="s">
        <v>9110</v>
      </c>
      <c r="AQ486" t="s">
        <v>74</v>
      </c>
      <c r="AR486" t="s">
        <v>9111</v>
      </c>
      <c r="AS486" t="s">
        <v>9112</v>
      </c>
      <c r="AT486" t="s">
        <v>9113</v>
      </c>
      <c r="AU486">
        <v>2009</v>
      </c>
      <c r="AV486">
        <v>84</v>
      </c>
      <c r="AW486">
        <v>3</v>
      </c>
      <c r="AX486" t="s">
        <v>74</v>
      </c>
      <c r="AY486" t="s">
        <v>74</v>
      </c>
      <c r="AZ486" t="s">
        <v>74</v>
      </c>
      <c r="BA486" t="s">
        <v>74</v>
      </c>
      <c r="BB486">
        <v>419</v>
      </c>
      <c r="BC486">
        <v>426</v>
      </c>
      <c r="BD486" t="s">
        <v>74</v>
      </c>
      <c r="BE486" t="s">
        <v>9114</v>
      </c>
      <c r="BF486" t="str">
        <f>HYPERLINK("http://dx.doi.org/10.1016/j.ecss.2009.07.015","http://dx.doi.org/10.1016/j.ecss.2009.07.015")</f>
        <v>http://dx.doi.org/10.1016/j.ecss.2009.07.015</v>
      </c>
      <c r="BG486" t="s">
        <v>74</v>
      </c>
      <c r="BH486" t="s">
        <v>74</v>
      </c>
      <c r="BI486">
        <v>8</v>
      </c>
      <c r="BJ486" t="s">
        <v>5741</v>
      </c>
      <c r="BK486" t="s">
        <v>1986</v>
      </c>
      <c r="BL486" t="s">
        <v>5741</v>
      </c>
      <c r="BM486" t="s">
        <v>9115</v>
      </c>
      <c r="BN486" t="s">
        <v>74</v>
      </c>
      <c r="BO486" t="s">
        <v>74</v>
      </c>
      <c r="BP486" t="s">
        <v>74</v>
      </c>
      <c r="BQ486" t="s">
        <v>74</v>
      </c>
      <c r="BR486" t="s">
        <v>101</v>
      </c>
      <c r="BS486" t="s">
        <v>9116</v>
      </c>
      <c r="BT486" t="str">
        <f>HYPERLINK("https%3A%2F%2Fwww.webofscience.com%2Fwos%2Fwoscc%2Ffull-record%2FWOS:000270122400017","View Full Record in Web of Science")</f>
        <v>View Full Record in Web of Science</v>
      </c>
    </row>
    <row r="487" spans="1:72" x14ac:dyDescent="0.15">
      <c r="A487" t="s">
        <v>72</v>
      </c>
      <c r="B487" t="s">
        <v>9117</v>
      </c>
      <c r="C487" t="s">
        <v>74</v>
      </c>
      <c r="D487" t="s">
        <v>74</v>
      </c>
      <c r="E487" t="s">
        <v>74</v>
      </c>
      <c r="F487" t="s">
        <v>9118</v>
      </c>
      <c r="G487" t="s">
        <v>74</v>
      </c>
      <c r="H487" t="s">
        <v>74</v>
      </c>
      <c r="I487" t="s">
        <v>9119</v>
      </c>
      <c r="J487" t="s">
        <v>789</v>
      </c>
      <c r="K487" t="s">
        <v>74</v>
      </c>
      <c r="L487" t="s">
        <v>74</v>
      </c>
      <c r="M487" t="s">
        <v>78</v>
      </c>
      <c r="N487" t="s">
        <v>79</v>
      </c>
      <c r="O487" t="s">
        <v>74</v>
      </c>
      <c r="P487" t="s">
        <v>74</v>
      </c>
      <c r="Q487" t="s">
        <v>74</v>
      </c>
      <c r="R487" t="s">
        <v>74</v>
      </c>
      <c r="S487" t="s">
        <v>74</v>
      </c>
      <c r="T487" t="s">
        <v>74</v>
      </c>
      <c r="U487" t="s">
        <v>9120</v>
      </c>
      <c r="V487" t="s">
        <v>9121</v>
      </c>
      <c r="W487" t="s">
        <v>9122</v>
      </c>
      <c r="X487" t="s">
        <v>9123</v>
      </c>
      <c r="Y487" t="s">
        <v>9124</v>
      </c>
      <c r="Z487" t="s">
        <v>9125</v>
      </c>
      <c r="AA487" t="s">
        <v>9126</v>
      </c>
      <c r="AB487" t="s">
        <v>9127</v>
      </c>
      <c r="AC487" t="s">
        <v>9128</v>
      </c>
      <c r="AD487" t="s">
        <v>9129</v>
      </c>
      <c r="AE487" t="s">
        <v>9130</v>
      </c>
      <c r="AF487" t="s">
        <v>74</v>
      </c>
      <c r="AG487">
        <v>57</v>
      </c>
      <c r="AH487">
        <v>12</v>
      </c>
      <c r="AI487">
        <v>12</v>
      </c>
      <c r="AJ487">
        <v>0</v>
      </c>
      <c r="AK487">
        <v>12</v>
      </c>
      <c r="AL487" t="s">
        <v>226</v>
      </c>
      <c r="AM487" t="s">
        <v>227</v>
      </c>
      <c r="AN487" t="s">
        <v>228</v>
      </c>
      <c r="AO487" t="s">
        <v>800</v>
      </c>
      <c r="AP487" t="s">
        <v>801</v>
      </c>
      <c r="AQ487" t="s">
        <v>74</v>
      </c>
      <c r="AR487" t="s">
        <v>802</v>
      </c>
      <c r="AS487" t="s">
        <v>803</v>
      </c>
      <c r="AT487" t="s">
        <v>9131</v>
      </c>
      <c r="AU487">
        <v>2009</v>
      </c>
      <c r="AV487">
        <v>114</v>
      </c>
      <c r="AW487" t="s">
        <v>74</v>
      </c>
      <c r="AX487" t="s">
        <v>74</v>
      </c>
      <c r="AY487" t="s">
        <v>74</v>
      </c>
      <c r="AZ487" t="s">
        <v>74</v>
      </c>
      <c r="BA487" t="s">
        <v>74</v>
      </c>
      <c r="BB487" t="s">
        <v>74</v>
      </c>
      <c r="BC487" t="s">
        <v>74</v>
      </c>
      <c r="BD487" t="s">
        <v>9132</v>
      </c>
      <c r="BE487" t="s">
        <v>9133</v>
      </c>
      <c r="BF487" t="str">
        <f>HYPERLINK("http://dx.doi.org/10.1029/2008JC005259","http://dx.doi.org/10.1029/2008JC005259")</f>
        <v>http://dx.doi.org/10.1029/2008JC005259</v>
      </c>
      <c r="BG487" t="s">
        <v>74</v>
      </c>
      <c r="BH487" t="s">
        <v>74</v>
      </c>
      <c r="BI487">
        <v>13</v>
      </c>
      <c r="BJ487" t="s">
        <v>806</v>
      </c>
      <c r="BK487" t="s">
        <v>98</v>
      </c>
      <c r="BL487" t="s">
        <v>806</v>
      </c>
      <c r="BM487" t="s">
        <v>9134</v>
      </c>
      <c r="BN487" t="s">
        <v>74</v>
      </c>
      <c r="BO487" t="s">
        <v>263</v>
      </c>
      <c r="BP487" t="s">
        <v>74</v>
      </c>
      <c r="BQ487" t="s">
        <v>74</v>
      </c>
      <c r="BR487" t="s">
        <v>101</v>
      </c>
      <c r="BS487" t="s">
        <v>9135</v>
      </c>
      <c r="BT487" t="str">
        <f>HYPERLINK("https%3A%2F%2Fwww.webofscience.com%2Fwos%2Fwoscc%2Ffull-record%2FWOS:000270057300002","View Full Record in Web of Science")</f>
        <v>View Full Record in Web of Science</v>
      </c>
    </row>
    <row r="488" spans="1:72" x14ac:dyDescent="0.15">
      <c r="A488" t="s">
        <v>72</v>
      </c>
      <c r="B488" t="s">
        <v>9136</v>
      </c>
      <c r="C488" t="s">
        <v>74</v>
      </c>
      <c r="D488" t="s">
        <v>74</v>
      </c>
      <c r="E488" t="s">
        <v>74</v>
      </c>
      <c r="F488" t="s">
        <v>9137</v>
      </c>
      <c r="G488" t="s">
        <v>74</v>
      </c>
      <c r="H488" t="s">
        <v>74</v>
      </c>
      <c r="I488" t="s">
        <v>9138</v>
      </c>
      <c r="J488" t="s">
        <v>721</v>
      </c>
      <c r="K488" t="s">
        <v>74</v>
      </c>
      <c r="L488" t="s">
        <v>74</v>
      </c>
      <c r="M488" t="s">
        <v>78</v>
      </c>
      <c r="N488" t="s">
        <v>79</v>
      </c>
      <c r="O488" t="s">
        <v>74</v>
      </c>
      <c r="P488" t="s">
        <v>74</v>
      </c>
      <c r="Q488" t="s">
        <v>74</v>
      </c>
      <c r="R488" t="s">
        <v>74</v>
      </c>
      <c r="S488" t="s">
        <v>74</v>
      </c>
      <c r="T488" t="s">
        <v>74</v>
      </c>
      <c r="U488" t="s">
        <v>9139</v>
      </c>
      <c r="V488" t="s">
        <v>9140</v>
      </c>
      <c r="W488" t="s">
        <v>9141</v>
      </c>
      <c r="X488" t="s">
        <v>9142</v>
      </c>
      <c r="Y488" t="s">
        <v>9143</v>
      </c>
      <c r="Z488" t="s">
        <v>9144</v>
      </c>
      <c r="AA488" t="s">
        <v>9145</v>
      </c>
      <c r="AB488" t="s">
        <v>9146</v>
      </c>
      <c r="AC488" t="s">
        <v>74</v>
      </c>
      <c r="AD488" t="s">
        <v>74</v>
      </c>
      <c r="AE488" t="s">
        <v>74</v>
      </c>
      <c r="AF488" t="s">
        <v>74</v>
      </c>
      <c r="AG488">
        <v>18</v>
      </c>
      <c r="AH488">
        <v>51</v>
      </c>
      <c r="AI488">
        <v>54</v>
      </c>
      <c r="AJ488">
        <v>0</v>
      </c>
      <c r="AK488">
        <v>16</v>
      </c>
      <c r="AL488" t="s">
        <v>226</v>
      </c>
      <c r="AM488" t="s">
        <v>227</v>
      </c>
      <c r="AN488" t="s">
        <v>228</v>
      </c>
      <c r="AO488" t="s">
        <v>731</v>
      </c>
      <c r="AP488" t="s">
        <v>74</v>
      </c>
      <c r="AQ488" t="s">
        <v>74</v>
      </c>
      <c r="AR488" t="s">
        <v>733</v>
      </c>
      <c r="AS488" t="s">
        <v>734</v>
      </c>
      <c r="AT488" t="s">
        <v>9147</v>
      </c>
      <c r="AU488">
        <v>2009</v>
      </c>
      <c r="AV488">
        <v>36</v>
      </c>
      <c r="AW488" t="s">
        <v>74</v>
      </c>
      <c r="AX488" t="s">
        <v>74</v>
      </c>
      <c r="AY488" t="s">
        <v>74</v>
      </c>
      <c r="AZ488" t="s">
        <v>74</v>
      </c>
      <c r="BA488" t="s">
        <v>74</v>
      </c>
      <c r="BB488" t="s">
        <v>74</v>
      </c>
      <c r="BC488" t="s">
        <v>74</v>
      </c>
      <c r="BD488" t="s">
        <v>9148</v>
      </c>
      <c r="BE488" t="s">
        <v>9149</v>
      </c>
      <c r="BF488" t="str">
        <f>HYPERLINK("http://dx.doi.org/10.1029/2009GL039617","http://dx.doi.org/10.1029/2009GL039617")</f>
        <v>http://dx.doi.org/10.1029/2009GL039617</v>
      </c>
      <c r="BG488" t="s">
        <v>74</v>
      </c>
      <c r="BH488" t="s">
        <v>74</v>
      </c>
      <c r="BI488">
        <v>5</v>
      </c>
      <c r="BJ488" t="s">
        <v>464</v>
      </c>
      <c r="BK488" t="s">
        <v>98</v>
      </c>
      <c r="BL488" t="s">
        <v>465</v>
      </c>
      <c r="BM488" t="s">
        <v>9150</v>
      </c>
      <c r="BN488" t="s">
        <v>74</v>
      </c>
      <c r="BO488" t="s">
        <v>491</v>
      </c>
      <c r="BP488" t="s">
        <v>74</v>
      </c>
      <c r="BQ488" t="s">
        <v>74</v>
      </c>
      <c r="BR488" t="s">
        <v>101</v>
      </c>
      <c r="BS488" t="s">
        <v>9151</v>
      </c>
      <c r="BT488" t="str">
        <f>HYPERLINK("https%3A%2F%2Fwww.webofscience.com%2Fwos%2Fwoscc%2Ffull-record%2FWOS:000270054800003","View Full Record in Web of Science")</f>
        <v>View Full Record in Web of Science</v>
      </c>
    </row>
    <row r="489" spans="1:72" x14ac:dyDescent="0.15">
      <c r="A489" t="s">
        <v>72</v>
      </c>
      <c r="B489" t="s">
        <v>9152</v>
      </c>
      <c r="C489" t="s">
        <v>74</v>
      </c>
      <c r="D489" t="s">
        <v>74</v>
      </c>
      <c r="E489" t="s">
        <v>74</v>
      </c>
      <c r="F489" t="s">
        <v>9153</v>
      </c>
      <c r="G489" t="s">
        <v>74</v>
      </c>
      <c r="H489" t="s">
        <v>74</v>
      </c>
      <c r="I489" t="s">
        <v>9154</v>
      </c>
      <c r="J489" t="s">
        <v>395</v>
      </c>
      <c r="K489" t="s">
        <v>74</v>
      </c>
      <c r="L489" t="s">
        <v>74</v>
      </c>
      <c r="M489" t="s">
        <v>78</v>
      </c>
      <c r="N489" t="s">
        <v>79</v>
      </c>
      <c r="O489" t="s">
        <v>74</v>
      </c>
      <c r="P489" t="s">
        <v>74</v>
      </c>
      <c r="Q489" t="s">
        <v>74</v>
      </c>
      <c r="R489" t="s">
        <v>74</v>
      </c>
      <c r="S489" t="s">
        <v>74</v>
      </c>
      <c r="T489" t="s">
        <v>74</v>
      </c>
      <c r="U489" t="s">
        <v>9155</v>
      </c>
      <c r="V489" t="s">
        <v>9156</v>
      </c>
      <c r="W489" t="s">
        <v>9157</v>
      </c>
      <c r="X489" t="s">
        <v>9158</v>
      </c>
      <c r="Y489" t="s">
        <v>9159</v>
      </c>
      <c r="Z489" t="s">
        <v>74</v>
      </c>
      <c r="AA489" t="s">
        <v>9160</v>
      </c>
      <c r="AB489" t="s">
        <v>9161</v>
      </c>
      <c r="AC489" t="s">
        <v>9162</v>
      </c>
      <c r="AD489" t="s">
        <v>730</v>
      </c>
      <c r="AE489" t="s">
        <v>74</v>
      </c>
      <c r="AF489" t="s">
        <v>74</v>
      </c>
      <c r="AG489">
        <v>56</v>
      </c>
      <c r="AH489">
        <v>60</v>
      </c>
      <c r="AI489">
        <v>62</v>
      </c>
      <c r="AJ489">
        <v>1</v>
      </c>
      <c r="AK489">
        <v>32</v>
      </c>
      <c r="AL489" t="s">
        <v>226</v>
      </c>
      <c r="AM489" t="s">
        <v>227</v>
      </c>
      <c r="AN489" t="s">
        <v>228</v>
      </c>
      <c r="AO489" t="s">
        <v>407</v>
      </c>
      <c r="AP489" t="s">
        <v>74</v>
      </c>
      <c r="AQ489" t="s">
        <v>74</v>
      </c>
      <c r="AR489" t="s">
        <v>409</v>
      </c>
      <c r="AS489" t="s">
        <v>410</v>
      </c>
      <c r="AT489" t="s">
        <v>9147</v>
      </c>
      <c r="AU489">
        <v>2009</v>
      </c>
      <c r="AV489">
        <v>114</v>
      </c>
      <c r="AW489" t="s">
        <v>74</v>
      </c>
      <c r="AX489" t="s">
        <v>74</v>
      </c>
      <c r="AY489" t="s">
        <v>74</v>
      </c>
      <c r="AZ489" t="s">
        <v>74</v>
      </c>
      <c r="BA489" t="s">
        <v>74</v>
      </c>
      <c r="BB489" t="s">
        <v>74</v>
      </c>
      <c r="BC489" t="s">
        <v>74</v>
      </c>
      <c r="BD489" t="s">
        <v>9163</v>
      </c>
      <c r="BE489" t="s">
        <v>9164</v>
      </c>
      <c r="BF489" t="str">
        <f>HYPERLINK("http://dx.doi.org/10.1029/2008JD011642","http://dx.doi.org/10.1029/2008JD011642")</f>
        <v>http://dx.doi.org/10.1029/2008JD011642</v>
      </c>
      <c r="BG489" t="s">
        <v>74</v>
      </c>
      <c r="BH489" t="s">
        <v>74</v>
      </c>
      <c r="BI489">
        <v>25</v>
      </c>
      <c r="BJ489" t="s">
        <v>413</v>
      </c>
      <c r="BK489" t="s">
        <v>98</v>
      </c>
      <c r="BL489" t="s">
        <v>413</v>
      </c>
      <c r="BM489" t="s">
        <v>9165</v>
      </c>
      <c r="BN489" t="s">
        <v>74</v>
      </c>
      <c r="BO489" t="s">
        <v>577</v>
      </c>
      <c r="BP489" t="s">
        <v>74</v>
      </c>
      <c r="BQ489" t="s">
        <v>74</v>
      </c>
      <c r="BR489" t="s">
        <v>101</v>
      </c>
      <c r="BS489" t="s">
        <v>9166</v>
      </c>
      <c r="BT489" t="str">
        <f>HYPERLINK("https%3A%2F%2Fwww.webofscience.com%2Fwos%2Fwoscc%2Ffull-record%2FWOS:000270056200001","View Full Record in Web of Science")</f>
        <v>View Full Record in Web of Science</v>
      </c>
    </row>
    <row r="490" spans="1:72" x14ac:dyDescent="0.15">
      <c r="A490" t="s">
        <v>72</v>
      </c>
      <c r="B490" t="s">
        <v>9167</v>
      </c>
      <c r="C490" t="s">
        <v>74</v>
      </c>
      <c r="D490" t="s">
        <v>74</v>
      </c>
      <c r="E490" t="s">
        <v>74</v>
      </c>
      <c r="F490" t="s">
        <v>9168</v>
      </c>
      <c r="G490" t="s">
        <v>74</v>
      </c>
      <c r="H490" t="s">
        <v>74</v>
      </c>
      <c r="I490" t="s">
        <v>9169</v>
      </c>
      <c r="J490" t="s">
        <v>522</v>
      </c>
      <c r="K490" t="s">
        <v>74</v>
      </c>
      <c r="L490" t="s">
        <v>74</v>
      </c>
      <c r="M490" t="s">
        <v>78</v>
      </c>
      <c r="N490" t="s">
        <v>79</v>
      </c>
      <c r="O490" t="s">
        <v>74</v>
      </c>
      <c r="P490" t="s">
        <v>74</v>
      </c>
      <c r="Q490" t="s">
        <v>74</v>
      </c>
      <c r="R490" t="s">
        <v>74</v>
      </c>
      <c r="S490" t="s">
        <v>74</v>
      </c>
      <c r="T490" t="s">
        <v>74</v>
      </c>
      <c r="U490" t="s">
        <v>9170</v>
      </c>
      <c r="V490" t="s">
        <v>9171</v>
      </c>
      <c r="W490" t="s">
        <v>9172</v>
      </c>
      <c r="X490" t="s">
        <v>9173</v>
      </c>
      <c r="Y490" t="s">
        <v>9174</v>
      </c>
      <c r="Z490" t="s">
        <v>9175</v>
      </c>
      <c r="AA490" t="s">
        <v>9176</v>
      </c>
      <c r="AB490" t="s">
        <v>9177</v>
      </c>
      <c r="AC490" t="s">
        <v>9178</v>
      </c>
      <c r="AD490" t="s">
        <v>9179</v>
      </c>
      <c r="AE490" t="s">
        <v>9180</v>
      </c>
      <c r="AF490" t="s">
        <v>74</v>
      </c>
      <c r="AG490">
        <v>30</v>
      </c>
      <c r="AH490">
        <v>334</v>
      </c>
      <c r="AI490">
        <v>372</v>
      </c>
      <c r="AJ490">
        <v>3</v>
      </c>
      <c r="AK490">
        <v>174</v>
      </c>
      <c r="AL490" t="s">
        <v>9181</v>
      </c>
      <c r="AM490" t="s">
        <v>173</v>
      </c>
      <c r="AN490" t="s">
        <v>531</v>
      </c>
      <c r="AO490" t="s">
        <v>532</v>
      </c>
      <c r="AP490" t="s">
        <v>533</v>
      </c>
      <c r="AQ490" t="s">
        <v>74</v>
      </c>
      <c r="AR490" t="s">
        <v>522</v>
      </c>
      <c r="AS490" t="s">
        <v>534</v>
      </c>
      <c r="AT490" t="s">
        <v>9147</v>
      </c>
      <c r="AU490">
        <v>2009</v>
      </c>
      <c r="AV490">
        <v>461</v>
      </c>
      <c r="AW490">
        <v>7262</v>
      </c>
      <c r="AX490" t="s">
        <v>74</v>
      </c>
      <c r="AY490" t="s">
        <v>74</v>
      </c>
      <c r="AZ490" t="s">
        <v>74</v>
      </c>
      <c r="BA490" t="s">
        <v>74</v>
      </c>
      <c r="BB490">
        <v>385</v>
      </c>
      <c r="BC490">
        <v>388</v>
      </c>
      <c r="BD490" t="s">
        <v>74</v>
      </c>
      <c r="BE490" t="s">
        <v>9182</v>
      </c>
      <c r="BF490" t="str">
        <f>HYPERLINK("http://dx.doi.org/10.1038/nature08355","http://dx.doi.org/10.1038/nature08355")</f>
        <v>http://dx.doi.org/10.1038/nature08355</v>
      </c>
      <c r="BG490" t="s">
        <v>74</v>
      </c>
      <c r="BH490" t="s">
        <v>74</v>
      </c>
      <c r="BI490">
        <v>4</v>
      </c>
      <c r="BJ490" t="s">
        <v>388</v>
      </c>
      <c r="BK490" t="s">
        <v>98</v>
      </c>
      <c r="BL490" t="s">
        <v>389</v>
      </c>
      <c r="BM490" t="s">
        <v>9183</v>
      </c>
      <c r="BN490">
        <v>19759618</v>
      </c>
      <c r="BO490" t="s">
        <v>74</v>
      </c>
      <c r="BP490" t="s">
        <v>74</v>
      </c>
      <c r="BQ490" t="s">
        <v>74</v>
      </c>
      <c r="BR490" t="s">
        <v>101</v>
      </c>
      <c r="BS490" t="s">
        <v>9184</v>
      </c>
      <c r="BT490" t="str">
        <f>HYPERLINK("https%3A%2F%2Fwww.webofscience.com%2Fwos%2Fwoscc%2Ffull-record%2FWOS:000269828100037","View Full Record in Web of Science")</f>
        <v>View Full Record in Web of Science</v>
      </c>
    </row>
    <row r="491" spans="1:72" x14ac:dyDescent="0.15">
      <c r="A491" t="s">
        <v>72</v>
      </c>
      <c r="B491" t="s">
        <v>9185</v>
      </c>
      <c r="C491" t="s">
        <v>74</v>
      </c>
      <c r="D491" t="s">
        <v>74</v>
      </c>
      <c r="E491" t="s">
        <v>74</v>
      </c>
      <c r="F491" t="s">
        <v>9186</v>
      </c>
      <c r="G491" t="s">
        <v>74</v>
      </c>
      <c r="H491" t="s">
        <v>74</v>
      </c>
      <c r="I491" t="s">
        <v>9187</v>
      </c>
      <c r="J491" t="s">
        <v>721</v>
      </c>
      <c r="K491" t="s">
        <v>74</v>
      </c>
      <c r="L491" t="s">
        <v>74</v>
      </c>
      <c r="M491" t="s">
        <v>78</v>
      </c>
      <c r="N491" t="s">
        <v>79</v>
      </c>
      <c r="O491" t="s">
        <v>74</v>
      </c>
      <c r="P491" t="s">
        <v>74</v>
      </c>
      <c r="Q491" t="s">
        <v>74</v>
      </c>
      <c r="R491" t="s">
        <v>74</v>
      </c>
      <c r="S491" t="s">
        <v>74</v>
      </c>
      <c r="T491" t="s">
        <v>74</v>
      </c>
      <c r="U491" t="s">
        <v>9188</v>
      </c>
      <c r="V491" t="s">
        <v>9189</v>
      </c>
      <c r="W491" t="s">
        <v>9190</v>
      </c>
      <c r="X491" t="s">
        <v>725</v>
      </c>
      <c r="Y491" t="s">
        <v>9191</v>
      </c>
      <c r="Z491" t="s">
        <v>3953</v>
      </c>
      <c r="AA491" t="s">
        <v>9192</v>
      </c>
      <c r="AB491" t="s">
        <v>9193</v>
      </c>
      <c r="AC491" t="s">
        <v>9194</v>
      </c>
      <c r="AD491" t="s">
        <v>730</v>
      </c>
      <c r="AE491" t="s">
        <v>74</v>
      </c>
      <c r="AF491" t="s">
        <v>74</v>
      </c>
      <c r="AG491">
        <v>20</v>
      </c>
      <c r="AH491">
        <v>28</v>
      </c>
      <c r="AI491">
        <v>29</v>
      </c>
      <c r="AJ491">
        <v>1</v>
      </c>
      <c r="AK491">
        <v>14</v>
      </c>
      <c r="AL491" t="s">
        <v>226</v>
      </c>
      <c r="AM491" t="s">
        <v>227</v>
      </c>
      <c r="AN491" t="s">
        <v>228</v>
      </c>
      <c r="AO491" t="s">
        <v>731</v>
      </c>
      <c r="AP491" t="s">
        <v>732</v>
      </c>
      <c r="AQ491" t="s">
        <v>74</v>
      </c>
      <c r="AR491" t="s">
        <v>733</v>
      </c>
      <c r="AS491" t="s">
        <v>734</v>
      </c>
      <c r="AT491" t="s">
        <v>9195</v>
      </c>
      <c r="AU491">
        <v>2009</v>
      </c>
      <c r="AV491">
        <v>36</v>
      </c>
      <c r="AW491" t="s">
        <v>74</v>
      </c>
      <c r="AX491" t="s">
        <v>74</v>
      </c>
      <c r="AY491" t="s">
        <v>74</v>
      </c>
      <c r="AZ491" t="s">
        <v>74</v>
      </c>
      <c r="BA491" t="s">
        <v>74</v>
      </c>
      <c r="BB491" t="s">
        <v>74</v>
      </c>
      <c r="BC491" t="s">
        <v>74</v>
      </c>
      <c r="BD491" t="s">
        <v>9196</v>
      </c>
      <c r="BE491" t="s">
        <v>9197</v>
      </c>
      <c r="BF491" t="str">
        <f>HYPERLINK("http://dx.doi.org/10.1029/2009GL038982","http://dx.doi.org/10.1029/2009GL038982")</f>
        <v>http://dx.doi.org/10.1029/2009GL038982</v>
      </c>
      <c r="BG491" t="s">
        <v>74</v>
      </c>
      <c r="BH491" t="s">
        <v>74</v>
      </c>
      <c r="BI491">
        <v>5</v>
      </c>
      <c r="BJ491" t="s">
        <v>464</v>
      </c>
      <c r="BK491" t="s">
        <v>98</v>
      </c>
      <c r="BL491" t="s">
        <v>465</v>
      </c>
      <c r="BM491" t="s">
        <v>9198</v>
      </c>
      <c r="BN491" t="s">
        <v>74</v>
      </c>
      <c r="BO491" t="s">
        <v>1119</v>
      </c>
      <c r="BP491" t="s">
        <v>74</v>
      </c>
      <c r="BQ491" t="s">
        <v>74</v>
      </c>
      <c r="BR491" t="s">
        <v>101</v>
      </c>
      <c r="BS491" t="s">
        <v>9199</v>
      </c>
      <c r="BT491" t="str">
        <f>HYPERLINK("https%3A%2F%2Fwww.webofscience.com%2Fwos%2Fwoscc%2Ffull-record%2FWOS:000270054700001","View Full Record in Web of Science")</f>
        <v>View Full Record in Web of Science</v>
      </c>
    </row>
    <row r="492" spans="1:72" x14ac:dyDescent="0.15">
      <c r="A492" t="s">
        <v>72</v>
      </c>
      <c r="B492" t="s">
        <v>9200</v>
      </c>
      <c r="C492" t="s">
        <v>74</v>
      </c>
      <c r="D492" t="s">
        <v>74</v>
      </c>
      <c r="E492" t="s">
        <v>74</v>
      </c>
      <c r="F492" t="s">
        <v>9201</v>
      </c>
      <c r="G492" t="s">
        <v>74</v>
      </c>
      <c r="H492" t="s">
        <v>74</v>
      </c>
      <c r="I492" t="s">
        <v>9202</v>
      </c>
      <c r="J492" t="s">
        <v>4020</v>
      </c>
      <c r="K492" t="s">
        <v>74</v>
      </c>
      <c r="L492" t="s">
        <v>74</v>
      </c>
      <c r="M492" t="s">
        <v>78</v>
      </c>
      <c r="N492" t="s">
        <v>79</v>
      </c>
      <c r="O492" t="s">
        <v>74</v>
      </c>
      <c r="P492" t="s">
        <v>74</v>
      </c>
      <c r="Q492" t="s">
        <v>74</v>
      </c>
      <c r="R492" t="s">
        <v>74</v>
      </c>
      <c r="S492" t="s">
        <v>74</v>
      </c>
      <c r="T492" t="s">
        <v>9203</v>
      </c>
      <c r="U492" t="s">
        <v>9204</v>
      </c>
      <c r="V492" t="s">
        <v>9205</v>
      </c>
      <c r="W492" t="s">
        <v>9206</v>
      </c>
      <c r="X492" t="s">
        <v>9207</v>
      </c>
      <c r="Y492" t="s">
        <v>9208</v>
      </c>
      <c r="Z492" t="s">
        <v>9209</v>
      </c>
      <c r="AA492" t="s">
        <v>9210</v>
      </c>
      <c r="AB492" t="s">
        <v>9211</v>
      </c>
      <c r="AC492" t="s">
        <v>9212</v>
      </c>
      <c r="AD492" t="s">
        <v>9213</v>
      </c>
      <c r="AE492" t="s">
        <v>9214</v>
      </c>
      <c r="AF492" t="s">
        <v>74</v>
      </c>
      <c r="AG492">
        <v>31</v>
      </c>
      <c r="AH492">
        <v>15</v>
      </c>
      <c r="AI492">
        <v>17</v>
      </c>
      <c r="AJ492">
        <v>0</v>
      </c>
      <c r="AK492">
        <v>20</v>
      </c>
      <c r="AL492" t="s">
        <v>305</v>
      </c>
      <c r="AM492" t="s">
        <v>281</v>
      </c>
      <c r="AN492" t="s">
        <v>306</v>
      </c>
      <c r="AO492" t="s">
        <v>4033</v>
      </c>
      <c r="AP492" t="s">
        <v>4034</v>
      </c>
      <c r="AQ492" t="s">
        <v>74</v>
      </c>
      <c r="AR492" t="s">
        <v>4035</v>
      </c>
      <c r="AS492" t="s">
        <v>4036</v>
      </c>
      <c r="AT492" t="s">
        <v>9215</v>
      </c>
      <c r="AU492">
        <v>2009</v>
      </c>
      <c r="AV492">
        <v>286</v>
      </c>
      <c r="AW492" t="s">
        <v>288</v>
      </c>
      <c r="AX492" t="s">
        <v>74</v>
      </c>
      <c r="AY492" t="s">
        <v>74</v>
      </c>
      <c r="AZ492" t="s">
        <v>74</v>
      </c>
      <c r="BA492" t="s">
        <v>74</v>
      </c>
      <c r="BB492">
        <v>565</v>
      </c>
      <c r="BC492">
        <v>569</v>
      </c>
      <c r="BD492" t="s">
        <v>74</v>
      </c>
      <c r="BE492" t="s">
        <v>9216</v>
      </c>
      <c r="BF492" t="str">
        <f>HYPERLINK("http://dx.doi.org/10.1016/j.epsl.2009.07.024","http://dx.doi.org/10.1016/j.epsl.2009.07.024")</f>
        <v>http://dx.doi.org/10.1016/j.epsl.2009.07.024</v>
      </c>
      <c r="BG492" t="s">
        <v>74</v>
      </c>
      <c r="BH492" t="s">
        <v>74</v>
      </c>
      <c r="BI492">
        <v>5</v>
      </c>
      <c r="BJ492" t="s">
        <v>261</v>
      </c>
      <c r="BK492" t="s">
        <v>98</v>
      </c>
      <c r="BL492" t="s">
        <v>261</v>
      </c>
      <c r="BM492" t="s">
        <v>9217</v>
      </c>
      <c r="BN492" t="s">
        <v>74</v>
      </c>
      <c r="BO492" t="s">
        <v>1119</v>
      </c>
      <c r="BP492" t="s">
        <v>74</v>
      </c>
      <c r="BQ492" t="s">
        <v>74</v>
      </c>
      <c r="BR492" t="s">
        <v>101</v>
      </c>
      <c r="BS492" t="s">
        <v>9218</v>
      </c>
      <c r="BT492" t="str">
        <f>HYPERLINK("https%3A%2F%2Fwww.webofscience.com%2Fwos%2Fwoscc%2Ffull-record%2FWOS:000271358300022","View Full Record in Web of Science")</f>
        <v>View Full Record in Web of Science</v>
      </c>
    </row>
    <row r="493" spans="1:72" x14ac:dyDescent="0.15">
      <c r="A493" t="s">
        <v>72</v>
      </c>
      <c r="B493" t="s">
        <v>9219</v>
      </c>
      <c r="C493" t="s">
        <v>74</v>
      </c>
      <c r="D493" t="s">
        <v>74</v>
      </c>
      <c r="E493" t="s">
        <v>74</v>
      </c>
      <c r="F493" t="s">
        <v>9220</v>
      </c>
      <c r="G493" t="s">
        <v>74</v>
      </c>
      <c r="H493" t="s">
        <v>74</v>
      </c>
      <c r="I493" t="s">
        <v>9221</v>
      </c>
      <c r="J493" t="s">
        <v>5221</v>
      </c>
      <c r="K493" t="s">
        <v>74</v>
      </c>
      <c r="L493" t="s">
        <v>74</v>
      </c>
      <c r="M493" t="s">
        <v>78</v>
      </c>
      <c r="N493" t="s">
        <v>79</v>
      </c>
      <c r="O493" t="s">
        <v>74</v>
      </c>
      <c r="P493" t="s">
        <v>74</v>
      </c>
      <c r="Q493" t="s">
        <v>74</v>
      </c>
      <c r="R493" t="s">
        <v>74</v>
      </c>
      <c r="S493" t="s">
        <v>74</v>
      </c>
      <c r="T493" t="s">
        <v>9222</v>
      </c>
      <c r="U493" t="s">
        <v>9223</v>
      </c>
      <c r="V493" t="s">
        <v>9224</v>
      </c>
      <c r="W493" t="s">
        <v>9225</v>
      </c>
      <c r="X493" t="s">
        <v>9226</v>
      </c>
      <c r="Y493" t="s">
        <v>9227</v>
      </c>
      <c r="Z493" t="s">
        <v>9228</v>
      </c>
      <c r="AA493" t="s">
        <v>9229</v>
      </c>
      <c r="AB493" t="s">
        <v>9230</v>
      </c>
      <c r="AC493" t="s">
        <v>9231</v>
      </c>
      <c r="AD493" t="s">
        <v>9232</v>
      </c>
      <c r="AE493" t="s">
        <v>9233</v>
      </c>
      <c r="AF493" t="s">
        <v>74</v>
      </c>
      <c r="AG493">
        <v>22</v>
      </c>
      <c r="AH493">
        <v>51</v>
      </c>
      <c r="AI493">
        <v>55</v>
      </c>
      <c r="AJ493">
        <v>2</v>
      </c>
      <c r="AK493">
        <v>23</v>
      </c>
      <c r="AL493" t="s">
        <v>305</v>
      </c>
      <c r="AM493" t="s">
        <v>281</v>
      </c>
      <c r="AN493" t="s">
        <v>306</v>
      </c>
      <c r="AO493" t="s">
        <v>5232</v>
      </c>
      <c r="AP493" t="s">
        <v>5233</v>
      </c>
      <c r="AQ493" t="s">
        <v>74</v>
      </c>
      <c r="AR493" t="s">
        <v>5221</v>
      </c>
      <c r="AS493" t="s">
        <v>5234</v>
      </c>
      <c r="AT493" t="s">
        <v>9215</v>
      </c>
      <c r="AU493">
        <v>2009</v>
      </c>
      <c r="AV493">
        <v>110</v>
      </c>
      <c r="AW493" t="s">
        <v>288</v>
      </c>
      <c r="AX493" t="s">
        <v>74</v>
      </c>
      <c r="AY493" t="s">
        <v>74</v>
      </c>
      <c r="AZ493" t="s">
        <v>74</v>
      </c>
      <c r="BA493" t="s">
        <v>74</v>
      </c>
      <c r="BB493">
        <v>182</v>
      </c>
      <c r="BC493">
        <v>187</v>
      </c>
      <c r="BD493" t="s">
        <v>74</v>
      </c>
      <c r="BE493" t="s">
        <v>9234</v>
      </c>
      <c r="BF493" t="str">
        <f>HYPERLINK("http://dx.doi.org/10.1016/j.geomorph.2009.04.005","http://dx.doi.org/10.1016/j.geomorph.2009.04.005")</f>
        <v>http://dx.doi.org/10.1016/j.geomorph.2009.04.005</v>
      </c>
      <c r="BG493" t="s">
        <v>74</v>
      </c>
      <c r="BH493" t="s">
        <v>74</v>
      </c>
      <c r="BI493">
        <v>6</v>
      </c>
      <c r="BJ493" t="s">
        <v>2121</v>
      </c>
      <c r="BK493" t="s">
        <v>98</v>
      </c>
      <c r="BL493" t="s">
        <v>2122</v>
      </c>
      <c r="BM493" t="s">
        <v>9235</v>
      </c>
      <c r="BN493" t="s">
        <v>74</v>
      </c>
      <c r="BO493" t="s">
        <v>74</v>
      </c>
      <c r="BP493" t="s">
        <v>74</v>
      </c>
      <c r="BQ493" t="s">
        <v>74</v>
      </c>
      <c r="BR493" t="s">
        <v>101</v>
      </c>
      <c r="BS493" t="s">
        <v>9236</v>
      </c>
      <c r="BT493" t="str">
        <f>HYPERLINK("https%3A%2F%2Fwww.webofscience.com%2Fwos%2Fwoscc%2Ffull-record%2FWOS:000269553300013","View Full Record in Web of Science")</f>
        <v>View Full Record in Web of Science</v>
      </c>
    </row>
    <row r="494" spans="1:72" x14ac:dyDescent="0.15">
      <c r="A494" t="s">
        <v>72</v>
      </c>
      <c r="B494" t="s">
        <v>9237</v>
      </c>
      <c r="C494" t="s">
        <v>74</v>
      </c>
      <c r="D494" t="s">
        <v>74</v>
      </c>
      <c r="E494" t="s">
        <v>74</v>
      </c>
      <c r="F494" t="s">
        <v>9238</v>
      </c>
      <c r="G494" t="s">
        <v>74</v>
      </c>
      <c r="H494" t="s">
        <v>74</v>
      </c>
      <c r="I494" t="s">
        <v>9239</v>
      </c>
      <c r="J494" t="s">
        <v>268</v>
      </c>
      <c r="K494" t="s">
        <v>74</v>
      </c>
      <c r="L494" t="s">
        <v>74</v>
      </c>
      <c r="M494" t="s">
        <v>78</v>
      </c>
      <c r="N494" t="s">
        <v>79</v>
      </c>
      <c r="O494" t="s">
        <v>74</v>
      </c>
      <c r="P494" t="s">
        <v>74</v>
      </c>
      <c r="Q494" t="s">
        <v>74</v>
      </c>
      <c r="R494" t="s">
        <v>74</v>
      </c>
      <c r="S494" t="s">
        <v>74</v>
      </c>
      <c r="T494" t="s">
        <v>9240</v>
      </c>
      <c r="U494" t="s">
        <v>9241</v>
      </c>
      <c r="V494" t="s">
        <v>9242</v>
      </c>
      <c r="W494" t="s">
        <v>9243</v>
      </c>
      <c r="X494" t="s">
        <v>9244</v>
      </c>
      <c r="Y494" t="s">
        <v>9245</v>
      </c>
      <c r="Z494" t="s">
        <v>9246</v>
      </c>
      <c r="AA494" t="s">
        <v>9247</v>
      </c>
      <c r="AB494" t="s">
        <v>9248</v>
      </c>
      <c r="AC494" t="s">
        <v>9249</v>
      </c>
      <c r="AD494" t="s">
        <v>9250</v>
      </c>
      <c r="AE494" t="s">
        <v>9251</v>
      </c>
      <c r="AF494" t="s">
        <v>74</v>
      </c>
      <c r="AG494">
        <v>94</v>
      </c>
      <c r="AH494">
        <v>47</v>
      </c>
      <c r="AI494">
        <v>48</v>
      </c>
      <c r="AJ494">
        <v>0</v>
      </c>
      <c r="AK494">
        <v>11</v>
      </c>
      <c r="AL494" t="s">
        <v>280</v>
      </c>
      <c r="AM494" t="s">
        <v>281</v>
      </c>
      <c r="AN494" t="s">
        <v>282</v>
      </c>
      <c r="AO494" t="s">
        <v>283</v>
      </c>
      <c r="AP494" t="s">
        <v>74</v>
      </c>
      <c r="AQ494" t="s">
        <v>74</v>
      </c>
      <c r="AR494" t="s">
        <v>285</v>
      </c>
      <c r="AS494" t="s">
        <v>286</v>
      </c>
      <c r="AT494" t="s">
        <v>9215</v>
      </c>
      <c r="AU494">
        <v>2009</v>
      </c>
      <c r="AV494">
        <v>280</v>
      </c>
      <c r="AW494" t="s">
        <v>288</v>
      </c>
      <c r="AX494" t="s">
        <v>74</v>
      </c>
      <c r="AY494" t="s">
        <v>74</v>
      </c>
      <c r="AZ494" t="s">
        <v>74</v>
      </c>
      <c r="BA494" t="s">
        <v>74</v>
      </c>
      <c r="BB494">
        <v>313</v>
      </c>
      <c r="BC494">
        <v>332</v>
      </c>
      <c r="BD494" t="s">
        <v>74</v>
      </c>
      <c r="BE494" t="s">
        <v>9252</v>
      </c>
      <c r="BF494" t="str">
        <f>HYPERLINK("http://dx.doi.org/10.1016/j.palaeo.2009.06.018","http://dx.doi.org/10.1016/j.palaeo.2009.06.018")</f>
        <v>http://dx.doi.org/10.1016/j.palaeo.2009.06.018</v>
      </c>
      <c r="BG494" t="s">
        <v>74</v>
      </c>
      <c r="BH494" t="s">
        <v>74</v>
      </c>
      <c r="BI494">
        <v>20</v>
      </c>
      <c r="BJ494" t="s">
        <v>290</v>
      </c>
      <c r="BK494" t="s">
        <v>98</v>
      </c>
      <c r="BL494" t="s">
        <v>291</v>
      </c>
      <c r="BM494" t="s">
        <v>9253</v>
      </c>
      <c r="BN494" t="s">
        <v>74</v>
      </c>
      <c r="BO494" t="s">
        <v>74</v>
      </c>
      <c r="BP494" t="s">
        <v>74</v>
      </c>
      <c r="BQ494" t="s">
        <v>74</v>
      </c>
      <c r="BR494" t="s">
        <v>101</v>
      </c>
      <c r="BS494" t="s">
        <v>9254</v>
      </c>
      <c r="BT494" t="str">
        <f>HYPERLINK("https%3A%2F%2Fwww.webofscience.com%2Fwos%2Fwoscc%2Ffull-record%2FWOS:000269990700004","View Full Record in Web of Science")</f>
        <v>View Full Record in Web of Science</v>
      </c>
    </row>
    <row r="495" spans="1:72" x14ac:dyDescent="0.15">
      <c r="A495" t="s">
        <v>72</v>
      </c>
      <c r="B495" t="s">
        <v>9255</v>
      </c>
      <c r="C495" t="s">
        <v>74</v>
      </c>
      <c r="D495" t="s">
        <v>74</v>
      </c>
      <c r="E495" t="s">
        <v>74</v>
      </c>
      <c r="F495" t="s">
        <v>9256</v>
      </c>
      <c r="G495" t="s">
        <v>74</v>
      </c>
      <c r="H495" t="s">
        <v>74</v>
      </c>
      <c r="I495" t="s">
        <v>9257</v>
      </c>
      <c r="J495" t="s">
        <v>268</v>
      </c>
      <c r="K495" t="s">
        <v>74</v>
      </c>
      <c r="L495" t="s">
        <v>74</v>
      </c>
      <c r="M495" t="s">
        <v>78</v>
      </c>
      <c r="N495" t="s">
        <v>297</v>
      </c>
      <c r="O495" t="s">
        <v>74</v>
      </c>
      <c r="P495" t="s">
        <v>74</v>
      </c>
      <c r="Q495" t="s">
        <v>74</v>
      </c>
      <c r="R495" t="s">
        <v>74</v>
      </c>
      <c r="S495" t="s">
        <v>74</v>
      </c>
      <c r="T495" t="s">
        <v>9258</v>
      </c>
      <c r="U495" t="s">
        <v>9259</v>
      </c>
      <c r="V495" t="s">
        <v>9260</v>
      </c>
      <c r="W495" t="s">
        <v>9261</v>
      </c>
      <c r="X495" t="s">
        <v>9262</v>
      </c>
      <c r="Y495" t="s">
        <v>9263</v>
      </c>
      <c r="Z495" t="s">
        <v>9264</v>
      </c>
      <c r="AA495" t="s">
        <v>9265</v>
      </c>
      <c r="AB495" t="s">
        <v>9266</v>
      </c>
      <c r="AC495" t="s">
        <v>74</v>
      </c>
      <c r="AD495" t="s">
        <v>74</v>
      </c>
      <c r="AE495" t="s">
        <v>74</v>
      </c>
      <c r="AF495" t="s">
        <v>74</v>
      </c>
      <c r="AG495">
        <v>139</v>
      </c>
      <c r="AH495">
        <v>30</v>
      </c>
      <c r="AI495">
        <v>34</v>
      </c>
      <c r="AJ495">
        <v>1</v>
      </c>
      <c r="AK495">
        <v>19</v>
      </c>
      <c r="AL495" t="s">
        <v>305</v>
      </c>
      <c r="AM495" t="s">
        <v>281</v>
      </c>
      <c r="AN495" t="s">
        <v>306</v>
      </c>
      <c r="AO495" t="s">
        <v>283</v>
      </c>
      <c r="AP495" t="s">
        <v>284</v>
      </c>
      <c r="AQ495" t="s">
        <v>74</v>
      </c>
      <c r="AR495" t="s">
        <v>285</v>
      </c>
      <c r="AS495" t="s">
        <v>286</v>
      </c>
      <c r="AT495" t="s">
        <v>9215</v>
      </c>
      <c r="AU495">
        <v>2009</v>
      </c>
      <c r="AV495">
        <v>280</v>
      </c>
      <c r="AW495" t="s">
        <v>288</v>
      </c>
      <c r="AX495" t="s">
        <v>74</v>
      </c>
      <c r="AY495" t="s">
        <v>74</v>
      </c>
      <c r="AZ495" t="s">
        <v>74</v>
      </c>
      <c r="BA495" t="s">
        <v>74</v>
      </c>
      <c r="BB495">
        <v>333</v>
      </c>
      <c r="BC495">
        <v>349</v>
      </c>
      <c r="BD495" t="s">
        <v>74</v>
      </c>
      <c r="BE495" t="s">
        <v>9267</v>
      </c>
      <c r="BF495" t="str">
        <f>HYPERLINK("http://dx.doi.org/10.1016/j.palaeo.2009.06.019","http://dx.doi.org/10.1016/j.palaeo.2009.06.019")</f>
        <v>http://dx.doi.org/10.1016/j.palaeo.2009.06.019</v>
      </c>
      <c r="BG495" t="s">
        <v>74</v>
      </c>
      <c r="BH495" t="s">
        <v>74</v>
      </c>
      <c r="BI495">
        <v>17</v>
      </c>
      <c r="BJ495" t="s">
        <v>290</v>
      </c>
      <c r="BK495" t="s">
        <v>98</v>
      </c>
      <c r="BL495" t="s">
        <v>291</v>
      </c>
      <c r="BM495" t="s">
        <v>9253</v>
      </c>
      <c r="BN495" t="s">
        <v>74</v>
      </c>
      <c r="BO495" t="s">
        <v>74</v>
      </c>
      <c r="BP495" t="s">
        <v>74</v>
      </c>
      <c r="BQ495" t="s">
        <v>74</v>
      </c>
      <c r="BR495" t="s">
        <v>101</v>
      </c>
      <c r="BS495" t="s">
        <v>9268</v>
      </c>
      <c r="BT495" t="str">
        <f>HYPERLINK("https%3A%2F%2Fwww.webofscience.com%2Fwos%2Fwoscc%2Ffull-record%2FWOS:000269990700005","View Full Record in Web of Science")</f>
        <v>View Full Record in Web of Science</v>
      </c>
    </row>
    <row r="496" spans="1:72" x14ac:dyDescent="0.15">
      <c r="A496" t="s">
        <v>72</v>
      </c>
      <c r="B496" t="s">
        <v>9269</v>
      </c>
      <c r="C496" t="s">
        <v>74</v>
      </c>
      <c r="D496" t="s">
        <v>74</v>
      </c>
      <c r="E496" t="s">
        <v>74</v>
      </c>
      <c r="F496" t="s">
        <v>9270</v>
      </c>
      <c r="G496" t="s">
        <v>74</v>
      </c>
      <c r="H496" t="s">
        <v>74</v>
      </c>
      <c r="I496" t="s">
        <v>9271</v>
      </c>
      <c r="J496" t="s">
        <v>268</v>
      </c>
      <c r="K496" t="s">
        <v>74</v>
      </c>
      <c r="L496" t="s">
        <v>74</v>
      </c>
      <c r="M496" t="s">
        <v>78</v>
      </c>
      <c r="N496" t="s">
        <v>79</v>
      </c>
      <c r="O496" t="s">
        <v>74</v>
      </c>
      <c r="P496" t="s">
        <v>74</v>
      </c>
      <c r="Q496" t="s">
        <v>74</v>
      </c>
      <c r="R496" t="s">
        <v>74</v>
      </c>
      <c r="S496" t="s">
        <v>74</v>
      </c>
      <c r="T496" t="s">
        <v>9272</v>
      </c>
      <c r="U496" t="s">
        <v>9273</v>
      </c>
      <c r="V496" t="s">
        <v>9274</v>
      </c>
      <c r="W496" t="s">
        <v>9275</v>
      </c>
      <c r="X496" t="s">
        <v>9276</v>
      </c>
      <c r="Y496" t="s">
        <v>9277</v>
      </c>
      <c r="Z496" t="s">
        <v>9278</v>
      </c>
      <c r="AA496" t="s">
        <v>9279</v>
      </c>
      <c r="AB496" t="s">
        <v>9280</v>
      </c>
      <c r="AC496" t="s">
        <v>9281</v>
      </c>
      <c r="AD496" t="s">
        <v>9282</v>
      </c>
      <c r="AE496" t="s">
        <v>9283</v>
      </c>
      <c r="AF496" t="s">
        <v>74</v>
      </c>
      <c r="AG496">
        <v>45</v>
      </c>
      <c r="AH496">
        <v>19</v>
      </c>
      <c r="AI496">
        <v>19</v>
      </c>
      <c r="AJ496">
        <v>0</v>
      </c>
      <c r="AK496">
        <v>12</v>
      </c>
      <c r="AL496" t="s">
        <v>305</v>
      </c>
      <c r="AM496" t="s">
        <v>281</v>
      </c>
      <c r="AN496" t="s">
        <v>306</v>
      </c>
      <c r="AO496" t="s">
        <v>283</v>
      </c>
      <c r="AP496" t="s">
        <v>284</v>
      </c>
      <c r="AQ496" t="s">
        <v>74</v>
      </c>
      <c r="AR496" t="s">
        <v>285</v>
      </c>
      <c r="AS496" t="s">
        <v>286</v>
      </c>
      <c r="AT496" t="s">
        <v>9215</v>
      </c>
      <c r="AU496">
        <v>2009</v>
      </c>
      <c r="AV496">
        <v>280</v>
      </c>
      <c r="AW496" t="s">
        <v>288</v>
      </c>
      <c r="AX496" t="s">
        <v>74</v>
      </c>
      <c r="AY496" t="s">
        <v>74</v>
      </c>
      <c r="AZ496" t="s">
        <v>74</v>
      </c>
      <c r="BA496" t="s">
        <v>74</v>
      </c>
      <c r="BB496">
        <v>361</v>
      </c>
      <c r="BC496">
        <v>370</v>
      </c>
      <c r="BD496" t="s">
        <v>74</v>
      </c>
      <c r="BE496" t="s">
        <v>9284</v>
      </c>
      <c r="BF496" t="str">
        <f>HYPERLINK("http://dx.doi.org/10.1016/j.palaeo.2009.06.023","http://dx.doi.org/10.1016/j.palaeo.2009.06.023")</f>
        <v>http://dx.doi.org/10.1016/j.palaeo.2009.06.023</v>
      </c>
      <c r="BG496" t="s">
        <v>74</v>
      </c>
      <c r="BH496" t="s">
        <v>74</v>
      </c>
      <c r="BI496">
        <v>10</v>
      </c>
      <c r="BJ496" t="s">
        <v>290</v>
      </c>
      <c r="BK496" t="s">
        <v>98</v>
      </c>
      <c r="BL496" t="s">
        <v>291</v>
      </c>
      <c r="BM496" t="s">
        <v>9253</v>
      </c>
      <c r="BN496" t="s">
        <v>74</v>
      </c>
      <c r="BO496" t="s">
        <v>239</v>
      </c>
      <c r="BP496" t="s">
        <v>74</v>
      </c>
      <c r="BQ496" t="s">
        <v>74</v>
      </c>
      <c r="BR496" t="s">
        <v>101</v>
      </c>
      <c r="BS496" t="s">
        <v>9285</v>
      </c>
      <c r="BT496" t="str">
        <f>HYPERLINK("https%3A%2F%2Fwww.webofscience.com%2Fwos%2Fwoscc%2Ffull-record%2FWOS:000269990700007","View Full Record in Web of Science")</f>
        <v>View Full Record in Web of Science</v>
      </c>
    </row>
    <row r="497" spans="1:72" x14ac:dyDescent="0.15">
      <c r="A497" t="s">
        <v>72</v>
      </c>
      <c r="B497" t="s">
        <v>9286</v>
      </c>
      <c r="C497" t="s">
        <v>74</v>
      </c>
      <c r="D497" t="s">
        <v>74</v>
      </c>
      <c r="E497" t="s">
        <v>74</v>
      </c>
      <c r="F497" t="s">
        <v>9287</v>
      </c>
      <c r="G497" t="s">
        <v>74</v>
      </c>
      <c r="H497" t="s">
        <v>74</v>
      </c>
      <c r="I497" t="s">
        <v>9288</v>
      </c>
      <c r="J497" t="s">
        <v>268</v>
      </c>
      <c r="K497" t="s">
        <v>74</v>
      </c>
      <c r="L497" t="s">
        <v>74</v>
      </c>
      <c r="M497" t="s">
        <v>78</v>
      </c>
      <c r="N497" t="s">
        <v>297</v>
      </c>
      <c r="O497" t="s">
        <v>74</v>
      </c>
      <c r="P497" t="s">
        <v>74</v>
      </c>
      <c r="Q497" t="s">
        <v>74</v>
      </c>
      <c r="R497" t="s">
        <v>74</v>
      </c>
      <c r="S497" t="s">
        <v>74</v>
      </c>
      <c r="T497" t="s">
        <v>9289</v>
      </c>
      <c r="U497" t="s">
        <v>9290</v>
      </c>
      <c r="V497" t="s">
        <v>9291</v>
      </c>
      <c r="W497" t="s">
        <v>9292</v>
      </c>
      <c r="X497" t="s">
        <v>9293</v>
      </c>
      <c r="Y497" t="s">
        <v>9294</v>
      </c>
      <c r="Z497" t="s">
        <v>9295</v>
      </c>
      <c r="AA497" t="s">
        <v>9296</v>
      </c>
      <c r="AB497" t="s">
        <v>9297</v>
      </c>
      <c r="AC497" t="s">
        <v>9298</v>
      </c>
      <c r="AD497" t="s">
        <v>9298</v>
      </c>
      <c r="AE497" t="s">
        <v>9299</v>
      </c>
      <c r="AF497" t="s">
        <v>74</v>
      </c>
      <c r="AG497">
        <v>114</v>
      </c>
      <c r="AH497">
        <v>32</v>
      </c>
      <c r="AI497">
        <v>35</v>
      </c>
      <c r="AJ497">
        <v>3</v>
      </c>
      <c r="AK497">
        <v>27</v>
      </c>
      <c r="AL497" t="s">
        <v>305</v>
      </c>
      <c r="AM497" t="s">
        <v>281</v>
      </c>
      <c r="AN497" t="s">
        <v>306</v>
      </c>
      <c r="AO497" t="s">
        <v>283</v>
      </c>
      <c r="AP497" t="s">
        <v>284</v>
      </c>
      <c r="AQ497" t="s">
        <v>74</v>
      </c>
      <c r="AR497" t="s">
        <v>285</v>
      </c>
      <c r="AS497" t="s">
        <v>286</v>
      </c>
      <c r="AT497" t="s">
        <v>9215</v>
      </c>
      <c r="AU497">
        <v>2009</v>
      </c>
      <c r="AV497">
        <v>280</v>
      </c>
      <c r="AW497" t="s">
        <v>288</v>
      </c>
      <c r="AX497" t="s">
        <v>74</v>
      </c>
      <c r="AY497" t="s">
        <v>74</v>
      </c>
      <c r="AZ497" t="s">
        <v>74</v>
      </c>
      <c r="BA497" t="s">
        <v>74</v>
      </c>
      <c r="BB497">
        <v>371</v>
      </c>
      <c r="BC497">
        <v>386</v>
      </c>
      <c r="BD497" t="s">
        <v>74</v>
      </c>
      <c r="BE497" t="s">
        <v>9300</v>
      </c>
      <c r="BF497" t="str">
        <f>HYPERLINK("http://dx.doi.org/10.1016/j.palaeo.2009.06.024","http://dx.doi.org/10.1016/j.palaeo.2009.06.024")</f>
        <v>http://dx.doi.org/10.1016/j.palaeo.2009.06.024</v>
      </c>
      <c r="BG497" t="s">
        <v>74</v>
      </c>
      <c r="BH497" t="s">
        <v>74</v>
      </c>
      <c r="BI497">
        <v>16</v>
      </c>
      <c r="BJ497" t="s">
        <v>290</v>
      </c>
      <c r="BK497" t="s">
        <v>98</v>
      </c>
      <c r="BL497" t="s">
        <v>291</v>
      </c>
      <c r="BM497" t="s">
        <v>9253</v>
      </c>
      <c r="BN497" t="s">
        <v>74</v>
      </c>
      <c r="BO497" t="s">
        <v>74</v>
      </c>
      <c r="BP497" t="s">
        <v>74</v>
      </c>
      <c r="BQ497" t="s">
        <v>74</v>
      </c>
      <c r="BR497" t="s">
        <v>101</v>
      </c>
      <c r="BS497" t="s">
        <v>9301</v>
      </c>
      <c r="BT497" t="str">
        <f>HYPERLINK("https%3A%2F%2Fwww.webofscience.com%2Fwos%2Fwoscc%2Ffull-record%2FWOS:000269990700008","View Full Record in Web of Science")</f>
        <v>View Full Record in Web of Science</v>
      </c>
    </row>
    <row r="498" spans="1:72" x14ac:dyDescent="0.15">
      <c r="A498" t="s">
        <v>72</v>
      </c>
      <c r="B498" t="s">
        <v>9302</v>
      </c>
      <c r="C498" t="s">
        <v>74</v>
      </c>
      <c r="D498" t="s">
        <v>74</v>
      </c>
      <c r="E498" t="s">
        <v>74</v>
      </c>
      <c r="F498" t="s">
        <v>9303</v>
      </c>
      <c r="G498" t="s">
        <v>74</v>
      </c>
      <c r="H498" t="s">
        <v>74</v>
      </c>
      <c r="I498" t="s">
        <v>9304</v>
      </c>
      <c r="J498" t="s">
        <v>268</v>
      </c>
      <c r="K498" t="s">
        <v>74</v>
      </c>
      <c r="L498" t="s">
        <v>74</v>
      </c>
      <c r="M498" t="s">
        <v>78</v>
      </c>
      <c r="N498" t="s">
        <v>79</v>
      </c>
      <c r="O498" t="s">
        <v>74</v>
      </c>
      <c r="P498" t="s">
        <v>74</v>
      </c>
      <c r="Q498" t="s">
        <v>74</v>
      </c>
      <c r="R498" t="s">
        <v>74</v>
      </c>
      <c r="S498" t="s">
        <v>74</v>
      </c>
      <c r="T498" t="s">
        <v>9305</v>
      </c>
      <c r="U498" t="s">
        <v>9306</v>
      </c>
      <c r="V498" t="s">
        <v>9307</v>
      </c>
      <c r="W498" t="s">
        <v>9308</v>
      </c>
      <c r="X498" t="s">
        <v>9309</v>
      </c>
      <c r="Y498" t="s">
        <v>9310</v>
      </c>
      <c r="Z498" t="s">
        <v>9311</v>
      </c>
      <c r="AA498" t="s">
        <v>9312</v>
      </c>
      <c r="AB498" t="s">
        <v>9313</v>
      </c>
      <c r="AC498" t="s">
        <v>9314</v>
      </c>
      <c r="AD498" t="s">
        <v>4858</v>
      </c>
      <c r="AE498" t="s">
        <v>9315</v>
      </c>
      <c r="AF498" t="s">
        <v>74</v>
      </c>
      <c r="AG498">
        <v>53</v>
      </c>
      <c r="AH498">
        <v>41</v>
      </c>
      <c r="AI498">
        <v>41</v>
      </c>
      <c r="AJ498">
        <v>0</v>
      </c>
      <c r="AK498">
        <v>11</v>
      </c>
      <c r="AL498" t="s">
        <v>280</v>
      </c>
      <c r="AM498" t="s">
        <v>281</v>
      </c>
      <c r="AN498" t="s">
        <v>282</v>
      </c>
      <c r="AO498" t="s">
        <v>283</v>
      </c>
      <c r="AP498" t="s">
        <v>74</v>
      </c>
      <c r="AQ498" t="s">
        <v>74</v>
      </c>
      <c r="AR498" t="s">
        <v>285</v>
      </c>
      <c r="AS498" t="s">
        <v>286</v>
      </c>
      <c r="AT498" t="s">
        <v>9215</v>
      </c>
      <c r="AU498">
        <v>2009</v>
      </c>
      <c r="AV498">
        <v>280</v>
      </c>
      <c r="AW498" t="s">
        <v>288</v>
      </c>
      <c r="AX498" t="s">
        <v>74</v>
      </c>
      <c r="AY498" t="s">
        <v>74</v>
      </c>
      <c r="AZ498" t="s">
        <v>74</v>
      </c>
      <c r="BA498" t="s">
        <v>74</v>
      </c>
      <c r="BB498">
        <v>480</v>
      </c>
      <c r="BC498">
        <v>488</v>
      </c>
      <c r="BD498" t="s">
        <v>74</v>
      </c>
      <c r="BE498" t="s">
        <v>9316</v>
      </c>
      <c r="BF498" t="str">
        <f>HYPERLINK("http://dx.doi.org/10.1016/j.palaeo.2009.06.035","http://dx.doi.org/10.1016/j.palaeo.2009.06.035")</f>
        <v>http://dx.doi.org/10.1016/j.palaeo.2009.06.035</v>
      </c>
      <c r="BG498" t="s">
        <v>74</v>
      </c>
      <c r="BH498" t="s">
        <v>74</v>
      </c>
      <c r="BI498">
        <v>9</v>
      </c>
      <c r="BJ498" t="s">
        <v>290</v>
      </c>
      <c r="BK498" t="s">
        <v>98</v>
      </c>
      <c r="BL498" t="s">
        <v>291</v>
      </c>
      <c r="BM498" t="s">
        <v>9253</v>
      </c>
      <c r="BN498" t="s">
        <v>74</v>
      </c>
      <c r="BO498" t="s">
        <v>1119</v>
      </c>
      <c r="BP498" t="s">
        <v>74</v>
      </c>
      <c r="BQ498" t="s">
        <v>74</v>
      </c>
      <c r="BR498" t="s">
        <v>101</v>
      </c>
      <c r="BS498" t="s">
        <v>9317</v>
      </c>
      <c r="BT498" t="str">
        <f>HYPERLINK("https%3A%2F%2Fwww.webofscience.com%2Fwos%2Fwoscc%2Ffull-record%2FWOS:000269990700017","View Full Record in Web of Science")</f>
        <v>View Full Record in Web of Science</v>
      </c>
    </row>
    <row r="499" spans="1:72" x14ac:dyDescent="0.15">
      <c r="A499" t="s">
        <v>72</v>
      </c>
      <c r="B499" t="s">
        <v>9318</v>
      </c>
      <c r="C499" t="s">
        <v>74</v>
      </c>
      <c r="D499" t="s">
        <v>74</v>
      </c>
      <c r="E499" t="s">
        <v>74</v>
      </c>
      <c r="F499" t="s">
        <v>9319</v>
      </c>
      <c r="G499" t="s">
        <v>74</v>
      </c>
      <c r="H499" t="s">
        <v>74</v>
      </c>
      <c r="I499" t="s">
        <v>9320</v>
      </c>
      <c r="J499" t="s">
        <v>789</v>
      </c>
      <c r="K499" t="s">
        <v>74</v>
      </c>
      <c r="L499" t="s">
        <v>74</v>
      </c>
      <c r="M499" t="s">
        <v>78</v>
      </c>
      <c r="N499" t="s">
        <v>79</v>
      </c>
      <c r="O499" t="s">
        <v>74</v>
      </c>
      <c r="P499" t="s">
        <v>74</v>
      </c>
      <c r="Q499" t="s">
        <v>74</v>
      </c>
      <c r="R499" t="s">
        <v>74</v>
      </c>
      <c r="S499" t="s">
        <v>74</v>
      </c>
      <c r="T499" t="s">
        <v>74</v>
      </c>
      <c r="U499" t="s">
        <v>9321</v>
      </c>
      <c r="V499" t="s">
        <v>9322</v>
      </c>
      <c r="W499" t="s">
        <v>9323</v>
      </c>
      <c r="X499" t="s">
        <v>9324</v>
      </c>
      <c r="Y499" t="s">
        <v>9325</v>
      </c>
      <c r="Z499" t="s">
        <v>9326</v>
      </c>
      <c r="AA499" t="s">
        <v>9327</v>
      </c>
      <c r="AB499" t="s">
        <v>9328</v>
      </c>
      <c r="AC499" t="s">
        <v>9329</v>
      </c>
      <c r="AD499" t="s">
        <v>9330</v>
      </c>
      <c r="AE499" t="s">
        <v>9331</v>
      </c>
      <c r="AF499" t="s">
        <v>74</v>
      </c>
      <c r="AG499">
        <v>47</v>
      </c>
      <c r="AH499">
        <v>11</v>
      </c>
      <c r="AI499">
        <v>11</v>
      </c>
      <c r="AJ499">
        <v>1</v>
      </c>
      <c r="AK499">
        <v>4</v>
      </c>
      <c r="AL499" t="s">
        <v>226</v>
      </c>
      <c r="AM499" t="s">
        <v>227</v>
      </c>
      <c r="AN499" t="s">
        <v>228</v>
      </c>
      <c r="AO499" t="s">
        <v>800</v>
      </c>
      <c r="AP499" t="s">
        <v>801</v>
      </c>
      <c r="AQ499" t="s">
        <v>74</v>
      </c>
      <c r="AR499" t="s">
        <v>802</v>
      </c>
      <c r="AS499" t="s">
        <v>803</v>
      </c>
      <c r="AT499" t="s">
        <v>9332</v>
      </c>
      <c r="AU499">
        <v>2009</v>
      </c>
      <c r="AV499">
        <v>114</v>
      </c>
      <c r="AW499" t="s">
        <v>74</v>
      </c>
      <c r="AX499" t="s">
        <v>74</v>
      </c>
      <c r="AY499" t="s">
        <v>74</v>
      </c>
      <c r="AZ499" t="s">
        <v>74</v>
      </c>
      <c r="BA499" t="s">
        <v>74</v>
      </c>
      <c r="BB499" t="s">
        <v>74</v>
      </c>
      <c r="BC499" t="s">
        <v>74</v>
      </c>
      <c r="BD499" t="s">
        <v>9333</v>
      </c>
      <c r="BE499" t="s">
        <v>9334</v>
      </c>
      <c r="BF499" t="str">
        <f>HYPERLINK("http://dx.doi.org/10.1029/2008JC004873","http://dx.doi.org/10.1029/2008JC004873")</f>
        <v>http://dx.doi.org/10.1029/2008JC004873</v>
      </c>
      <c r="BG499" t="s">
        <v>74</v>
      </c>
      <c r="BH499" t="s">
        <v>74</v>
      </c>
      <c r="BI499">
        <v>20</v>
      </c>
      <c r="BJ499" t="s">
        <v>806</v>
      </c>
      <c r="BK499" t="s">
        <v>98</v>
      </c>
      <c r="BL499" t="s">
        <v>806</v>
      </c>
      <c r="BM499" t="s">
        <v>9335</v>
      </c>
      <c r="BN499" t="s">
        <v>74</v>
      </c>
      <c r="BO499" t="s">
        <v>9336</v>
      </c>
      <c r="BP499" t="s">
        <v>74</v>
      </c>
      <c r="BQ499" t="s">
        <v>74</v>
      </c>
      <c r="BR499" t="s">
        <v>101</v>
      </c>
      <c r="BS499" t="s">
        <v>9337</v>
      </c>
      <c r="BT499" t="str">
        <f>HYPERLINK("https%3A%2F%2Fwww.webofscience.com%2Fwos%2Fwoscc%2Ffull-record%2FWOS:000269757900001","View Full Record in Web of Science")</f>
        <v>View Full Record in Web of Science</v>
      </c>
    </row>
    <row r="500" spans="1:72" x14ac:dyDescent="0.15">
      <c r="A500" t="s">
        <v>72</v>
      </c>
      <c r="B500" t="s">
        <v>9338</v>
      </c>
      <c r="C500" t="s">
        <v>74</v>
      </c>
      <c r="D500" t="s">
        <v>74</v>
      </c>
      <c r="E500" t="s">
        <v>74</v>
      </c>
      <c r="F500" t="s">
        <v>9339</v>
      </c>
      <c r="G500" t="s">
        <v>74</v>
      </c>
      <c r="H500" t="s">
        <v>74</v>
      </c>
      <c r="I500" t="s">
        <v>9340</v>
      </c>
      <c r="J500" t="s">
        <v>9341</v>
      </c>
      <c r="K500" t="s">
        <v>74</v>
      </c>
      <c r="L500" t="s">
        <v>74</v>
      </c>
      <c r="M500" t="s">
        <v>78</v>
      </c>
      <c r="N500" t="s">
        <v>79</v>
      </c>
      <c r="O500" t="s">
        <v>74</v>
      </c>
      <c r="P500" t="s">
        <v>74</v>
      </c>
      <c r="Q500" t="s">
        <v>74</v>
      </c>
      <c r="R500" t="s">
        <v>74</v>
      </c>
      <c r="S500" t="s">
        <v>74</v>
      </c>
      <c r="T500" t="s">
        <v>9342</v>
      </c>
      <c r="U500" t="s">
        <v>9343</v>
      </c>
      <c r="V500" t="s">
        <v>9344</v>
      </c>
      <c r="W500" t="s">
        <v>9345</v>
      </c>
      <c r="X500" t="s">
        <v>9346</v>
      </c>
      <c r="Y500" t="s">
        <v>9347</v>
      </c>
      <c r="Z500" t="s">
        <v>9348</v>
      </c>
      <c r="AA500" t="s">
        <v>9349</v>
      </c>
      <c r="AB500" t="s">
        <v>9350</v>
      </c>
      <c r="AC500" t="s">
        <v>9351</v>
      </c>
      <c r="AD500" t="s">
        <v>9352</v>
      </c>
      <c r="AE500" t="s">
        <v>9353</v>
      </c>
      <c r="AF500" t="s">
        <v>74</v>
      </c>
      <c r="AG500">
        <v>72</v>
      </c>
      <c r="AH500">
        <v>33</v>
      </c>
      <c r="AI500">
        <v>34</v>
      </c>
      <c r="AJ500">
        <v>1</v>
      </c>
      <c r="AK500">
        <v>16</v>
      </c>
      <c r="AL500" t="s">
        <v>305</v>
      </c>
      <c r="AM500" t="s">
        <v>281</v>
      </c>
      <c r="AN500" t="s">
        <v>306</v>
      </c>
      <c r="AO500" t="s">
        <v>9354</v>
      </c>
      <c r="AP500" t="s">
        <v>9355</v>
      </c>
      <c r="AQ500" t="s">
        <v>74</v>
      </c>
      <c r="AR500" t="s">
        <v>9356</v>
      </c>
      <c r="AS500" t="s">
        <v>9357</v>
      </c>
      <c r="AT500" t="s">
        <v>9358</v>
      </c>
      <c r="AU500">
        <v>2009</v>
      </c>
      <c r="AV500">
        <v>185</v>
      </c>
      <c r="AW500">
        <v>4</v>
      </c>
      <c r="AX500" t="s">
        <v>74</v>
      </c>
      <c r="AY500" t="s">
        <v>74</v>
      </c>
      <c r="AZ500" t="s">
        <v>1546</v>
      </c>
      <c r="BA500" t="s">
        <v>74</v>
      </c>
      <c r="BB500">
        <v>337</v>
      </c>
      <c r="BC500">
        <v>351</v>
      </c>
      <c r="BD500" t="s">
        <v>74</v>
      </c>
      <c r="BE500" t="s">
        <v>9359</v>
      </c>
      <c r="BF500" t="str">
        <f>HYPERLINK("http://dx.doi.org/10.1016/j.jvolgeores.2008.12.016","http://dx.doi.org/10.1016/j.jvolgeores.2008.12.016")</f>
        <v>http://dx.doi.org/10.1016/j.jvolgeores.2008.12.016</v>
      </c>
      <c r="BG500" t="s">
        <v>74</v>
      </c>
      <c r="BH500" t="s">
        <v>74</v>
      </c>
      <c r="BI500">
        <v>15</v>
      </c>
      <c r="BJ500" t="s">
        <v>464</v>
      </c>
      <c r="BK500" t="s">
        <v>98</v>
      </c>
      <c r="BL500" t="s">
        <v>465</v>
      </c>
      <c r="BM500" t="s">
        <v>9360</v>
      </c>
      <c r="BN500" t="s">
        <v>74</v>
      </c>
      <c r="BO500" t="s">
        <v>74</v>
      </c>
      <c r="BP500" t="s">
        <v>74</v>
      </c>
      <c r="BQ500" t="s">
        <v>74</v>
      </c>
      <c r="BR500" t="s">
        <v>101</v>
      </c>
      <c r="BS500" t="s">
        <v>9361</v>
      </c>
      <c r="BT500" t="str">
        <f>HYPERLINK("https%3A%2F%2Fwww.webofscience.com%2Fwos%2Fwoscc%2Ffull-record%2FWOS:000270047700008","View Full Record in Web of Science")</f>
        <v>View Full Record in Web of Science</v>
      </c>
    </row>
    <row r="501" spans="1:72" x14ac:dyDescent="0.15">
      <c r="A501" t="s">
        <v>72</v>
      </c>
      <c r="B501" t="s">
        <v>9362</v>
      </c>
      <c r="C501" t="s">
        <v>74</v>
      </c>
      <c r="D501" t="s">
        <v>74</v>
      </c>
      <c r="E501" t="s">
        <v>74</v>
      </c>
      <c r="F501" t="s">
        <v>9363</v>
      </c>
      <c r="G501" t="s">
        <v>74</v>
      </c>
      <c r="H501" t="s">
        <v>74</v>
      </c>
      <c r="I501" t="s">
        <v>9364</v>
      </c>
      <c r="J501" t="s">
        <v>743</v>
      </c>
      <c r="K501" t="s">
        <v>74</v>
      </c>
      <c r="L501" t="s">
        <v>74</v>
      </c>
      <c r="M501" t="s">
        <v>78</v>
      </c>
      <c r="N501" t="s">
        <v>79</v>
      </c>
      <c r="O501" t="s">
        <v>74</v>
      </c>
      <c r="P501" t="s">
        <v>74</v>
      </c>
      <c r="Q501" t="s">
        <v>74</v>
      </c>
      <c r="R501" t="s">
        <v>74</v>
      </c>
      <c r="S501" t="s">
        <v>74</v>
      </c>
      <c r="T501" t="s">
        <v>9365</v>
      </c>
      <c r="U501" t="s">
        <v>9366</v>
      </c>
      <c r="V501" t="s">
        <v>9367</v>
      </c>
      <c r="W501" t="s">
        <v>9368</v>
      </c>
      <c r="X501" t="s">
        <v>9369</v>
      </c>
      <c r="Y501" t="s">
        <v>9370</v>
      </c>
      <c r="Z501" t="s">
        <v>9371</v>
      </c>
      <c r="AA501" t="s">
        <v>74</v>
      </c>
      <c r="AB501" t="s">
        <v>74</v>
      </c>
      <c r="AC501" t="s">
        <v>9372</v>
      </c>
      <c r="AD501" t="s">
        <v>9373</v>
      </c>
      <c r="AE501" t="s">
        <v>9374</v>
      </c>
      <c r="AF501" t="s">
        <v>74</v>
      </c>
      <c r="AG501">
        <v>22</v>
      </c>
      <c r="AH501">
        <v>9</v>
      </c>
      <c r="AI501">
        <v>11</v>
      </c>
      <c r="AJ501">
        <v>0</v>
      </c>
      <c r="AK501">
        <v>10</v>
      </c>
      <c r="AL501" t="s">
        <v>683</v>
      </c>
      <c r="AM501" t="s">
        <v>684</v>
      </c>
      <c r="AN501" t="s">
        <v>1826</v>
      </c>
      <c r="AO501" t="s">
        <v>756</v>
      </c>
      <c r="AP501" t="s">
        <v>757</v>
      </c>
      <c r="AQ501" t="s">
        <v>74</v>
      </c>
      <c r="AR501" t="s">
        <v>758</v>
      </c>
      <c r="AS501" t="s">
        <v>759</v>
      </c>
      <c r="AT501" t="s">
        <v>9358</v>
      </c>
      <c r="AU501">
        <v>2009</v>
      </c>
      <c r="AV501">
        <v>19</v>
      </c>
      <c r="AW501">
        <v>9</v>
      </c>
      <c r="AX501" t="s">
        <v>74</v>
      </c>
      <c r="AY501" t="s">
        <v>74</v>
      </c>
      <c r="AZ501" t="s">
        <v>74</v>
      </c>
      <c r="BA501" t="s">
        <v>74</v>
      </c>
      <c r="BB501">
        <v>1125</v>
      </c>
      <c r="BC501">
        <v>1131</v>
      </c>
      <c r="BD501" t="s">
        <v>74</v>
      </c>
      <c r="BE501" t="s">
        <v>9375</v>
      </c>
      <c r="BF501" t="str">
        <f>HYPERLINK("http://dx.doi.org/10.1016/j.pnsc.2009.01.006","http://dx.doi.org/10.1016/j.pnsc.2009.01.006")</f>
        <v>http://dx.doi.org/10.1016/j.pnsc.2009.01.006</v>
      </c>
      <c r="BG501" t="s">
        <v>74</v>
      </c>
      <c r="BH501" t="s">
        <v>74</v>
      </c>
      <c r="BI501">
        <v>7</v>
      </c>
      <c r="BJ501" t="s">
        <v>762</v>
      </c>
      <c r="BK501" t="s">
        <v>98</v>
      </c>
      <c r="BL501" t="s">
        <v>763</v>
      </c>
      <c r="BM501" t="s">
        <v>9376</v>
      </c>
      <c r="BN501" t="s">
        <v>74</v>
      </c>
      <c r="BO501" t="s">
        <v>765</v>
      </c>
      <c r="BP501" t="s">
        <v>74</v>
      </c>
      <c r="BQ501" t="s">
        <v>74</v>
      </c>
      <c r="BR501" t="s">
        <v>101</v>
      </c>
      <c r="BS501" t="s">
        <v>9377</v>
      </c>
      <c r="BT501" t="str">
        <f>HYPERLINK("https%3A%2F%2Fwww.webofscience.com%2Fwos%2Fwoscc%2Ffull-record%2FWOS:000268798900013","View Full Record in Web of Science")</f>
        <v>View Full Record in Web of Science</v>
      </c>
    </row>
    <row r="502" spans="1:72" x14ac:dyDescent="0.15">
      <c r="A502" t="s">
        <v>72</v>
      </c>
      <c r="B502" t="s">
        <v>9378</v>
      </c>
      <c r="C502" t="s">
        <v>74</v>
      </c>
      <c r="D502" t="s">
        <v>74</v>
      </c>
      <c r="E502" t="s">
        <v>74</v>
      </c>
      <c r="F502" t="s">
        <v>9379</v>
      </c>
      <c r="G502" t="s">
        <v>74</v>
      </c>
      <c r="H502" t="s">
        <v>74</v>
      </c>
      <c r="I502" t="s">
        <v>9380</v>
      </c>
      <c r="J502" t="s">
        <v>3797</v>
      </c>
      <c r="K502" t="s">
        <v>74</v>
      </c>
      <c r="L502" t="s">
        <v>74</v>
      </c>
      <c r="M502" t="s">
        <v>78</v>
      </c>
      <c r="N502" t="s">
        <v>79</v>
      </c>
      <c r="O502" t="s">
        <v>74</v>
      </c>
      <c r="P502" t="s">
        <v>74</v>
      </c>
      <c r="Q502" t="s">
        <v>74</v>
      </c>
      <c r="R502" t="s">
        <v>74</v>
      </c>
      <c r="S502" t="s">
        <v>74</v>
      </c>
      <c r="T502" t="s">
        <v>9381</v>
      </c>
      <c r="U502" t="s">
        <v>9382</v>
      </c>
      <c r="V502" t="s">
        <v>9383</v>
      </c>
      <c r="W502" t="s">
        <v>9384</v>
      </c>
      <c r="X502" t="s">
        <v>9385</v>
      </c>
      <c r="Y502" t="s">
        <v>9386</v>
      </c>
      <c r="Z502" t="s">
        <v>9387</v>
      </c>
      <c r="AA502" t="s">
        <v>9388</v>
      </c>
      <c r="AB502" t="s">
        <v>9389</v>
      </c>
      <c r="AC502" t="s">
        <v>9390</v>
      </c>
      <c r="AD502" t="s">
        <v>9391</v>
      </c>
      <c r="AE502" t="s">
        <v>9392</v>
      </c>
      <c r="AF502" t="s">
        <v>74</v>
      </c>
      <c r="AG502">
        <v>21</v>
      </c>
      <c r="AH502">
        <v>9</v>
      </c>
      <c r="AI502">
        <v>10</v>
      </c>
      <c r="AJ502">
        <v>0</v>
      </c>
      <c r="AK502">
        <v>3</v>
      </c>
      <c r="AL502" t="s">
        <v>3808</v>
      </c>
      <c r="AM502" t="s">
        <v>3809</v>
      </c>
      <c r="AN502" t="s">
        <v>3810</v>
      </c>
      <c r="AO502" t="s">
        <v>3811</v>
      </c>
      <c r="AP502" t="s">
        <v>3812</v>
      </c>
      <c r="AQ502" t="s">
        <v>74</v>
      </c>
      <c r="AR502" t="s">
        <v>3797</v>
      </c>
      <c r="AS502" t="s">
        <v>3813</v>
      </c>
      <c r="AT502" t="s">
        <v>9358</v>
      </c>
      <c r="AU502">
        <v>2009</v>
      </c>
      <c r="AV502" t="s">
        <v>74</v>
      </c>
      <c r="AW502">
        <v>2226</v>
      </c>
      <c r="AX502" t="s">
        <v>74</v>
      </c>
      <c r="AY502" t="s">
        <v>74</v>
      </c>
      <c r="AZ502" t="s">
        <v>74</v>
      </c>
      <c r="BA502" t="s">
        <v>74</v>
      </c>
      <c r="BB502">
        <v>28</v>
      </c>
      <c r="BC502">
        <v>42</v>
      </c>
      <c r="BD502" t="s">
        <v>74</v>
      </c>
      <c r="BE502" t="s">
        <v>9393</v>
      </c>
      <c r="BF502" t="str">
        <f>HYPERLINK("http://dx.doi.org/10.11646/zootaxa.2226.1.3","http://dx.doi.org/10.11646/zootaxa.2226.1.3")</f>
        <v>http://dx.doi.org/10.11646/zootaxa.2226.1.3</v>
      </c>
      <c r="BG502" t="s">
        <v>74</v>
      </c>
      <c r="BH502" t="s">
        <v>74</v>
      </c>
      <c r="BI502">
        <v>15</v>
      </c>
      <c r="BJ502" t="s">
        <v>207</v>
      </c>
      <c r="BK502" t="s">
        <v>98</v>
      </c>
      <c r="BL502" t="s">
        <v>207</v>
      </c>
      <c r="BM502" t="s">
        <v>9394</v>
      </c>
      <c r="BN502" t="s">
        <v>74</v>
      </c>
      <c r="BO502" t="s">
        <v>74</v>
      </c>
      <c r="BP502" t="s">
        <v>74</v>
      </c>
      <c r="BQ502" t="s">
        <v>74</v>
      </c>
      <c r="BR502" t="s">
        <v>101</v>
      </c>
      <c r="BS502" t="s">
        <v>9395</v>
      </c>
      <c r="BT502" t="str">
        <f>HYPERLINK("https%3A%2F%2Fwww.webofscience.com%2Fwos%2Fwoscc%2Ffull-record%2FWOS:000269696900003","View Full Record in Web of Science")</f>
        <v>View Full Record in Web of Science</v>
      </c>
    </row>
    <row r="503" spans="1:72" x14ac:dyDescent="0.15">
      <c r="A503" t="s">
        <v>72</v>
      </c>
      <c r="B503" t="s">
        <v>9396</v>
      </c>
      <c r="C503" t="s">
        <v>74</v>
      </c>
      <c r="D503" t="s">
        <v>74</v>
      </c>
      <c r="E503" t="s">
        <v>74</v>
      </c>
      <c r="F503" t="s">
        <v>9397</v>
      </c>
      <c r="G503" t="s">
        <v>74</v>
      </c>
      <c r="H503" t="s">
        <v>74</v>
      </c>
      <c r="I503" t="s">
        <v>9398</v>
      </c>
      <c r="J503" t="s">
        <v>721</v>
      </c>
      <c r="K503" t="s">
        <v>74</v>
      </c>
      <c r="L503" t="s">
        <v>74</v>
      </c>
      <c r="M503" t="s">
        <v>78</v>
      </c>
      <c r="N503" t="s">
        <v>79</v>
      </c>
      <c r="O503" t="s">
        <v>74</v>
      </c>
      <c r="P503" t="s">
        <v>74</v>
      </c>
      <c r="Q503" t="s">
        <v>74</v>
      </c>
      <c r="R503" t="s">
        <v>74</v>
      </c>
      <c r="S503" t="s">
        <v>74</v>
      </c>
      <c r="T503" t="s">
        <v>74</v>
      </c>
      <c r="U503" t="s">
        <v>9399</v>
      </c>
      <c r="V503" t="s">
        <v>9400</v>
      </c>
      <c r="W503" t="s">
        <v>9401</v>
      </c>
      <c r="X503" t="s">
        <v>9402</v>
      </c>
      <c r="Y503" t="s">
        <v>9403</v>
      </c>
      <c r="Z503" t="s">
        <v>9404</v>
      </c>
      <c r="AA503" t="s">
        <v>74</v>
      </c>
      <c r="AB503" t="s">
        <v>9405</v>
      </c>
      <c r="AC503" t="s">
        <v>9406</v>
      </c>
      <c r="AD503" t="s">
        <v>6464</v>
      </c>
      <c r="AE503" t="s">
        <v>9407</v>
      </c>
      <c r="AF503" t="s">
        <v>74</v>
      </c>
      <c r="AG503">
        <v>25</v>
      </c>
      <c r="AH503">
        <v>141</v>
      </c>
      <c r="AI503">
        <v>157</v>
      </c>
      <c r="AJ503">
        <v>0</v>
      </c>
      <c r="AK503">
        <v>26</v>
      </c>
      <c r="AL503" t="s">
        <v>226</v>
      </c>
      <c r="AM503" t="s">
        <v>227</v>
      </c>
      <c r="AN503" t="s">
        <v>228</v>
      </c>
      <c r="AO503" t="s">
        <v>731</v>
      </c>
      <c r="AP503" t="s">
        <v>732</v>
      </c>
      <c r="AQ503" t="s">
        <v>74</v>
      </c>
      <c r="AR503" t="s">
        <v>733</v>
      </c>
      <c r="AS503" t="s">
        <v>734</v>
      </c>
      <c r="AT503" t="s">
        <v>9408</v>
      </c>
      <c r="AU503">
        <v>2009</v>
      </c>
      <c r="AV503">
        <v>36</v>
      </c>
      <c r="AW503" t="s">
        <v>74</v>
      </c>
      <c r="AX503" t="s">
        <v>74</v>
      </c>
      <c r="AY503" t="s">
        <v>74</v>
      </c>
      <c r="AZ503" t="s">
        <v>74</v>
      </c>
      <c r="BA503" t="s">
        <v>74</v>
      </c>
      <c r="BB503" t="s">
        <v>74</v>
      </c>
      <c r="BC503" t="s">
        <v>74</v>
      </c>
      <c r="BD503" t="s">
        <v>9409</v>
      </c>
      <c r="BE503" t="s">
        <v>9410</v>
      </c>
      <c r="BF503" t="str">
        <f>HYPERLINK("http://dx.doi.org/10.1029/2009GL039126","http://dx.doi.org/10.1029/2009GL039126")</f>
        <v>http://dx.doi.org/10.1029/2009GL039126</v>
      </c>
      <c r="BG503" t="s">
        <v>74</v>
      </c>
      <c r="BH503" t="s">
        <v>74</v>
      </c>
      <c r="BI503">
        <v>5</v>
      </c>
      <c r="BJ503" t="s">
        <v>464</v>
      </c>
      <c r="BK503" t="s">
        <v>98</v>
      </c>
      <c r="BL503" t="s">
        <v>465</v>
      </c>
      <c r="BM503" t="s">
        <v>9411</v>
      </c>
      <c r="BN503" t="s">
        <v>74</v>
      </c>
      <c r="BO503" t="s">
        <v>467</v>
      </c>
      <c r="BP503" t="s">
        <v>74</v>
      </c>
      <c r="BQ503" t="s">
        <v>74</v>
      </c>
      <c r="BR503" t="s">
        <v>101</v>
      </c>
      <c r="BS503" t="s">
        <v>9412</v>
      </c>
      <c r="BT503" t="str">
        <f>HYPERLINK("https%3A%2F%2Fwww.webofscience.com%2Fwos%2Fwoscc%2Ffull-record%2FWOS:000269756000003","View Full Record in Web of Science")</f>
        <v>View Full Record in Web of Science</v>
      </c>
    </row>
    <row r="504" spans="1:72" x14ac:dyDescent="0.15">
      <c r="A504" t="s">
        <v>72</v>
      </c>
      <c r="B504" t="s">
        <v>9413</v>
      </c>
      <c r="C504" t="s">
        <v>74</v>
      </c>
      <c r="D504" t="s">
        <v>74</v>
      </c>
      <c r="E504" t="s">
        <v>74</v>
      </c>
      <c r="F504" t="s">
        <v>9414</v>
      </c>
      <c r="G504" t="s">
        <v>74</v>
      </c>
      <c r="H504" t="s">
        <v>74</v>
      </c>
      <c r="I504" t="s">
        <v>9415</v>
      </c>
      <c r="J504" t="s">
        <v>833</v>
      </c>
      <c r="K504" t="s">
        <v>74</v>
      </c>
      <c r="L504" t="s">
        <v>74</v>
      </c>
      <c r="M504" t="s">
        <v>78</v>
      </c>
      <c r="N504" t="s">
        <v>79</v>
      </c>
      <c r="O504" t="s">
        <v>74</v>
      </c>
      <c r="P504" t="s">
        <v>74</v>
      </c>
      <c r="Q504" t="s">
        <v>74</v>
      </c>
      <c r="R504" t="s">
        <v>74</v>
      </c>
      <c r="S504" t="s">
        <v>74</v>
      </c>
      <c r="T504" t="s">
        <v>9416</v>
      </c>
      <c r="U504" t="s">
        <v>9417</v>
      </c>
      <c r="V504" t="s">
        <v>9418</v>
      </c>
      <c r="W504" t="s">
        <v>9419</v>
      </c>
      <c r="X504" t="s">
        <v>9420</v>
      </c>
      <c r="Y504" t="s">
        <v>9421</v>
      </c>
      <c r="Z504" t="s">
        <v>9422</v>
      </c>
      <c r="AA504" t="s">
        <v>9423</v>
      </c>
      <c r="AB504" t="s">
        <v>9424</v>
      </c>
      <c r="AC504" t="s">
        <v>9425</v>
      </c>
      <c r="AD504" t="s">
        <v>9426</v>
      </c>
      <c r="AE504" t="s">
        <v>9427</v>
      </c>
      <c r="AF504" t="s">
        <v>74</v>
      </c>
      <c r="AG504">
        <v>70</v>
      </c>
      <c r="AH504">
        <v>980</v>
      </c>
      <c r="AI504">
        <v>1099</v>
      </c>
      <c r="AJ504">
        <v>7</v>
      </c>
      <c r="AK504">
        <v>423</v>
      </c>
      <c r="AL504" t="s">
        <v>846</v>
      </c>
      <c r="AM504" t="s">
        <v>227</v>
      </c>
      <c r="AN504" t="s">
        <v>847</v>
      </c>
      <c r="AO504" t="s">
        <v>848</v>
      </c>
      <c r="AP504" t="s">
        <v>74</v>
      </c>
      <c r="AQ504" t="s">
        <v>74</v>
      </c>
      <c r="AR504" t="s">
        <v>849</v>
      </c>
      <c r="AS504" t="s">
        <v>850</v>
      </c>
      <c r="AT504" t="s">
        <v>9428</v>
      </c>
      <c r="AU504">
        <v>2009</v>
      </c>
      <c r="AV504">
        <v>106</v>
      </c>
      <c r="AW504">
        <v>36</v>
      </c>
      <c r="AX504" t="s">
        <v>74</v>
      </c>
      <c r="AY504" t="s">
        <v>74</v>
      </c>
      <c r="AZ504" t="s">
        <v>74</v>
      </c>
      <c r="BA504" t="s">
        <v>74</v>
      </c>
      <c r="BB504">
        <v>15103</v>
      </c>
      <c r="BC504">
        <v>15110</v>
      </c>
      <c r="BD504" t="s">
        <v>74</v>
      </c>
      <c r="BE504" t="s">
        <v>9429</v>
      </c>
      <c r="BF504" t="str">
        <f>HYPERLINK("http://dx.doi.org/10.1073/pnas.0905235106","http://dx.doi.org/10.1073/pnas.0905235106")</f>
        <v>http://dx.doi.org/10.1073/pnas.0905235106</v>
      </c>
      <c r="BG504" t="s">
        <v>74</v>
      </c>
      <c r="BH504" t="s">
        <v>74</v>
      </c>
      <c r="BI504">
        <v>8</v>
      </c>
      <c r="BJ504" t="s">
        <v>388</v>
      </c>
      <c r="BK504" t="s">
        <v>98</v>
      </c>
      <c r="BL504" t="s">
        <v>389</v>
      </c>
      <c r="BM504" t="s">
        <v>9430</v>
      </c>
      <c r="BN504">
        <v>19805247</v>
      </c>
      <c r="BO504" t="s">
        <v>853</v>
      </c>
      <c r="BP504" t="s">
        <v>74</v>
      </c>
      <c r="BQ504" t="s">
        <v>74</v>
      </c>
      <c r="BR504" t="s">
        <v>101</v>
      </c>
      <c r="BS504" t="s">
        <v>9431</v>
      </c>
      <c r="BT504" t="str">
        <f>HYPERLINK("https%3A%2F%2Fwww.webofscience.com%2Fwos%2Fwoscc%2Ffull-record%2FWOS:000269632400005","View Full Record in Web of Science")</f>
        <v>View Full Record in Web of Science</v>
      </c>
    </row>
    <row r="505" spans="1:72" x14ac:dyDescent="0.15">
      <c r="A505" t="s">
        <v>72</v>
      </c>
      <c r="B505" t="s">
        <v>9432</v>
      </c>
      <c r="C505" t="s">
        <v>74</v>
      </c>
      <c r="D505" t="s">
        <v>74</v>
      </c>
      <c r="E505" t="s">
        <v>74</v>
      </c>
      <c r="F505" t="s">
        <v>9433</v>
      </c>
      <c r="G505" t="s">
        <v>74</v>
      </c>
      <c r="H505" t="s">
        <v>74</v>
      </c>
      <c r="I505" t="s">
        <v>9434</v>
      </c>
      <c r="J505" t="s">
        <v>395</v>
      </c>
      <c r="K505" t="s">
        <v>74</v>
      </c>
      <c r="L505" t="s">
        <v>74</v>
      </c>
      <c r="M505" t="s">
        <v>78</v>
      </c>
      <c r="N505" t="s">
        <v>79</v>
      </c>
      <c r="O505" t="s">
        <v>74</v>
      </c>
      <c r="P505" t="s">
        <v>74</v>
      </c>
      <c r="Q505" t="s">
        <v>74</v>
      </c>
      <c r="R505" t="s">
        <v>74</v>
      </c>
      <c r="S505" t="s">
        <v>74</v>
      </c>
      <c r="T505" t="s">
        <v>74</v>
      </c>
      <c r="U505" t="s">
        <v>9435</v>
      </c>
      <c r="V505" t="s">
        <v>9436</v>
      </c>
      <c r="W505" t="s">
        <v>9437</v>
      </c>
      <c r="X505" t="s">
        <v>9438</v>
      </c>
      <c r="Y505" t="s">
        <v>9439</v>
      </c>
      <c r="Z505" t="s">
        <v>9440</v>
      </c>
      <c r="AA505" t="s">
        <v>9441</v>
      </c>
      <c r="AB505" t="s">
        <v>9442</v>
      </c>
      <c r="AC505" t="s">
        <v>9443</v>
      </c>
      <c r="AD505" t="s">
        <v>9444</v>
      </c>
      <c r="AE505" t="s">
        <v>9445</v>
      </c>
      <c r="AF505" t="s">
        <v>74</v>
      </c>
      <c r="AG505">
        <v>56</v>
      </c>
      <c r="AH505">
        <v>46</v>
      </c>
      <c r="AI505">
        <v>47</v>
      </c>
      <c r="AJ505">
        <v>0</v>
      </c>
      <c r="AK505">
        <v>21</v>
      </c>
      <c r="AL505" t="s">
        <v>226</v>
      </c>
      <c r="AM505" t="s">
        <v>227</v>
      </c>
      <c r="AN505" t="s">
        <v>228</v>
      </c>
      <c r="AO505" t="s">
        <v>407</v>
      </c>
      <c r="AP505" t="s">
        <v>408</v>
      </c>
      <c r="AQ505" t="s">
        <v>74</v>
      </c>
      <c r="AR505" t="s">
        <v>409</v>
      </c>
      <c r="AS505" t="s">
        <v>410</v>
      </c>
      <c r="AT505" t="s">
        <v>9446</v>
      </c>
      <c r="AU505">
        <v>2009</v>
      </c>
      <c r="AV505">
        <v>114</v>
      </c>
      <c r="AW505" t="s">
        <v>74</v>
      </c>
      <c r="AX505" t="s">
        <v>74</v>
      </c>
      <c r="AY505" t="s">
        <v>74</v>
      </c>
      <c r="AZ505" t="s">
        <v>74</v>
      </c>
      <c r="BA505" t="s">
        <v>74</v>
      </c>
      <c r="BB505" t="s">
        <v>74</v>
      </c>
      <c r="BC505" t="s">
        <v>74</v>
      </c>
      <c r="BD505" t="s">
        <v>9447</v>
      </c>
      <c r="BE505" t="s">
        <v>9448</v>
      </c>
      <c r="BF505" t="str">
        <f>HYPERLINK("http://dx.doi.org/10.1029/2009JD011851","http://dx.doi.org/10.1029/2009JD011851")</f>
        <v>http://dx.doi.org/10.1029/2009JD011851</v>
      </c>
      <c r="BG505" t="s">
        <v>74</v>
      </c>
      <c r="BH505" t="s">
        <v>74</v>
      </c>
      <c r="BI505">
        <v>17</v>
      </c>
      <c r="BJ505" t="s">
        <v>413</v>
      </c>
      <c r="BK505" t="s">
        <v>98</v>
      </c>
      <c r="BL505" t="s">
        <v>413</v>
      </c>
      <c r="BM505" t="s">
        <v>9449</v>
      </c>
      <c r="BN505" t="s">
        <v>74</v>
      </c>
      <c r="BO505" t="s">
        <v>263</v>
      </c>
      <c r="BP505" t="s">
        <v>74</v>
      </c>
      <c r="BQ505" t="s">
        <v>74</v>
      </c>
      <c r="BR505" t="s">
        <v>101</v>
      </c>
      <c r="BS505" t="s">
        <v>9450</v>
      </c>
      <c r="BT505" t="str">
        <f>HYPERLINK("https%3A%2F%2Fwww.webofscience.com%2Fwos%2Fwoscc%2Ffull-record%2FWOS:000269636400005","View Full Record in Web of Science")</f>
        <v>View Full Record in Web of Science</v>
      </c>
    </row>
    <row r="506" spans="1:72" x14ac:dyDescent="0.15">
      <c r="A506" t="s">
        <v>72</v>
      </c>
      <c r="B506" t="s">
        <v>9451</v>
      </c>
      <c r="C506" t="s">
        <v>74</v>
      </c>
      <c r="D506" t="s">
        <v>74</v>
      </c>
      <c r="E506" t="s">
        <v>74</v>
      </c>
      <c r="F506" t="s">
        <v>9452</v>
      </c>
      <c r="G506" t="s">
        <v>74</v>
      </c>
      <c r="H506" t="s">
        <v>74</v>
      </c>
      <c r="I506" t="s">
        <v>9453</v>
      </c>
      <c r="J506" t="s">
        <v>395</v>
      </c>
      <c r="K506" t="s">
        <v>74</v>
      </c>
      <c r="L506" t="s">
        <v>74</v>
      </c>
      <c r="M506" t="s">
        <v>78</v>
      </c>
      <c r="N506" t="s">
        <v>79</v>
      </c>
      <c r="O506" t="s">
        <v>74</v>
      </c>
      <c r="P506" t="s">
        <v>74</v>
      </c>
      <c r="Q506" t="s">
        <v>74</v>
      </c>
      <c r="R506" t="s">
        <v>74</v>
      </c>
      <c r="S506" t="s">
        <v>74</v>
      </c>
      <c r="T506" t="s">
        <v>74</v>
      </c>
      <c r="U506" t="s">
        <v>9454</v>
      </c>
      <c r="V506" t="s">
        <v>9455</v>
      </c>
      <c r="W506" t="s">
        <v>9456</v>
      </c>
      <c r="X506" t="s">
        <v>9457</v>
      </c>
      <c r="Y506" t="s">
        <v>9458</v>
      </c>
      <c r="Z506" t="s">
        <v>9459</v>
      </c>
      <c r="AA506" t="s">
        <v>9460</v>
      </c>
      <c r="AB506" t="s">
        <v>9461</v>
      </c>
      <c r="AC506" t="s">
        <v>9462</v>
      </c>
      <c r="AD506" t="s">
        <v>9463</v>
      </c>
      <c r="AE506" t="s">
        <v>9464</v>
      </c>
      <c r="AF506" t="s">
        <v>74</v>
      </c>
      <c r="AG506">
        <v>57</v>
      </c>
      <c r="AH506">
        <v>22</v>
      </c>
      <c r="AI506">
        <v>24</v>
      </c>
      <c r="AJ506">
        <v>3</v>
      </c>
      <c r="AK506">
        <v>31</v>
      </c>
      <c r="AL506" t="s">
        <v>226</v>
      </c>
      <c r="AM506" t="s">
        <v>227</v>
      </c>
      <c r="AN506" t="s">
        <v>228</v>
      </c>
      <c r="AO506" t="s">
        <v>407</v>
      </c>
      <c r="AP506" t="s">
        <v>74</v>
      </c>
      <c r="AQ506" t="s">
        <v>74</v>
      </c>
      <c r="AR506" t="s">
        <v>409</v>
      </c>
      <c r="AS506" t="s">
        <v>410</v>
      </c>
      <c r="AT506" t="s">
        <v>9446</v>
      </c>
      <c r="AU506">
        <v>2009</v>
      </c>
      <c r="AV506">
        <v>114</v>
      </c>
      <c r="AW506" t="s">
        <v>74</v>
      </c>
      <c r="AX506" t="s">
        <v>74</v>
      </c>
      <c r="AY506" t="s">
        <v>74</v>
      </c>
      <c r="AZ506" t="s">
        <v>74</v>
      </c>
      <c r="BA506" t="s">
        <v>74</v>
      </c>
      <c r="BB506" t="s">
        <v>74</v>
      </c>
      <c r="BC506" t="s">
        <v>74</v>
      </c>
      <c r="BD506" t="s">
        <v>9465</v>
      </c>
      <c r="BE506" t="s">
        <v>9466</v>
      </c>
      <c r="BF506" t="str">
        <f>HYPERLINK("http://dx.doi.org/10.1029/2009JD012134","http://dx.doi.org/10.1029/2009JD012134")</f>
        <v>http://dx.doi.org/10.1029/2009JD012134</v>
      </c>
      <c r="BG506" t="s">
        <v>74</v>
      </c>
      <c r="BH506" t="s">
        <v>74</v>
      </c>
      <c r="BI506">
        <v>14</v>
      </c>
      <c r="BJ506" t="s">
        <v>413</v>
      </c>
      <c r="BK506" t="s">
        <v>98</v>
      </c>
      <c r="BL506" t="s">
        <v>413</v>
      </c>
      <c r="BM506" t="s">
        <v>9449</v>
      </c>
      <c r="BN506" t="s">
        <v>74</v>
      </c>
      <c r="BO506" t="s">
        <v>263</v>
      </c>
      <c r="BP506" t="s">
        <v>74</v>
      </c>
      <c r="BQ506" t="s">
        <v>74</v>
      </c>
      <c r="BR506" t="s">
        <v>101</v>
      </c>
      <c r="BS506" t="s">
        <v>9467</v>
      </c>
      <c r="BT506" t="str">
        <f>HYPERLINK("https%3A%2F%2Fwww.webofscience.com%2Fwos%2Fwoscc%2Ffull-record%2FWOS:000269636400006","View Full Record in Web of Science")</f>
        <v>View Full Record in Web of Science</v>
      </c>
    </row>
    <row r="507" spans="1:72" x14ac:dyDescent="0.15">
      <c r="A507" t="s">
        <v>72</v>
      </c>
      <c r="B507" t="s">
        <v>9468</v>
      </c>
      <c r="C507" t="s">
        <v>74</v>
      </c>
      <c r="D507" t="s">
        <v>74</v>
      </c>
      <c r="E507" t="s">
        <v>74</v>
      </c>
      <c r="F507" t="s">
        <v>9469</v>
      </c>
      <c r="G507" t="s">
        <v>74</v>
      </c>
      <c r="H507" t="s">
        <v>74</v>
      </c>
      <c r="I507" t="s">
        <v>9470</v>
      </c>
      <c r="J507" t="s">
        <v>395</v>
      </c>
      <c r="K507" t="s">
        <v>74</v>
      </c>
      <c r="L507" t="s">
        <v>74</v>
      </c>
      <c r="M507" t="s">
        <v>78</v>
      </c>
      <c r="N507" t="s">
        <v>79</v>
      </c>
      <c r="O507" t="s">
        <v>74</v>
      </c>
      <c r="P507" t="s">
        <v>74</v>
      </c>
      <c r="Q507" t="s">
        <v>74</v>
      </c>
      <c r="R507" t="s">
        <v>74</v>
      </c>
      <c r="S507" t="s">
        <v>74</v>
      </c>
      <c r="T507" t="s">
        <v>74</v>
      </c>
      <c r="U507" t="s">
        <v>9471</v>
      </c>
      <c r="V507" t="s">
        <v>9472</v>
      </c>
      <c r="W507" t="s">
        <v>9473</v>
      </c>
      <c r="X507" t="s">
        <v>9474</v>
      </c>
      <c r="Y507" t="s">
        <v>9475</v>
      </c>
      <c r="Z507" t="s">
        <v>9476</v>
      </c>
      <c r="AA507" t="s">
        <v>9477</v>
      </c>
      <c r="AB507" t="s">
        <v>9478</v>
      </c>
      <c r="AC507" t="s">
        <v>9479</v>
      </c>
      <c r="AD507" t="s">
        <v>9480</v>
      </c>
      <c r="AE507" t="s">
        <v>9481</v>
      </c>
      <c r="AF507" t="s">
        <v>74</v>
      </c>
      <c r="AG507">
        <v>45</v>
      </c>
      <c r="AH507">
        <v>28</v>
      </c>
      <c r="AI507">
        <v>28</v>
      </c>
      <c r="AJ507">
        <v>1</v>
      </c>
      <c r="AK507">
        <v>7</v>
      </c>
      <c r="AL507" t="s">
        <v>226</v>
      </c>
      <c r="AM507" t="s">
        <v>227</v>
      </c>
      <c r="AN507" t="s">
        <v>228</v>
      </c>
      <c r="AO507" t="s">
        <v>407</v>
      </c>
      <c r="AP507" t="s">
        <v>408</v>
      </c>
      <c r="AQ507" t="s">
        <v>74</v>
      </c>
      <c r="AR507" t="s">
        <v>409</v>
      </c>
      <c r="AS507" t="s">
        <v>410</v>
      </c>
      <c r="AT507" t="s">
        <v>9446</v>
      </c>
      <c r="AU507">
        <v>2009</v>
      </c>
      <c r="AV507">
        <v>114</v>
      </c>
      <c r="AW507" t="s">
        <v>74</v>
      </c>
      <c r="AX507" t="s">
        <v>74</v>
      </c>
      <c r="AY507" t="s">
        <v>74</v>
      </c>
      <c r="AZ507" t="s">
        <v>74</v>
      </c>
      <c r="BA507" t="s">
        <v>74</v>
      </c>
      <c r="BB507" t="s">
        <v>74</v>
      </c>
      <c r="BC507" t="s">
        <v>74</v>
      </c>
      <c r="BD507" t="s">
        <v>9482</v>
      </c>
      <c r="BE507" t="s">
        <v>9483</v>
      </c>
      <c r="BF507" t="str">
        <f>HYPERLINK("http://dx.doi.org/10.1029/2008JD011583","http://dx.doi.org/10.1029/2008JD011583")</f>
        <v>http://dx.doi.org/10.1029/2008JD011583</v>
      </c>
      <c r="BG507" t="s">
        <v>74</v>
      </c>
      <c r="BH507" t="s">
        <v>74</v>
      </c>
      <c r="BI507">
        <v>19</v>
      </c>
      <c r="BJ507" t="s">
        <v>413</v>
      </c>
      <c r="BK507" t="s">
        <v>98</v>
      </c>
      <c r="BL507" t="s">
        <v>413</v>
      </c>
      <c r="BM507" t="s">
        <v>9449</v>
      </c>
      <c r="BN507" t="s">
        <v>74</v>
      </c>
      <c r="BO507" t="s">
        <v>263</v>
      </c>
      <c r="BP507" t="s">
        <v>74</v>
      </c>
      <c r="BQ507" t="s">
        <v>74</v>
      </c>
      <c r="BR507" t="s">
        <v>101</v>
      </c>
      <c r="BS507" t="s">
        <v>9484</v>
      </c>
      <c r="BT507" t="str">
        <f>HYPERLINK("https%3A%2F%2Fwww.webofscience.com%2Fwos%2Fwoscc%2Ffull-record%2FWOS:000269636400001","View Full Record in Web of Science")</f>
        <v>View Full Record in Web of Science</v>
      </c>
    </row>
    <row r="508" spans="1:72" x14ac:dyDescent="0.15">
      <c r="A508" t="s">
        <v>72</v>
      </c>
      <c r="B508" t="s">
        <v>9485</v>
      </c>
      <c r="C508" t="s">
        <v>74</v>
      </c>
      <c r="D508" t="s">
        <v>74</v>
      </c>
      <c r="E508" t="s">
        <v>74</v>
      </c>
      <c r="F508" t="s">
        <v>9486</v>
      </c>
      <c r="G508" t="s">
        <v>74</v>
      </c>
      <c r="H508" t="s">
        <v>74</v>
      </c>
      <c r="I508" t="s">
        <v>9487</v>
      </c>
      <c r="J508" t="s">
        <v>9488</v>
      </c>
      <c r="K508" t="s">
        <v>74</v>
      </c>
      <c r="L508" t="s">
        <v>74</v>
      </c>
      <c r="M508" t="s">
        <v>78</v>
      </c>
      <c r="N508" t="s">
        <v>79</v>
      </c>
      <c r="O508" t="s">
        <v>74</v>
      </c>
      <c r="P508" t="s">
        <v>74</v>
      </c>
      <c r="Q508" t="s">
        <v>74</v>
      </c>
      <c r="R508" t="s">
        <v>74</v>
      </c>
      <c r="S508" t="s">
        <v>74</v>
      </c>
      <c r="T508" t="s">
        <v>9489</v>
      </c>
      <c r="U508" t="s">
        <v>9490</v>
      </c>
      <c r="V508" t="s">
        <v>9491</v>
      </c>
      <c r="W508" t="s">
        <v>9492</v>
      </c>
      <c r="X508" t="s">
        <v>9493</v>
      </c>
      <c r="Y508" t="s">
        <v>9494</v>
      </c>
      <c r="Z508" t="s">
        <v>9495</v>
      </c>
      <c r="AA508" t="s">
        <v>74</v>
      </c>
      <c r="AB508" t="s">
        <v>9496</v>
      </c>
      <c r="AC508" t="s">
        <v>74</v>
      </c>
      <c r="AD508" t="s">
        <v>74</v>
      </c>
      <c r="AE508" t="s">
        <v>74</v>
      </c>
      <c r="AF508" t="s">
        <v>74</v>
      </c>
      <c r="AG508">
        <v>37</v>
      </c>
      <c r="AH508">
        <v>29</v>
      </c>
      <c r="AI508">
        <v>41</v>
      </c>
      <c r="AJ508">
        <v>4</v>
      </c>
      <c r="AK508">
        <v>42</v>
      </c>
      <c r="AL508" t="s">
        <v>305</v>
      </c>
      <c r="AM508" t="s">
        <v>281</v>
      </c>
      <c r="AN508" t="s">
        <v>306</v>
      </c>
      <c r="AO508" t="s">
        <v>9497</v>
      </c>
      <c r="AP508" t="s">
        <v>9498</v>
      </c>
      <c r="AQ508" t="s">
        <v>74</v>
      </c>
      <c r="AR508" t="s">
        <v>9499</v>
      </c>
      <c r="AS508" t="s">
        <v>9500</v>
      </c>
      <c r="AT508" t="s">
        <v>9501</v>
      </c>
      <c r="AU508">
        <v>2009</v>
      </c>
      <c r="AV508">
        <v>1216</v>
      </c>
      <c r="AW508">
        <v>36</v>
      </c>
      <c r="AX508" t="s">
        <v>74</v>
      </c>
      <c r="AY508" t="s">
        <v>74</v>
      </c>
      <c r="AZ508" t="s">
        <v>74</v>
      </c>
      <c r="BA508" t="s">
        <v>74</v>
      </c>
      <c r="BB508">
        <v>6424</v>
      </c>
      <c r="BC508">
        <v>6432</v>
      </c>
      <c r="BD508" t="s">
        <v>74</v>
      </c>
      <c r="BE508" t="s">
        <v>9502</v>
      </c>
      <c r="BF508" t="str">
        <f>HYPERLINK("http://dx.doi.org/10.1016/j.chroma.2009.07.014","http://dx.doi.org/10.1016/j.chroma.2009.07.014")</f>
        <v>http://dx.doi.org/10.1016/j.chroma.2009.07.014</v>
      </c>
      <c r="BG508" t="s">
        <v>74</v>
      </c>
      <c r="BH508" t="s">
        <v>74</v>
      </c>
      <c r="BI508">
        <v>9</v>
      </c>
      <c r="BJ508" t="s">
        <v>9503</v>
      </c>
      <c r="BK508" t="s">
        <v>98</v>
      </c>
      <c r="BL508" t="s">
        <v>6935</v>
      </c>
      <c r="BM508" t="s">
        <v>9504</v>
      </c>
      <c r="BN508">
        <v>19651413</v>
      </c>
      <c r="BO508" t="s">
        <v>74</v>
      </c>
      <c r="BP508" t="s">
        <v>74</v>
      </c>
      <c r="BQ508" t="s">
        <v>74</v>
      </c>
      <c r="BR508" t="s">
        <v>101</v>
      </c>
      <c r="BS508" t="s">
        <v>9505</v>
      </c>
      <c r="BT508" t="str">
        <f>HYPERLINK("https%3A%2F%2Fwww.webofscience.com%2Fwos%2Fwoscc%2Ffull-record%2FWOS:000269393700011","View Full Record in Web of Science")</f>
        <v>View Full Record in Web of Science</v>
      </c>
    </row>
    <row r="509" spans="1:72" x14ac:dyDescent="0.15">
      <c r="A509" t="s">
        <v>72</v>
      </c>
      <c r="B509" t="s">
        <v>9506</v>
      </c>
      <c r="C509" t="s">
        <v>74</v>
      </c>
      <c r="D509" t="s">
        <v>74</v>
      </c>
      <c r="E509" t="s">
        <v>74</v>
      </c>
      <c r="F509" t="s">
        <v>9507</v>
      </c>
      <c r="G509" t="s">
        <v>74</v>
      </c>
      <c r="H509" t="s">
        <v>74</v>
      </c>
      <c r="I509" t="s">
        <v>9508</v>
      </c>
      <c r="J509" t="s">
        <v>789</v>
      </c>
      <c r="K509" t="s">
        <v>74</v>
      </c>
      <c r="L509" t="s">
        <v>74</v>
      </c>
      <c r="M509" t="s">
        <v>78</v>
      </c>
      <c r="N509" t="s">
        <v>79</v>
      </c>
      <c r="O509" t="s">
        <v>74</v>
      </c>
      <c r="P509" t="s">
        <v>74</v>
      </c>
      <c r="Q509" t="s">
        <v>74</v>
      </c>
      <c r="R509" t="s">
        <v>74</v>
      </c>
      <c r="S509" t="s">
        <v>74</v>
      </c>
      <c r="T509" t="s">
        <v>74</v>
      </c>
      <c r="U509" t="s">
        <v>9509</v>
      </c>
      <c r="V509" t="s">
        <v>9510</v>
      </c>
      <c r="W509" t="s">
        <v>9511</v>
      </c>
      <c r="X509" t="s">
        <v>9512</v>
      </c>
      <c r="Y509" t="s">
        <v>9513</v>
      </c>
      <c r="Z509" t="s">
        <v>9514</v>
      </c>
      <c r="AA509" t="s">
        <v>9515</v>
      </c>
      <c r="AB509" t="s">
        <v>9516</v>
      </c>
      <c r="AC509" t="s">
        <v>9517</v>
      </c>
      <c r="AD509" t="s">
        <v>9517</v>
      </c>
      <c r="AE509" t="s">
        <v>9518</v>
      </c>
      <c r="AF509" t="s">
        <v>74</v>
      </c>
      <c r="AG509">
        <v>70</v>
      </c>
      <c r="AH509">
        <v>57</v>
      </c>
      <c r="AI509">
        <v>58</v>
      </c>
      <c r="AJ509">
        <v>2</v>
      </c>
      <c r="AK509">
        <v>23</v>
      </c>
      <c r="AL509" t="s">
        <v>226</v>
      </c>
      <c r="AM509" t="s">
        <v>227</v>
      </c>
      <c r="AN509" t="s">
        <v>228</v>
      </c>
      <c r="AO509" t="s">
        <v>800</v>
      </c>
      <c r="AP509" t="s">
        <v>801</v>
      </c>
      <c r="AQ509" t="s">
        <v>74</v>
      </c>
      <c r="AR509" t="s">
        <v>802</v>
      </c>
      <c r="AS509" t="s">
        <v>803</v>
      </c>
      <c r="AT509" t="s">
        <v>9501</v>
      </c>
      <c r="AU509">
        <v>2009</v>
      </c>
      <c r="AV509">
        <v>114</v>
      </c>
      <c r="AW509" t="s">
        <v>74</v>
      </c>
      <c r="AX509" t="s">
        <v>74</v>
      </c>
      <c r="AY509" t="s">
        <v>74</v>
      </c>
      <c r="AZ509" t="s">
        <v>74</v>
      </c>
      <c r="BA509" t="s">
        <v>74</v>
      </c>
      <c r="BB509" t="s">
        <v>74</v>
      </c>
      <c r="BC509" t="s">
        <v>74</v>
      </c>
      <c r="BD509" t="s">
        <v>9519</v>
      </c>
      <c r="BE509" t="s">
        <v>9520</v>
      </c>
      <c r="BF509" t="str">
        <f>HYPERLINK("http://dx.doi.org/10.1029/2008JC005237","http://dx.doi.org/10.1029/2008JC005237")</f>
        <v>http://dx.doi.org/10.1029/2008JC005237</v>
      </c>
      <c r="BG509" t="s">
        <v>74</v>
      </c>
      <c r="BH509" t="s">
        <v>74</v>
      </c>
      <c r="BI509">
        <v>17</v>
      </c>
      <c r="BJ509" t="s">
        <v>806</v>
      </c>
      <c r="BK509" t="s">
        <v>98</v>
      </c>
      <c r="BL509" t="s">
        <v>806</v>
      </c>
      <c r="BM509" t="s">
        <v>9521</v>
      </c>
      <c r="BN509" t="s">
        <v>74</v>
      </c>
      <c r="BO509" t="s">
        <v>491</v>
      </c>
      <c r="BP509" t="s">
        <v>74</v>
      </c>
      <c r="BQ509" t="s">
        <v>74</v>
      </c>
      <c r="BR509" t="s">
        <v>101</v>
      </c>
      <c r="BS509" t="s">
        <v>9522</v>
      </c>
      <c r="BT509" t="str">
        <f>HYPERLINK("https%3A%2F%2Fwww.webofscience.com%2Fwos%2Fwoscc%2Ffull-record%2FWOS:000269637600001","View Full Record in Web of Science")</f>
        <v>View Full Record in Web of Science</v>
      </c>
    </row>
    <row r="510" spans="1:72" x14ac:dyDescent="0.15">
      <c r="A510" t="s">
        <v>72</v>
      </c>
      <c r="B510" t="s">
        <v>9523</v>
      </c>
      <c r="C510" t="s">
        <v>74</v>
      </c>
      <c r="D510" t="s">
        <v>74</v>
      </c>
      <c r="E510" t="s">
        <v>74</v>
      </c>
      <c r="F510" t="s">
        <v>9524</v>
      </c>
      <c r="G510" t="s">
        <v>74</v>
      </c>
      <c r="H510" t="s">
        <v>74</v>
      </c>
      <c r="I510" t="s">
        <v>9525</v>
      </c>
      <c r="J510" t="s">
        <v>789</v>
      </c>
      <c r="K510" t="s">
        <v>74</v>
      </c>
      <c r="L510" t="s">
        <v>74</v>
      </c>
      <c r="M510" t="s">
        <v>78</v>
      </c>
      <c r="N510" t="s">
        <v>79</v>
      </c>
      <c r="O510" t="s">
        <v>74</v>
      </c>
      <c r="P510" t="s">
        <v>74</v>
      </c>
      <c r="Q510" t="s">
        <v>74</v>
      </c>
      <c r="R510" t="s">
        <v>74</v>
      </c>
      <c r="S510" t="s">
        <v>74</v>
      </c>
      <c r="T510" t="s">
        <v>74</v>
      </c>
      <c r="U510" t="s">
        <v>9526</v>
      </c>
      <c r="V510" t="s">
        <v>9527</v>
      </c>
      <c r="W510" t="s">
        <v>9528</v>
      </c>
      <c r="X510" t="s">
        <v>9529</v>
      </c>
      <c r="Y510" t="s">
        <v>9530</v>
      </c>
      <c r="Z510" t="s">
        <v>9531</v>
      </c>
      <c r="AA510" t="s">
        <v>9532</v>
      </c>
      <c r="AB510" t="s">
        <v>9533</v>
      </c>
      <c r="AC510" t="s">
        <v>9534</v>
      </c>
      <c r="AD510" t="s">
        <v>9535</v>
      </c>
      <c r="AE510" t="s">
        <v>9536</v>
      </c>
      <c r="AF510" t="s">
        <v>74</v>
      </c>
      <c r="AG510">
        <v>23</v>
      </c>
      <c r="AH510">
        <v>15</v>
      </c>
      <c r="AI510">
        <v>17</v>
      </c>
      <c r="AJ510">
        <v>0</v>
      </c>
      <c r="AK510">
        <v>15</v>
      </c>
      <c r="AL510" t="s">
        <v>226</v>
      </c>
      <c r="AM510" t="s">
        <v>227</v>
      </c>
      <c r="AN510" t="s">
        <v>228</v>
      </c>
      <c r="AO510" t="s">
        <v>800</v>
      </c>
      <c r="AP510" t="s">
        <v>801</v>
      </c>
      <c r="AQ510" t="s">
        <v>74</v>
      </c>
      <c r="AR510" t="s">
        <v>802</v>
      </c>
      <c r="AS510" t="s">
        <v>803</v>
      </c>
      <c r="AT510" t="s">
        <v>9537</v>
      </c>
      <c r="AU510">
        <v>2009</v>
      </c>
      <c r="AV510">
        <v>114</v>
      </c>
      <c r="AW510" t="s">
        <v>74</v>
      </c>
      <c r="AX510" t="s">
        <v>74</v>
      </c>
      <c r="AY510" t="s">
        <v>74</v>
      </c>
      <c r="AZ510" t="s">
        <v>74</v>
      </c>
      <c r="BA510" t="s">
        <v>74</v>
      </c>
      <c r="BB510" t="s">
        <v>74</v>
      </c>
      <c r="BC510" t="s">
        <v>74</v>
      </c>
      <c r="BD510" t="s">
        <v>9538</v>
      </c>
      <c r="BE510" t="s">
        <v>9539</v>
      </c>
      <c r="BF510" t="str">
        <f>HYPERLINK("http://dx.doi.org/10.1029/2008JC004935","http://dx.doi.org/10.1029/2008JC004935")</f>
        <v>http://dx.doi.org/10.1029/2008JC004935</v>
      </c>
      <c r="BG510" t="s">
        <v>74</v>
      </c>
      <c r="BH510" t="s">
        <v>74</v>
      </c>
      <c r="BI510">
        <v>10</v>
      </c>
      <c r="BJ510" t="s">
        <v>806</v>
      </c>
      <c r="BK510" t="s">
        <v>98</v>
      </c>
      <c r="BL510" t="s">
        <v>806</v>
      </c>
      <c r="BM510" t="s">
        <v>9540</v>
      </c>
      <c r="BN510" t="s">
        <v>74</v>
      </c>
      <c r="BO510" t="s">
        <v>467</v>
      </c>
      <c r="BP510" t="s">
        <v>74</v>
      </c>
      <c r="BQ510" t="s">
        <v>74</v>
      </c>
      <c r="BR510" t="s">
        <v>101</v>
      </c>
      <c r="BS510" t="s">
        <v>9541</v>
      </c>
      <c r="BT510" t="str">
        <f>HYPERLINK("https%3A%2F%2Fwww.webofscience.com%2Fwos%2Fwoscc%2Ffull-record%2FWOS:000269637300001","View Full Record in Web of Science")</f>
        <v>View Full Record in Web of Science</v>
      </c>
    </row>
    <row r="511" spans="1:72" x14ac:dyDescent="0.15">
      <c r="A511" t="s">
        <v>72</v>
      </c>
      <c r="B511" t="s">
        <v>9542</v>
      </c>
      <c r="C511" t="s">
        <v>74</v>
      </c>
      <c r="D511" t="s">
        <v>74</v>
      </c>
      <c r="E511" t="s">
        <v>74</v>
      </c>
      <c r="F511" t="s">
        <v>9543</v>
      </c>
      <c r="G511" t="s">
        <v>74</v>
      </c>
      <c r="H511" t="s">
        <v>74</v>
      </c>
      <c r="I511" t="s">
        <v>9544</v>
      </c>
      <c r="J511" t="s">
        <v>987</v>
      </c>
      <c r="K511" t="s">
        <v>74</v>
      </c>
      <c r="L511" t="s">
        <v>74</v>
      </c>
      <c r="M511" t="s">
        <v>78</v>
      </c>
      <c r="N511" t="s">
        <v>79</v>
      </c>
      <c r="O511" t="s">
        <v>74</v>
      </c>
      <c r="P511" t="s">
        <v>74</v>
      </c>
      <c r="Q511" t="s">
        <v>74</v>
      </c>
      <c r="R511" t="s">
        <v>74</v>
      </c>
      <c r="S511" t="s">
        <v>74</v>
      </c>
      <c r="T511" t="s">
        <v>74</v>
      </c>
      <c r="U511" t="s">
        <v>9545</v>
      </c>
      <c r="V511" t="s">
        <v>9546</v>
      </c>
      <c r="W511" t="s">
        <v>9547</v>
      </c>
      <c r="X511" t="s">
        <v>9548</v>
      </c>
      <c r="Y511" t="s">
        <v>9549</v>
      </c>
      <c r="Z511" t="s">
        <v>9550</v>
      </c>
      <c r="AA511" t="s">
        <v>7025</v>
      </c>
      <c r="AB511" t="s">
        <v>9551</v>
      </c>
      <c r="AC511" t="s">
        <v>9552</v>
      </c>
      <c r="AD511" t="s">
        <v>730</v>
      </c>
      <c r="AE511" t="s">
        <v>74</v>
      </c>
      <c r="AF511" t="s">
        <v>74</v>
      </c>
      <c r="AG511">
        <v>61</v>
      </c>
      <c r="AH511">
        <v>25</v>
      </c>
      <c r="AI511">
        <v>26</v>
      </c>
      <c r="AJ511">
        <v>0</v>
      </c>
      <c r="AK511">
        <v>11</v>
      </c>
      <c r="AL511" t="s">
        <v>226</v>
      </c>
      <c r="AM511" t="s">
        <v>227</v>
      </c>
      <c r="AN511" t="s">
        <v>228</v>
      </c>
      <c r="AO511" t="s">
        <v>997</v>
      </c>
      <c r="AP511" t="s">
        <v>998</v>
      </c>
      <c r="AQ511" t="s">
        <v>74</v>
      </c>
      <c r="AR511" t="s">
        <v>999</v>
      </c>
      <c r="AS511" t="s">
        <v>1000</v>
      </c>
      <c r="AT511" t="s">
        <v>9553</v>
      </c>
      <c r="AU511">
        <v>2009</v>
      </c>
      <c r="AV511">
        <v>114</v>
      </c>
      <c r="AW511" t="s">
        <v>74</v>
      </c>
      <c r="AX511" t="s">
        <v>74</v>
      </c>
      <c r="AY511" t="s">
        <v>74</v>
      </c>
      <c r="AZ511" t="s">
        <v>74</v>
      </c>
      <c r="BA511" t="s">
        <v>74</v>
      </c>
      <c r="BB511" t="s">
        <v>74</v>
      </c>
      <c r="BC511" t="s">
        <v>74</v>
      </c>
      <c r="BD511" t="s">
        <v>9554</v>
      </c>
      <c r="BE511" t="s">
        <v>9555</v>
      </c>
      <c r="BF511" t="str">
        <f>HYPERLINK("http://dx.doi.org/10.1029/2009JA014263","http://dx.doi.org/10.1029/2009JA014263")</f>
        <v>http://dx.doi.org/10.1029/2009JA014263</v>
      </c>
      <c r="BG511" t="s">
        <v>74</v>
      </c>
      <c r="BH511" t="s">
        <v>74</v>
      </c>
      <c r="BI511">
        <v>14</v>
      </c>
      <c r="BJ511" t="s">
        <v>1003</v>
      </c>
      <c r="BK511" t="s">
        <v>98</v>
      </c>
      <c r="BL511" t="s">
        <v>1003</v>
      </c>
      <c r="BM511" t="s">
        <v>9556</v>
      </c>
      <c r="BN511" t="s">
        <v>74</v>
      </c>
      <c r="BO511" t="s">
        <v>263</v>
      </c>
      <c r="BP511" t="s">
        <v>74</v>
      </c>
      <c r="BQ511" t="s">
        <v>74</v>
      </c>
      <c r="BR511" t="s">
        <v>101</v>
      </c>
      <c r="BS511" t="s">
        <v>9557</v>
      </c>
      <c r="BT511" t="str">
        <f>HYPERLINK("https%3A%2F%2Fwww.webofscience.com%2Fwos%2Fwoscc%2Ffull-record%2FWOS:000269641700001","View Full Record in Web of Science")</f>
        <v>View Full Record in Web of Science</v>
      </c>
    </row>
    <row r="512" spans="1:72" x14ac:dyDescent="0.15">
      <c r="A512" t="s">
        <v>72</v>
      </c>
      <c r="B512" t="s">
        <v>9558</v>
      </c>
      <c r="C512" t="s">
        <v>74</v>
      </c>
      <c r="D512" t="s">
        <v>74</v>
      </c>
      <c r="E512" t="s">
        <v>74</v>
      </c>
      <c r="F512" t="s">
        <v>9559</v>
      </c>
      <c r="G512" t="s">
        <v>74</v>
      </c>
      <c r="H512" t="s">
        <v>74</v>
      </c>
      <c r="I512" t="s">
        <v>9560</v>
      </c>
      <c r="J512" t="s">
        <v>1034</v>
      </c>
      <c r="K512" t="s">
        <v>74</v>
      </c>
      <c r="L512" t="s">
        <v>74</v>
      </c>
      <c r="M512" t="s">
        <v>78</v>
      </c>
      <c r="N512" t="s">
        <v>79</v>
      </c>
      <c r="O512" t="s">
        <v>74</v>
      </c>
      <c r="P512" t="s">
        <v>74</v>
      </c>
      <c r="Q512" t="s">
        <v>74</v>
      </c>
      <c r="R512" t="s">
        <v>74</v>
      </c>
      <c r="S512" t="s">
        <v>74</v>
      </c>
      <c r="T512" t="s">
        <v>9561</v>
      </c>
      <c r="U512" t="s">
        <v>9562</v>
      </c>
      <c r="V512" t="s">
        <v>9563</v>
      </c>
      <c r="W512" t="s">
        <v>9564</v>
      </c>
      <c r="X512" t="s">
        <v>9565</v>
      </c>
      <c r="Y512" t="s">
        <v>9566</v>
      </c>
      <c r="Z512" t="s">
        <v>9567</v>
      </c>
      <c r="AA512" t="s">
        <v>9568</v>
      </c>
      <c r="AB512" t="s">
        <v>9569</v>
      </c>
      <c r="AC512" t="s">
        <v>9570</v>
      </c>
      <c r="AD512" t="s">
        <v>9570</v>
      </c>
      <c r="AE512" t="s">
        <v>9571</v>
      </c>
      <c r="AF512" t="s">
        <v>74</v>
      </c>
      <c r="AG512">
        <v>83</v>
      </c>
      <c r="AH512">
        <v>55</v>
      </c>
      <c r="AI512">
        <v>55</v>
      </c>
      <c r="AJ512">
        <v>0</v>
      </c>
      <c r="AK512">
        <v>15</v>
      </c>
      <c r="AL512" t="s">
        <v>1044</v>
      </c>
      <c r="AM512" t="s">
        <v>1045</v>
      </c>
      <c r="AN512" t="s">
        <v>1046</v>
      </c>
      <c r="AO512" t="s">
        <v>1047</v>
      </c>
      <c r="AP512" t="s">
        <v>1048</v>
      </c>
      <c r="AQ512" t="s">
        <v>74</v>
      </c>
      <c r="AR512" t="s">
        <v>1049</v>
      </c>
      <c r="AS512" t="s">
        <v>1050</v>
      </c>
      <c r="AT512" t="s">
        <v>9572</v>
      </c>
      <c r="AU512">
        <v>2009</v>
      </c>
      <c r="AV512">
        <v>31</v>
      </c>
      <c r="AW512">
        <v>2</v>
      </c>
      <c r="AX512" t="s">
        <v>74</v>
      </c>
      <c r="AY512" t="s">
        <v>74</v>
      </c>
      <c r="AZ512" t="s">
        <v>74</v>
      </c>
      <c r="BA512" t="s">
        <v>74</v>
      </c>
      <c r="BB512">
        <v>191</v>
      </c>
      <c r="BC512">
        <v>204</v>
      </c>
      <c r="BD512" t="s">
        <v>74</v>
      </c>
      <c r="BE512" t="s">
        <v>9573</v>
      </c>
      <c r="BF512" t="str">
        <f>HYPERLINK("http://dx.doi.org/10.2989/AJMS.2009.31.2.7.879","http://dx.doi.org/10.2989/AJMS.2009.31.2.7.879")</f>
        <v>http://dx.doi.org/10.2989/AJMS.2009.31.2.7.879</v>
      </c>
      <c r="BG512" t="s">
        <v>74</v>
      </c>
      <c r="BH512" t="s">
        <v>74</v>
      </c>
      <c r="BI512">
        <v>14</v>
      </c>
      <c r="BJ512" t="s">
        <v>1052</v>
      </c>
      <c r="BK512" t="s">
        <v>98</v>
      </c>
      <c r="BL512" t="s">
        <v>1052</v>
      </c>
      <c r="BM512" t="s">
        <v>9574</v>
      </c>
      <c r="BN512" t="s">
        <v>74</v>
      </c>
      <c r="BO512" t="s">
        <v>74</v>
      </c>
      <c r="BP512" t="s">
        <v>74</v>
      </c>
      <c r="BQ512" t="s">
        <v>74</v>
      </c>
      <c r="BR512" t="s">
        <v>101</v>
      </c>
      <c r="BS512" t="s">
        <v>9575</v>
      </c>
      <c r="BT512" t="str">
        <f>HYPERLINK("https%3A%2F%2Fwww.webofscience.com%2Fwos%2Fwoscc%2Ffull-record%2FWOS:000270751400007","View Full Record in Web of Science")</f>
        <v>View Full Record in Web of Science</v>
      </c>
    </row>
    <row r="513" spans="1:72" x14ac:dyDescent="0.15">
      <c r="A513" t="s">
        <v>72</v>
      </c>
      <c r="B513" t="s">
        <v>9576</v>
      </c>
      <c r="C513" t="s">
        <v>74</v>
      </c>
      <c r="D513" t="s">
        <v>74</v>
      </c>
      <c r="E513" t="s">
        <v>74</v>
      </c>
      <c r="F513" t="s">
        <v>9577</v>
      </c>
      <c r="G513" t="s">
        <v>74</v>
      </c>
      <c r="H513" t="s">
        <v>74</v>
      </c>
      <c r="I513" t="s">
        <v>9578</v>
      </c>
      <c r="J513" t="s">
        <v>1034</v>
      </c>
      <c r="K513" t="s">
        <v>74</v>
      </c>
      <c r="L513" t="s">
        <v>74</v>
      </c>
      <c r="M513" t="s">
        <v>78</v>
      </c>
      <c r="N513" t="s">
        <v>79</v>
      </c>
      <c r="O513" t="s">
        <v>74</v>
      </c>
      <c r="P513" t="s">
        <v>74</v>
      </c>
      <c r="Q513" t="s">
        <v>74</v>
      </c>
      <c r="R513" t="s">
        <v>74</v>
      </c>
      <c r="S513" t="s">
        <v>74</v>
      </c>
      <c r="T513" t="s">
        <v>9579</v>
      </c>
      <c r="U513" t="s">
        <v>9580</v>
      </c>
      <c r="V513" t="s">
        <v>9581</v>
      </c>
      <c r="W513" t="s">
        <v>9582</v>
      </c>
      <c r="X513" t="s">
        <v>9583</v>
      </c>
      <c r="Y513" t="s">
        <v>9584</v>
      </c>
      <c r="Z513" t="s">
        <v>9567</v>
      </c>
      <c r="AA513" t="s">
        <v>9568</v>
      </c>
      <c r="AB513" t="s">
        <v>9585</v>
      </c>
      <c r="AC513" t="s">
        <v>9586</v>
      </c>
      <c r="AD513" t="s">
        <v>9586</v>
      </c>
      <c r="AE513" t="s">
        <v>9587</v>
      </c>
      <c r="AF513" t="s">
        <v>74</v>
      </c>
      <c r="AG513">
        <v>63</v>
      </c>
      <c r="AH513">
        <v>15</v>
      </c>
      <c r="AI513">
        <v>18</v>
      </c>
      <c r="AJ513">
        <v>2</v>
      </c>
      <c r="AK513">
        <v>12</v>
      </c>
      <c r="AL513" t="s">
        <v>1044</v>
      </c>
      <c r="AM513" t="s">
        <v>1045</v>
      </c>
      <c r="AN513" t="s">
        <v>1046</v>
      </c>
      <c r="AO513" t="s">
        <v>1047</v>
      </c>
      <c r="AP513" t="s">
        <v>1048</v>
      </c>
      <c r="AQ513" t="s">
        <v>74</v>
      </c>
      <c r="AR513" t="s">
        <v>1049</v>
      </c>
      <c r="AS513" t="s">
        <v>1050</v>
      </c>
      <c r="AT513" t="s">
        <v>9572</v>
      </c>
      <c r="AU513">
        <v>2009</v>
      </c>
      <c r="AV513">
        <v>31</v>
      </c>
      <c r="AW513">
        <v>2</v>
      </c>
      <c r="AX513" t="s">
        <v>74</v>
      </c>
      <c r="AY513" t="s">
        <v>74</v>
      </c>
      <c r="AZ513" t="s">
        <v>74</v>
      </c>
      <c r="BA513" t="s">
        <v>74</v>
      </c>
      <c r="BB513">
        <v>205</v>
      </c>
      <c r="BC513">
        <v>214</v>
      </c>
      <c r="BD513" t="s">
        <v>74</v>
      </c>
      <c r="BE513" t="s">
        <v>9588</v>
      </c>
      <c r="BF513" t="str">
        <f>HYPERLINK("http://dx.doi.org/10.2989/AJMS.2009.31.2.8.880","http://dx.doi.org/10.2989/AJMS.2009.31.2.8.880")</f>
        <v>http://dx.doi.org/10.2989/AJMS.2009.31.2.8.880</v>
      </c>
      <c r="BG513" t="s">
        <v>74</v>
      </c>
      <c r="BH513" t="s">
        <v>74</v>
      </c>
      <c r="BI513">
        <v>10</v>
      </c>
      <c r="BJ513" t="s">
        <v>1052</v>
      </c>
      <c r="BK513" t="s">
        <v>98</v>
      </c>
      <c r="BL513" t="s">
        <v>1052</v>
      </c>
      <c r="BM513" t="s">
        <v>9574</v>
      </c>
      <c r="BN513" t="s">
        <v>74</v>
      </c>
      <c r="BO513" t="s">
        <v>74</v>
      </c>
      <c r="BP513" t="s">
        <v>74</v>
      </c>
      <c r="BQ513" t="s">
        <v>74</v>
      </c>
      <c r="BR513" t="s">
        <v>101</v>
      </c>
      <c r="BS513" t="s">
        <v>9589</v>
      </c>
      <c r="BT513" t="str">
        <f>HYPERLINK("https%3A%2F%2Fwww.webofscience.com%2Fwos%2Fwoscc%2Ffull-record%2FWOS:000270751400008","View Full Record in Web of Science")</f>
        <v>View Full Record in Web of Science</v>
      </c>
    </row>
    <row r="514" spans="1:72" x14ac:dyDescent="0.15">
      <c r="A514" t="s">
        <v>72</v>
      </c>
      <c r="B514" t="s">
        <v>9590</v>
      </c>
      <c r="C514" t="s">
        <v>74</v>
      </c>
      <c r="D514" t="s">
        <v>74</v>
      </c>
      <c r="E514" t="s">
        <v>74</v>
      </c>
      <c r="F514" t="s">
        <v>9591</v>
      </c>
      <c r="G514" t="s">
        <v>74</v>
      </c>
      <c r="H514" t="s">
        <v>74</v>
      </c>
      <c r="I514" t="s">
        <v>9592</v>
      </c>
      <c r="J514" t="s">
        <v>1034</v>
      </c>
      <c r="K514" t="s">
        <v>74</v>
      </c>
      <c r="L514" t="s">
        <v>74</v>
      </c>
      <c r="M514" t="s">
        <v>78</v>
      </c>
      <c r="N514" t="s">
        <v>79</v>
      </c>
      <c r="O514" t="s">
        <v>74</v>
      </c>
      <c r="P514" t="s">
        <v>74</v>
      </c>
      <c r="Q514" t="s">
        <v>74</v>
      </c>
      <c r="R514" t="s">
        <v>74</v>
      </c>
      <c r="S514" t="s">
        <v>74</v>
      </c>
      <c r="T514" t="s">
        <v>9593</v>
      </c>
      <c r="U514" t="s">
        <v>9594</v>
      </c>
      <c r="V514" t="s">
        <v>9595</v>
      </c>
      <c r="W514" t="s">
        <v>9596</v>
      </c>
      <c r="X514" t="s">
        <v>9597</v>
      </c>
      <c r="Y514" t="s">
        <v>9598</v>
      </c>
      <c r="Z514" t="s">
        <v>9567</v>
      </c>
      <c r="AA514" t="s">
        <v>9568</v>
      </c>
      <c r="AB514" t="s">
        <v>9585</v>
      </c>
      <c r="AC514" t="s">
        <v>9599</v>
      </c>
      <c r="AD514" t="s">
        <v>9599</v>
      </c>
      <c r="AE514" t="s">
        <v>9600</v>
      </c>
      <c r="AF514" t="s">
        <v>74</v>
      </c>
      <c r="AG514">
        <v>55</v>
      </c>
      <c r="AH514">
        <v>33</v>
      </c>
      <c r="AI514">
        <v>40</v>
      </c>
      <c r="AJ514">
        <v>2</v>
      </c>
      <c r="AK514">
        <v>46</v>
      </c>
      <c r="AL514" t="s">
        <v>1044</v>
      </c>
      <c r="AM514" t="s">
        <v>1045</v>
      </c>
      <c r="AN514" t="s">
        <v>1046</v>
      </c>
      <c r="AO514" t="s">
        <v>1047</v>
      </c>
      <c r="AP514" t="s">
        <v>74</v>
      </c>
      <c r="AQ514" t="s">
        <v>74</v>
      </c>
      <c r="AR514" t="s">
        <v>1049</v>
      </c>
      <c r="AS514" t="s">
        <v>1050</v>
      </c>
      <c r="AT514" t="s">
        <v>9572</v>
      </c>
      <c r="AU514">
        <v>2009</v>
      </c>
      <c r="AV514">
        <v>31</v>
      </c>
      <c r="AW514">
        <v>2</v>
      </c>
      <c r="AX514" t="s">
        <v>74</v>
      </c>
      <c r="AY514" t="s">
        <v>74</v>
      </c>
      <c r="AZ514" t="s">
        <v>74</v>
      </c>
      <c r="BA514" t="s">
        <v>74</v>
      </c>
      <c r="BB514">
        <v>215</v>
      </c>
      <c r="BC514">
        <v>225</v>
      </c>
      <c r="BD514" t="s">
        <v>74</v>
      </c>
      <c r="BE514" t="s">
        <v>9601</v>
      </c>
      <c r="BF514" t="str">
        <f>HYPERLINK("http://dx.doi.org/10.2989/AJMS.2009.31.2.9.881","http://dx.doi.org/10.2989/AJMS.2009.31.2.9.881")</f>
        <v>http://dx.doi.org/10.2989/AJMS.2009.31.2.9.881</v>
      </c>
      <c r="BG514" t="s">
        <v>74</v>
      </c>
      <c r="BH514" t="s">
        <v>74</v>
      </c>
      <c r="BI514">
        <v>11</v>
      </c>
      <c r="BJ514" t="s">
        <v>1052</v>
      </c>
      <c r="BK514" t="s">
        <v>98</v>
      </c>
      <c r="BL514" t="s">
        <v>1052</v>
      </c>
      <c r="BM514" t="s">
        <v>9574</v>
      </c>
      <c r="BN514" t="s">
        <v>74</v>
      </c>
      <c r="BO514" t="s">
        <v>74</v>
      </c>
      <c r="BP514" t="s">
        <v>74</v>
      </c>
      <c r="BQ514" t="s">
        <v>74</v>
      </c>
      <c r="BR514" t="s">
        <v>101</v>
      </c>
      <c r="BS514" t="s">
        <v>9602</v>
      </c>
      <c r="BT514" t="str">
        <f>HYPERLINK("https%3A%2F%2Fwww.webofscience.com%2Fwos%2Fwoscc%2Ffull-record%2FWOS:000270751400009","View Full Record in Web of Science")</f>
        <v>View Full Record in Web of Science</v>
      </c>
    </row>
    <row r="515" spans="1:72" x14ac:dyDescent="0.15">
      <c r="A515" t="s">
        <v>72</v>
      </c>
      <c r="B515" t="s">
        <v>9603</v>
      </c>
      <c r="C515" t="s">
        <v>74</v>
      </c>
      <c r="D515" t="s">
        <v>74</v>
      </c>
      <c r="E515" t="s">
        <v>74</v>
      </c>
      <c r="F515" t="s">
        <v>9604</v>
      </c>
      <c r="G515" t="s">
        <v>74</v>
      </c>
      <c r="H515" t="s">
        <v>74</v>
      </c>
      <c r="I515" t="s">
        <v>9605</v>
      </c>
      <c r="J515" t="s">
        <v>9606</v>
      </c>
      <c r="K515" t="s">
        <v>74</v>
      </c>
      <c r="L515" t="s">
        <v>74</v>
      </c>
      <c r="M515" t="s">
        <v>78</v>
      </c>
      <c r="N515" t="s">
        <v>79</v>
      </c>
      <c r="O515" t="s">
        <v>74</v>
      </c>
      <c r="P515" t="s">
        <v>74</v>
      </c>
      <c r="Q515" t="s">
        <v>74</v>
      </c>
      <c r="R515" t="s">
        <v>74</v>
      </c>
      <c r="S515" t="s">
        <v>74</v>
      </c>
      <c r="T515" t="s">
        <v>9607</v>
      </c>
      <c r="U515" t="s">
        <v>9608</v>
      </c>
      <c r="V515" t="s">
        <v>9609</v>
      </c>
      <c r="W515" t="s">
        <v>9610</v>
      </c>
      <c r="X515" t="s">
        <v>9611</v>
      </c>
      <c r="Y515" t="s">
        <v>9612</v>
      </c>
      <c r="Z515" t="s">
        <v>9613</v>
      </c>
      <c r="AA515" t="s">
        <v>74</v>
      </c>
      <c r="AB515" t="s">
        <v>74</v>
      </c>
      <c r="AC515" t="s">
        <v>9614</v>
      </c>
      <c r="AD515" t="s">
        <v>278</v>
      </c>
      <c r="AE515" t="s">
        <v>9615</v>
      </c>
      <c r="AF515" t="s">
        <v>74</v>
      </c>
      <c r="AG515">
        <v>39</v>
      </c>
      <c r="AH515">
        <v>8</v>
      </c>
      <c r="AI515">
        <v>10</v>
      </c>
      <c r="AJ515">
        <v>0</v>
      </c>
      <c r="AK515">
        <v>7</v>
      </c>
      <c r="AL515" t="s">
        <v>1978</v>
      </c>
      <c r="AM515" t="s">
        <v>1895</v>
      </c>
      <c r="AN515" t="s">
        <v>1979</v>
      </c>
      <c r="AO515" t="s">
        <v>9616</v>
      </c>
      <c r="AP515" t="s">
        <v>9617</v>
      </c>
      <c r="AQ515" t="s">
        <v>74</v>
      </c>
      <c r="AR515" t="s">
        <v>9618</v>
      </c>
      <c r="AS515" t="s">
        <v>9619</v>
      </c>
      <c r="AT515" t="s">
        <v>9572</v>
      </c>
      <c r="AU515">
        <v>2009</v>
      </c>
      <c r="AV515">
        <v>38</v>
      </c>
      <c r="AW515">
        <v>5</v>
      </c>
      <c r="AX515" t="s">
        <v>74</v>
      </c>
      <c r="AY515" t="s">
        <v>74</v>
      </c>
      <c r="AZ515" t="s">
        <v>74</v>
      </c>
      <c r="BA515" t="s">
        <v>74</v>
      </c>
      <c r="BB515">
        <v>377</v>
      </c>
      <c r="BC515">
        <v>389</v>
      </c>
      <c r="BD515" t="s">
        <v>74</v>
      </c>
      <c r="BE515" t="s">
        <v>9620</v>
      </c>
      <c r="BF515" t="str">
        <f>HYPERLINK("http://dx.doi.org/10.1016/j.asd.2009.04.003","http://dx.doi.org/10.1016/j.asd.2009.04.003")</f>
        <v>http://dx.doi.org/10.1016/j.asd.2009.04.003</v>
      </c>
      <c r="BG515" t="s">
        <v>74</v>
      </c>
      <c r="BH515" t="s">
        <v>74</v>
      </c>
      <c r="BI515">
        <v>13</v>
      </c>
      <c r="BJ515" t="s">
        <v>3038</v>
      </c>
      <c r="BK515" t="s">
        <v>98</v>
      </c>
      <c r="BL515" t="s">
        <v>3038</v>
      </c>
      <c r="BM515" t="s">
        <v>9621</v>
      </c>
      <c r="BN515">
        <v>19401239</v>
      </c>
      <c r="BO515" t="s">
        <v>74</v>
      </c>
      <c r="BP515" t="s">
        <v>74</v>
      </c>
      <c r="BQ515" t="s">
        <v>74</v>
      </c>
      <c r="BR515" t="s">
        <v>101</v>
      </c>
      <c r="BS515" t="s">
        <v>9622</v>
      </c>
      <c r="BT515" t="str">
        <f>HYPERLINK("https%3A%2F%2Fwww.webofscience.com%2Fwos%2Fwoscc%2Ffull-record%2FWOS:000269727200002","View Full Record in Web of Science")</f>
        <v>View Full Record in Web of Science</v>
      </c>
    </row>
    <row r="516" spans="1:72" x14ac:dyDescent="0.15">
      <c r="A516" t="s">
        <v>72</v>
      </c>
      <c r="B516" t="s">
        <v>9623</v>
      </c>
      <c r="C516" t="s">
        <v>74</v>
      </c>
      <c r="D516" t="s">
        <v>74</v>
      </c>
      <c r="E516" t="s">
        <v>74</v>
      </c>
      <c r="F516" t="s">
        <v>9624</v>
      </c>
      <c r="G516" t="s">
        <v>74</v>
      </c>
      <c r="H516" t="s">
        <v>74</v>
      </c>
      <c r="I516" t="s">
        <v>9625</v>
      </c>
      <c r="J516" t="s">
        <v>1439</v>
      </c>
      <c r="K516" t="s">
        <v>74</v>
      </c>
      <c r="L516" t="s">
        <v>74</v>
      </c>
      <c r="M516" t="s">
        <v>78</v>
      </c>
      <c r="N516" t="s">
        <v>79</v>
      </c>
      <c r="O516" t="s">
        <v>74</v>
      </c>
      <c r="P516" t="s">
        <v>74</v>
      </c>
      <c r="Q516" t="s">
        <v>74</v>
      </c>
      <c r="R516" t="s">
        <v>74</v>
      </c>
      <c r="S516" t="s">
        <v>74</v>
      </c>
      <c r="T516" t="s">
        <v>9626</v>
      </c>
      <c r="U516" t="s">
        <v>9627</v>
      </c>
      <c r="V516" t="s">
        <v>9628</v>
      </c>
      <c r="W516" t="s">
        <v>9629</v>
      </c>
      <c r="X516" t="s">
        <v>9630</v>
      </c>
      <c r="Y516" t="s">
        <v>9631</v>
      </c>
      <c r="Z516" t="s">
        <v>1446</v>
      </c>
      <c r="AA516" t="s">
        <v>9632</v>
      </c>
      <c r="AB516" t="s">
        <v>74</v>
      </c>
      <c r="AC516" t="s">
        <v>9633</v>
      </c>
      <c r="AD516" t="s">
        <v>9633</v>
      </c>
      <c r="AE516" t="s">
        <v>9634</v>
      </c>
      <c r="AF516" t="s">
        <v>74</v>
      </c>
      <c r="AG516">
        <v>56</v>
      </c>
      <c r="AH516">
        <v>33</v>
      </c>
      <c r="AI516">
        <v>34</v>
      </c>
      <c r="AJ516">
        <v>1</v>
      </c>
      <c r="AK516">
        <v>24</v>
      </c>
      <c r="AL516" t="s">
        <v>1452</v>
      </c>
      <c r="AM516" t="s">
        <v>1453</v>
      </c>
      <c r="AN516" t="s">
        <v>1454</v>
      </c>
      <c r="AO516" t="s">
        <v>1455</v>
      </c>
      <c r="AP516" t="s">
        <v>1456</v>
      </c>
      <c r="AQ516" t="s">
        <v>74</v>
      </c>
      <c r="AR516" t="s">
        <v>1439</v>
      </c>
      <c r="AS516" t="s">
        <v>1457</v>
      </c>
      <c r="AT516" t="s">
        <v>9572</v>
      </c>
      <c r="AU516">
        <v>2009</v>
      </c>
      <c r="AV516">
        <v>9</v>
      </c>
      <c r="AW516">
        <v>7</v>
      </c>
      <c r="AX516" t="s">
        <v>74</v>
      </c>
      <c r="AY516" t="s">
        <v>74</v>
      </c>
      <c r="AZ516" t="s">
        <v>74</v>
      </c>
      <c r="BA516" t="s">
        <v>74</v>
      </c>
      <c r="BB516">
        <v>659</v>
      </c>
      <c r="BC516">
        <v>672</v>
      </c>
      <c r="BD516" t="s">
        <v>74</v>
      </c>
      <c r="BE516" t="s">
        <v>9635</v>
      </c>
      <c r="BF516" t="str">
        <f>HYPERLINK("http://dx.doi.org/10.1089/ast.2009.0351","http://dx.doi.org/10.1089/ast.2009.0351")</f>
        <v>http://dx.doi.org/10.1089/ast.2009.0351</v>
      </c>
      <c r="BG516" t="s">
        <v>74</v>
      </c>
      <c r="BH516" t="s">
        <v>74</v>
      </c>
      <c r="BI516">
        <v>14</v>
      </c>
      <c r="BJ516" t="s">
        <v>1459</v>
      </c>
      <c r="BK516" t="s">
        <v>98</v>
      </c>
      <c r="BL516" t="s">
        <v>1460</v>
      </c>
      <c r="BM516" t="s">
        <v>9636</v>
      </c>
      <c r="BN516">
        <v>19778277</v>
      </c>
      <c r="BO516" t="s">
        <v>74</v>
      </c>
      <c r="BP516" t="s">
        <v>74</v>
      </c>
      <c r="BQ516" t="s">
        <v>74</v>
      </c>
      <c r="BR516" t="s">
        <v>101</v>
      </c>
      <c r="BS516" t="s">
        <v>9637</v>
      </c>
      <c r="BT516" t="str">
        <f>HYPERLINK("https%3A%2F%2Fwww.webofscience.com%2Fwos%2Fwoscc%2Ffull-record%2FWOS:000270134600006","View Full Record in Web of Science")</f>
        <v>View Full Record in Web of Science</v>
      </c>
    </row>
    <row r="517" spans="1:72" x14ac:dyDescent="0.15">
      <c r="A517" t="s">
        <v>72</v>
      </c>
      <c r="B517" t="s">
        <v>9638</v>
      </c>
      <c r="C517" t="s">
        <v>74</v>
      </c>
      <c r="D517" t="s">
        <v>74</v>
      </c>
      <c r="E517" t="s">
        <v>74</v>
      </c>
      <c r="F517" t="s">
        <v>9639</v>
      </c>
      <c r="G517" t="s">
        <v>74</v>
      </c>
      <c r="H517" t="s">
        <v>74</v>
      </c>
      <c r="I517" t="s">
        <v>9640</v>
      </c>
      <c r="J517" t="s">
        <v>9641</v>
      </c>
      <c r="K517" t="s">
        <v>74</v>
      </c>
      <c r="L517" t="s">
        <v>74</v>
      </c>
      <c r="M517" t="s">
        <v>78</v>
      </c>
      <c r="N517" t="s">
        <v>79</v>
      </c>
      <c r="O517" t="s">
        <v>74</v>
      </c>
      <c r="P517" t="s">
        <v>74</v>
      </c>
      <c r="Q517" t="s">
        <v>74</v>
      </c>
      <c r="R517" t="s">
        <v>74</v>
      </c>
      <c r="S517" t="s">
        <v>74</v>
      </c>
      <c r="T517" t="s">
        <v>9642</v>
      </c>
      <c r="U517" t="s">
        <v>9643</v>
      </c>
      <c r="V517" t="s">
        <v>9644</v>
      </c>
      <c r="W517" t="s">
        <v>9645</v>
      </c>
      <c r="X517" t="s">
        <v>9646</v>
      </c>
      <c r="Y517" t="s">
        <v>9647</v>
      </c>
      <c r="Z517" t="s">
        <v>74</v>
      </c>
      <c r="AA517" t="s">
        <v>9648</v>
      </c>
      <c r="AB517" t="s">
        <v>9649</v>
      </c>
      <c r="AC517" t="s">
        <v>9650</v>
      </c>
      <c r="AD517" t="s">
        <v>9651</v>
      </c>
      <c r="AE517" t="s">
        <v>9652</v>
      </c>
      <c r="AF517" t="s">
        <v>74</v>
      </c>
      <c r="AG517">
        <v>90</v>
      </c>
      <c r="AH517">
        <v>88</v>
      </c>
      <c r="AI517">
        <v>107</v>
      </c>
      <c r="AJ517">
        <v>1</v>
      </c>
      <c r="AK517">
        <v>41</v>
      </c>
      <c r="AL517" t="s">
        <v>3084</v>
      </c>
      <c r="AM517" t="s">
        <v>3085</v>
      </c>
      <c r="AN517" t="s">
        <v>3086</v>
      </c>
      <c r="AO517" t="s">
        <v>9653</v>
      </c>
      <c r="AP517" t="s">
        <v>9654</v>
      </c>
      <c r="AQ517" t="s">
        <v>74</v>
      </c>
      <c r="AR517" t="s">
        <v>9655</v>
      </c>
      <c r="AS517" t="s">
        <v>9656</v>
      </c>
      <c r="AT517" t="s">
        <v>9657</v>
      </c>
      <c r="AU517">
        <v>2009</v>
      </c>
      <c r="AV517">
        <v>702</v>
      </c>
      <c r="AW517">
        <v>1</v>
      </c>
      <c r="AX517" t="s">
        <v>74</v>
      </c>
      <c r="AY517" t="s">
        <v>74</v>
      </c>
      <c r="AZ517" t="s">
        <v>74</v>
      </c>
      <c r="BA517" t="s">
        <v>74</v>
      </c>
      <c r="BB517">
        <v>707</v>
      </c>
      <c r="BC517">
        <v>715</v>
      </c>
      <c r="BD517" t="s">
        <v>74</v>
      </c>
      <c r="BE517" t="s">
        <v>9658</v>
      </c>
      <c r="BF517" t="str">
        <f>HYPERLINK("http://dx.doi.org/10.1088/0004-637X/702/1/707","http://dx.doi.org/10.1088/0004-637X/702/1/707")</f>
        <v>http://dx.doi.org/10.1088/0004-637X/702/1/707</v>
      </c>
      <c r="BG517" t="s">
        <v>74</v>
      </c>
      <c r="BH517" t="s">
        <v>74</v>
      </c>
      <c r="BI517">
        <v>9</v>
      </c>
      <c r="BJ517" t="s">
        <v>1003</v>
      </c>
      <c r="BK517" t="s">
        <v>98</v>
      </c>
      <c r="BL517" t="s">
        <v>1003</v>
      </c>
      <c r="BM517" t="s">
        <v>9659</v>
      </c>
      <c r="BN517" t="s">
        <v>74</v>
      </c>
      <c r="BO517" t="s">
        <v>263</v>
      </c>
      <c r="BP517" t="s">
        <v>74</v>
      </c>
      <c r="BQ517" t="s">
        <v>74</v>
      </c>
      <c r="BR517" t="s">
        <v>101</v>
      </c>
      <c r="BS517" t="s">
        <v>9660</v>
      </c>
      <c r="BT517" t="str">
        <f>HYPERLINK("https%3A%2F%2Fwww.webofscience.com%2Fwos%2Fwoscc%2Ffull-record%2FWOS:000269244500057","View Full Record in Web of Science")</f>
        <v>View Full Record in Web of Science</v>
      </c>
    </row>
    <row r="518" spans="1:72" x14ac:dyDescent="0.15">
      <c r="A518" t="s">
        <v>72</v>
      </c>
      <c r="B518" t="s">
        <v>9661</v>
      </c>
      <c r="C518" t="s">
        <v>74</v>
      </c>
      <c r="D518" t="s">
        <v>74</v>
      </c>
      <c r="E518" t="s">
        <v>74</v>
      </c>
      <c r="F518" t="s">
        <v>9662</v>
      </c>
      <c r="G518" t="s">
        <v>74</v>
      </c>
      <c r="H518" t="s">
        <v>74</v>
      </c>
      <c r="I518" t="s">
        <v>9663</v>
      </c>
      <c r="J518" t="s">
        <v>9664</v>
      </c>
      <c r="K518" t="s">
        <v>74</v>
      </c>
      <c r="L518" t="s">
        <v>74</v>
      </c>
      <c r="M518" t="s">
        <v>78</v>
      </c>
      <c r="N518" t="s">
        <v>79</v>
      </c>
      <c r="O518" t="s">
        <v>74</v>
      </c>
      <c r="P518" t="s">
        <v>74</v>
      </c>
      <c r="Q518" t="s">
        <v>74</v>
      </c>
      <c r="R518" t="s">
        <v>74</v>
      </c>
      <c r="S518" t="s">
        <v>74</v>
      </c>
      <c r="T518" t="s">
        <v>74</v>
      </c>
      <c r="U518" t="s">
        <v>9665</v>
      </c>
      <c r="V518" t="s">
        <v>9666</v>
      </c>
      <c r="W518" t="s">
        <v>9667</v>
      </c>
      <c r="X518" t="s">
        <v>7959</v>
      </c>
      <c r="Y518" t="s">
        <v>9668</v>
      </c>
      <c r="Z518" t="s">
        <v>9669</v>
      </c>
      <c r="AA518" t="s">
        <v>9670</v>
      </c>
      <c r="AB518" t="s">
        <v>74</v>
      </c>
      <c r="AC518" t="s">
        <v>9671</v>
      </c>
      <c r="AD518" t="s">
        <v>9672</v>
      </c>
      <c r="AE518" t="s">
        <v>9673</v>
      </c>
      <c r="AF518" t="s">
        <v>74</v>
      </c>
      <c r="AG518">
        <v>23</v>
      </c>
      <c r="AH518">
        <v>3</v>
      </c>
      <c r="AI518">
        <v>3</v>
      </c>
      <c r="AJ518">
        <v>0</v>
      </c>
      <c r="AK518">
        <v>2</v>
      </c>
      <c r="AL518" t="s">
        <v>9674</v>
      </c>
      <c r="AM518" t="s">
        <v>9675</v>
      </c>
      <c r="AN518" t="s">
        <v>9676</v>
      </c>
      <c r="AO518" t="s">
        <v>9677</v>
      </c>
      <c r="AP518" t="s">
        <v>74</v>
      </c>
      <c r="AQ518" t="s">
        <v>74</v>
      </c>
      <c r="AR518" t="s">
        <v>9678</v>
      </c>
      <c r="AS518" t="s">
        <v>9679</v>
      </c>
      <c r="AT518" t="s">
        <v>9572</v>
      </c>
      <c r="AU518">
        <v>2009</v>
      </c>
      <c r="AV518">
        <v>47</v>
      </c>
      <c r="AW518">
        <v>3</v>
      </c>
      <c r="AX518" t="s">
        <v>74</v>
      </c>
      <c r="AY518" t="s">
        <v>74</v>
      </c>
      <c r="AZ518" t="s">
        <v>74</v>
      </c>
      <c r="BA518" t="s">
        <v>74</v>
      </c>
      <c r="BB518">
        <v>169</v>
      </c>
      <c r="BC518">
        <v>183</v>
      </c>
      <c r="BD518" t="s">
        <v>74</v>
      </c>
      <c r="BE518" t="s">
        <v>9680</v>
      </c>
      <c r="BF518" t="str">
        <f>HYPERLINK("http://dx.doi.org/10.3137/OC300.2009","http://dx.doi.org/10.3137/OC300.2009")</f>
        <v>http://dx.doi.org/10.3137/OC300.2009</v>
      </c>
      <c r="BG518" t="s">
        <v>74</v>
      </c>
      <c r="BH518" t="s">
        <v>74</v>
      </c>
      <c r="BI518">
        <v>15</v>
      </c>
      <c r="BJ518" t="s">
        <v>2322</v>
      </c>
      <c r="BK518" t="s">
        <v>98</v>
      </c>
      <c r="BL518" t="s">
        <v>2322</v>
      </c>
      <c r="BM518" t="s">
        <v>9681</v>
      </c>
      <c r="BN518" t="s">
        <v>74</v>
      </c>
      <c r="BO518" t="s">
        <v>74</v>
      </c>
      <c r="BP518" t="s">
        <v>74</v>
      </c>
      <c r="BQ518" t="s">
        <v>74</v>
      </c>
      <c r="BR518" t="s">
        <v>101</v>
      </c>
      <c r="BS518" t="s">
        <v>9682</v>
      </c>
      <c r="BT518" t="str">
        <f>HYPERLINK("https%3A%2F%2Fwww.webofscience.com%2Fwos%2Fwoscc%2Ffull-record%2FWOS:000271555800001","View Full Record in Web of Science")</f>
        <v>View Full Record in Web of Science</v>
      </c>
    </row>
    <row r="519" spans="1:72" x14ac:dyDescent="0.15">
      <c r="A519" t="s">
        <v>72</v>
      </c>
      <c r="B519" t="s">
        <v>9683</v>
      </c>
      <c r="C519" t="s">
        <v>74</v>
      </c>
      <c r="D519" t="s">
        <v>74</v>
      </c>
      <c r="E519" t="s">
        <v>74</v>
      </c>
      <c r="F519" t="s">
        <v>9684</v>
      </c>
      <c r="G519" t="s">
        <v>74</v>
      </c>
      <c r="H519" t="s">
        <v>74</v>
      </c>
      <c r="I519" t="s">
        <v>9685</v>
      </c>
      <c r="J519" t="s">
        <v>4687</v>
      </c>
      <c r="K519" t="s">
        <v>74</v>
      </c>
      <c r="L519" t="s">
        <v>74</v>
      </c>
      <c r="M519" t="s">
        <v>78</v>
      </c>
      <c r="N519" t="s">
        <v>79</v>
      </c>
      <c r="O519" t="s">
        <v>74</v>
      </c>
      <c r="P519" t="s">
        <v>74</v>
      </c>
      <c r="Q519" t="s">
        <v>74</v>
      </c>
      <c r="R519" t="s">
        <v>74</v>
      </c>
      <c r="S519" t="s">
        <v>74</v>
      </c>
      <c r="T519" t="s">
        <v>9686</v>
      </c>
      <c r="U519" t="s">
        <v>9687</v>
      </c>
      <c r="V519" t="s">
        <v>9688</v>
      </c>
      <c r="W519" t="s">
        <v>9689</v>
      </c>
      <c r="X519" t="s">
        <v>9690</v>
      </c>
      <c r="Y519" t="s">
        <v>9691</v>
      </c>
      <c r="Z519" t="s">
        <v>9692</v>
      </c>
      <c r="AA519" t="s">
        <v>9693</v>
      </c>
      <c r="AB519" t="s">
        <v>9694</v>
      </c>
      <c r="AC519" t="s">
        <v>9695</v>
      </c>
      <c r="AD519" t="s">
        <v>9696</v>
      </c>
      <c r="AE519" t="s">
        <v>9697</v>
      </c>
      <c r="AF519" t="s">
        <v>74</v>
      </c>
      <c r="AG519">
        <v>43</v>
      </c>
      <c r="AH519">
        <v>20</v>
      </c>
      <c r="AI519">
        <v>20</v>
      </c>
      <c r="AJ519">
        <v>0</v>
      </c>
      <c r="AK519">
        <v>39</v>
      </c>
      <c r="AL519" t="s">
        <v>1894</v>
      </c>
      <c r="AM519" t="s">
        <v>1895</v>
      </c>
      <c r="AN519" t="s">
        <v>1896</v>
      </c>
      <c r="AO519" t="s">
        <v>4698</v>
      </c>
      <c r="AP519" t="s">
        <v>9698</v>
      </c>
      <c r="AQ519" t="s">
        <v>74</v>
      </c>
      <c r="AR519" t="s">
        <v>4699</v>
      </c>
      <c r="AS519" t="s">
        <v>4700</v>
      </c>
      <c r="AT519" t="s">
        <v>9572</v>
      </c>
      <c r="AU519">
        <v>2009</v>
      </c>
      <c r="AV519">
        <v>43</v>
      </c>
      <c r="AW519">
        <v>28</v>
      </c>
      <c r="AX519" t="s">
        <v>74</v>
      </c>
      <c r="AY519" t="s">
        <v>74</v>
      </c>
      <c r="AZ519" t="s">
        <v>74</v>
      </c>
      <c r="BA519" t="s">
        <v>74</v>
      </c>
      <c r="BB519">
        <v>4319</v>
      </c>
      <c r="BC519">
        <v>4326</v>
      </c>
      <c r="BD519" t="s">
        <v>74</v>
      </c>
      <c r="BE519" t="s">
        <v>9699</v>
      </c>
      <c r="BF519" t="str">
        <f>HYPERLINK("http://dx.doi.org/10.1016/j.atmosenv.2009.06.003","http://dx.doi.org/10.1016/j.atmosenv.2009.06.003")</f>
        <v>http://dx.doi.org/10.1016/j.atmosenv.2009.06.003</v>
      </c>
      <c r="BG519" t="s">
        <v>74</v>
      </c>
      <c r="BH519" t="s">
        <v>74</v>
      </c>
      <c r="BI519">
        <v>8</v>
      </c>
      <c r="BJ519" t="s">
        <v>4702</v>
      </c>
      <c r="BK519" t="s">
        <v>98</v>
      </c>
      <c r="BL519" t="s">
        <v>4703</v>
      </c>
      <c r="BM519" t="s">
        <v>9700</v>
      </c>
      <c r="BN519" t="s">
        <v>74</v>
      </c>
      <c r="BO519" t="s">
        <v>74</v>
      </c>
      <c r="BP519" t="s">
        <v>74</v>
      </c>
      <c r="BQ519" t="s">
        <v>74</v>
      </c>
      <c r="BR519" t="s">
        <v>101</v>
      </c>
      <c r="BS519" t="s">
        <v>9701</v>
      </c>
      <c r="BT519" t="str">
        <f>HYPERLINK("https%3A%2F%2Fwww.webofscience.com%2Fwos%2Fwoscc%2Ffull-record%2FWOS:000269095400009","View Full Record in Web of Science")</f>
        <v>View Full Record in Web of Science</v>
      </c>
    </row>
    <row r="520" spans="1:72" x14ac:dyDescent="0.15">
      <c r="A520" t="s">
        <v>72</v>
      </c>
      <c r="B520" t="s">
        <v>9702</v>
      </c>
      <c r="C520" t="s">
        <v>74</v>
      </c>
      <c r="D520" t="s">
        <v>74</v>
      </c>
      <c r="E520" t="s">
        <v>74</v>
      </c>
      <c r="F520" t="s">
        <v>9703</v>
      </c>
      <c r="G520" t="s">
        <v>74</v>
      </c>
      <c r="H520" t="s">
        <v>74</v>
      </c>
      <c r="I520" t="s">
        <v>9704</v>
      </c>
      <c r="J520" t="s">
        <v>9705</v>
      </c>
      <c r="K520" t="s">
        <v>74</v>
      </c>
      <c r="L520" t="s">
        <v>74</v>
      </c>
      <c r="M520" t="s">
        <v>78</v>
      </c>
      <c r="N520" t="s">
        <v>2041</v>
      </c>
      <c r="O520" t="s">
        <v>74</v>
      </c>
      <c r="P520" t="s">
        <v>74</v>
      </c>
      <c r="Q520" t="s">
        <v>74</v>
      </c>
      <c r="R520" t="s">
        <v>74</v>
      </c>
      <c r="S520" t="s">
        <v>74</v>
      </c>
      <c r="T520" t="s">
        <v>74</v>
      </c>
      <c r="U520" t="s">
        <v>74</v>
      </c>
      <c r="V520" t="s">
        <v>74</v>
      </c>
      <c r="W520" t="s">
        <v>74</v>
      </c>
      <c r="X520" t="s">
        <v>74</v>
      </c>
      <c r="Y520" t="s">
        <v>74</v>
      </c>
      <c r="Z520" t="s">
        <v>74</v>
      </c>
      <c r="AA520" t="s">
        <v>74</v>
      </c>
      <c r="AB520" t="s">
        <v>74</v>
      </c>
      <c r="AC520" t="s">
        <v>74</v>
      </c>
      <c r="AD520" t="s">
        <v>74</v>
      </c>
      <c r="AE520" t="s">
        <v>74</v>
      </c>
      <c r="AF520" t="s">
        <v>74</v>
      </c>
      <c r="AG520">
        <v>1</v>
      </c>
      <c r="AH520">
        <v>0</v>
      </c>
      <c r="AI520">
        <v>0</v>
      </c>
      <c r="AJ520">
        <v>0</v>
      </c>
      <c r="AK520">
        <v>0</v>
      </c>
      <c r="AL520" t="s">
        <v>9706</v>
      </c>
      <c r="AM520" t="s">
        <v>8186</v>
      </c>
      <c r="AN520" t="s">
        <v>9707</v>
      </c>
      <c r="AO520" t="s">
        <v>9708</v>
      </c>
      <c r="AP520" t="s">
        <v>74</v>
      </c>
      <c r="AQ520" t="s">
        <v>74</v>
      </c>
      <c r="AR520" t="s">
        <v>9709</v>
      </c>
      <c r="AS520" t="s">
        <v>9710</v>
      </c>
      <c r="AT520" t="s">
        <v>9572</v>
      </c>
      <c r="AU520">
        <v>2009</v>
      </c>
      <c r="AV520">
        <v>16</v>
      </c>
      <c r="AW520">
        <v>3</v>
      </c>
      <c r="AX520" t="s">
        <v>74</v>
      </c>
      <c r="AY520" t="s">
        <v>74</v>
      </c>
      <c r="AZ520" t="s">
        <v>74</v>
      </c>
      <c r="BA520" t="s">
        <v>74</v>
      </c>
      <c r="BB520">
        <v>182</v>
      </c>
      <c r="BC520">
        <v>183</v>
      </c>
      <c r="BD520" t="s">
        <v>74</v>
      </c>
      <c r="BE520" t="s">
        <v>74</v>
      </c>
      <c r="BF520" t="s">
        <v>74</v>
      </c>
      <c r="BG520" t="s">
        <v>74</v>
      </c>
      <c r="BH520" t="s">
        <v>74</v>
      </c>
      <c r="BI520">
        <v>2</v>
      </c>
      <c r="BJ520" t="s">
        <v>9711</v>
      </c>
      <c r="BK520" t="s">
        <v>2053</v>
      </c>
      <c r="BL520" t="s">
        <v>516</v>
      </c>
      <c r="BM520" t="s">
        <v>9712</v>
      </c>
      <c r="BN520" t="s">
        <v>74</v>
      </c>
      <c r="BO520" t="s">
        <v>74</v>
      </c>
      <c r="BP520" t="s">
        <v>74</v>
      </c>
      <c r="BQ520" t="s">
        <v>74</v>
      </c>
      <c r="BR520" t="s">
        <v>101</v>
      </c>
      <c r="BS520" t="s">
        <v>9713</v>
      </c>
      <c r="BT520" t="str">
        <f>HYPERLINK("https%3A%2F%2Fwww.webofscience.com%2Fwos%2Fwoscc%2Ffull-record%2FWOS:000270743600008","View Full Record in Web of Science")</f>
        <v>View Full Record in Web of Science</v>
      </c>
    </row>
    <row r="521" spans="1:72" x14ac:dyDescent="0.15">
      <c r="A521" t="s">
        <v>72</v>
      </c>
      <c r="B521" t="s">
        <v>9714</v>
      </c>
      <c r="C521" t="s">
        <v>74</v>
      </c>
      <c r="D521" t="s">
        <v>74</v>
      </c>
      <c r="E521" t="s">
        <v>74</v>
      </c>
      <c r="F521" t="s">
        <v>9715</v>
      </c>
      <c r="G521" t="s">
        <v>74</v>
      </c>
      <c r="H521" t="s">
        <v>74</v>
      </c>
      <c r="I521" t="s">
        <v>9716</v>
      </c>
      <c r="J521" t="s">
        <v>1729</v>
      </c>
      <c r="K521" t="s">
        <v>74</v>
      </c>
      <c r="L521" t="s">
        <v>74</v>
      </c>
      <c r="M521" t="s">
        <v>78</v>
      </c>
      <c r="N521" t="s">
        <v>2041</v>
      </c>
      <c r="O521" t="s">
        <v>74</v>
      </c>
      <c r="P521" t="s">
        <v>74</v>
      </c>
      <c r="Q521" t="s">
        <v>74</v>
      </c>
      <c r="R521" t="s">
        <v>74</v>
      </c>
      <c r="S521" t="s">
        <v>74</v>
      </c>
      <c r="T521" t="s">
        <v>74</v>
      </c>
      <c r="U521" t="s">
        <v>74</v>
      </c>
      <c r="V521" t="s">
        <v>74</v>
      </c>
      <c r="W521" t="s">
        <v>9717</v>
      </c>
      <c r="X521" t="s">
        <v>9718</v>
      </c>
      <c r="Y521" t="s">
        <v>9719</v>
      </c>
      <c r="Z521" t="s">
        <v>9720</v>
      </c>
      <c r="AA521" t="s">
        <v>74</v>
      </c>
      <c r="AB521" t="s">
        <v>74</v>
      </c>
      <c r="AC521" t="s">
        <v>74</v>
      </c>
      <c r="AD521" t="s">
        <v>74</v>
      </c>
      <c r="AE521" t="s">
        <v>74</v>
      </c>
      <c r="AF521" t="s">
        <v>74</v>
      </c>
      <c r="AG521">
        <v>1</v>
      </c>
      <c r="AH521">
        <v>0</v>
      </c>
      <c r="AI521">
        <v>0</v>
      </c>
      <c r="AJ521">
        <v>0</v>
      </c>
      <c r="AK521">
        <v>1</v>
      </c>
      <c r="AL521" t="s">
        <v>1740</v>
      </c>
      <c r="AM521" t="s">
        <v>1741</v>
      </c>
      <c r="AN521" t="s">
        <v>1742</v>
      </c>
      <c r="AO521" t="s">
        <v>1743</v>
      </c>
      <c r="AP521" t="s">
        <v>1744</v>
      </c>
      <c r="AQ521" t="s">
        <v>74</v>
      </c>
      <c r="AR521" t="s">
        <v>1729</v>
      </c>
      <c r="AS521" t="s">
        <v>1745</v>
      </c>
      <c r="AT521" t="s">
        <v>9721</v>
      </c>
      <c r="AU521">
        <v>2009</v>
      </c>
      <c r="AV521">
        <v>112</v>
      </c>
      <c r="AW521">
        <v>3</v>
      </c>
      <c r="AX521" t="s">
        <v>74</v>
      </c>
      <c r="AY521" t="s">
        <v>74</v>
      </c>
      <c r="AZ521" t="s">
        <v>74</v>
      </c>
      <c r="BA521" t="s">
        <v>74</v>
      </c>
      <c r="BB521">
        <v>619</v>
      </c>
      <c r="BC521" t="s">
        <v>128</v>
      </c>
      <c r="BD521" t="s">
        <v>74</v>
      </c>
      <c r="BE521" t="s">
        <v>9722</v>
      </c>
      <c r="BF521" t="str">
        <f>HYPERLINK("http://dx.doi.org/10.1639/0007-2745-112.3.619","http://dx.doi.org/10.1639/0007-2745-112.3.619")</f>
        <v>http://dx.doi.org/10.1639/0007-2745-112.3.619</v>
      </c>
      <c r="BG521" t="s">
        <v>74</v>
      </c>
      <c r="BH521" t="s">
        <v>74</v>
      </c>
      <c r="BI521">
        <v>3</v>
      </c>
      <c r="BJ521" t="s">
        <v>1527</v>
      </c>
      <c r="BK521" t="s">
        <v>98</v>
      </c>
      <c r="BL521" t="s">
        <v>1527</v>
      </c>
      <c r="BM521" t="s">
        <v>9723</v>
      </c>
      <c r="BN521" t="s">
        <v>74</v>
      </c>
      <c r="BO521" t="s">
        <v>74</v>
      </c>
      <c r="BP521" t="s">
        <v>74</v>
      </c>
      <c r="BQ521" t="s">
        <v>74</v>
      </c>
      <c r="BR521" t="s">
        <v>101</v>
      </c>
      <c r="BS521" t="s">
        <v>9724</v>
      </c>
      <c r="BT521" t="str">
        <f>HYPERLINK("https%3A%2F%2Fwww.webofscience.com%2Fwos%2Fwoscc%2Ffull-record%2FWOS:000212348100001","View Full Record in Web of Science")</f>
        <v>View Full Record in Web of Science</v>
      </c>
    </row>
    <row r="522" spans="1:72" x14ac:dyDescent="0.15">
      <c r="A522" t="s">
        <v>72</v>
      </c>
      <c r="B522" t="s">
        <v>9725</v>
      </c>
      <c r="C522" t="s">
        <v>74</v>
      </c>
      <c r="D522" t="s">
        <v>74</v>
      </c>
      <c r="E522" t="s">
        <v>74</v>
      </c>
      <c r="F522" t="s">
        <v>9726</v>
      </c>
      <c r="G522" t="s">
        <v>74</v>
      </c>
      <c r="H522" t="s">
        <v>74</v>
      </c>
      <c r="I522" t="s">
        <v>9727</v>
      </c>
      <c r="J522" t="s">
        <v>7405</v>
      </c>
      <c r="K522" t="s">
        <v>74</v>
      </c>
      <c r="L522" t="s">
        <v>74</v>
      </c>
      <c r="M522" t="s">
        <v>78</v>
      </c>
      <c r="N522" t="s">
        <v>79</v>
      </c>
      <c r="O522" t="s">
        <v>74</v>
      </c>
      <c r="P522" t="s">
        <v>74</v>
      </c>
      <c r="Q522" t="s">
        <v>74</v>
      </c>
      <c r="R522" t="s">
        <v>74</v>
      </c>
      <c r="S522" t="s">
        <v>74</v>
      </c>
      <c r="T522" t="s">
        <v>9728</v>
      </c>
      <c r="U522" t="s">
        <v>9729</v>
      </c>
      <c r="V522" t="s">
        <v>9730</v>
      </c>
      <c r="W522" t="s">
        <v>9731</v>
      </c>
      <c r="X522" t="s">
        <v>9732</v>
      </c>
      <c r="Y522" t="s">
        <v>9733</v>
      </c>
      <c r="Z522" t="s">
        <v>9734</v>
      </c>
      <c r="AA522" t="s">
        <v>9735</v>
      </c>
      <c r="AB522" t="s">
        <v>9736</v>
      </c>
      <c r="AC522" t="s">
        <v>9737</v>
      </c>
      <c r="AD522" t="s">
        <v>9737</v>
      </c>
      <c r="AE522" t="s">
        <v>9738</v>
      </c>
      <c r="AF522" t="s">
        <v>74</v>
      </c>
      <c r="AG522">
        <v>19</v>
      </c>
      <c r="AH522">
        <v>7</v>
      </c>
      <c r="AI522">
        <v>7</v>
      </c>
      <c r="AJ522">
        <v>0</v>
      </c>
      <c r="AK522">
        <v>12</v>
      </c>
      <c r="AL522" t="s">
        <v>1894</v>
      </c>
      <c r="AM522" t="s">
        <v>1895</v>
      </c>
      <c r="AN522" t="s">
        <v>1896</v>
      </c>
      <c r="AO522" t="s">
        <v>7417</v>
      </c>
      <c r="AP522" t="s">
        <v>74</v>
      </c>
      <c r="AQ522" t="s">
        <v>74</v>
      </c>
      <c r="AR522" t="s">
        <v>7405</v>
      </c>
      <c r="AS522" t="s">
        <v>7419</v>
      </c>
      <c r="AT522" t="s">
        <v>9572</v>
      </c>
      <c r="AU522">
        <v>2009</v>
      </c>
      <c r="AV522">
        <v>76</v>
      </c>
      <c r="AW522">
        <v>11</v>
      </c>
      <c r="AX522" t="s">
        <v>74</v>
      </c>
      <c r="AY522" t="s">
        <v>74</v>
      </c>
      <c r="AZ522" t="s">
        <v>74</v>
      </c>
      <c r="BA522" t="s">
        <v>74</v>
      </c>
      <c r="BB522">
        <v>1525</v>
      </c>
      <c r="BC522">
        <v>1532</v>
      </c>
      <c r="BD522" t="s">
        <v>74</v>
      </c>
      <c r="BE522" t="s">
        <v>9739</v>
      </c>
      <c r="BF522" t="str">
        <f>HYPERLINK("http://dx.doi.org/10.1016/j.chemosphere.2009.05.044","http://dx.doi.org/10.1016/j.chemosphere.2009.05.044")</f>
        <v>http://dx.doi.org/10.1016/j.chemosphere.2009.05.044</v>
      </c>
      <c r="BG522" t="s">
        <v>74</v>
      </c>
      <c r="BH522" t="s">
        <v>74</v>
      </c>
      <c r="BI522">
        <v>8</v>
      </c>
      <c r="BJ522" t="s">
        <v>515</v>
      </c>
      <c r="BK522" t="s">
        <v>98</v>
      </c>
      <c r="BL522" t="s">
        <v>516</v>
      </c>
      <c r="BM522" t="s">
        <v>9740</v>
      </c>
      <c r="BN522">
        <v>19541344</v>
      </c>
      <c r="BO522" t="s">
        <v>74</v>
      </c>
      <c r="BP522" t="s">
        <v>74</v>
      </c>
      <c r="BQ522" t="s">
        <v>74</v>
      </c>
      <c r="BR522" t="s">
        <v>101</v>
      </c>
      <c r="BS522" t="s">
        <v>9741</v>
      </c>
      <c r="BT522" t="str">
        <f>HYPERLINK("https%3A%2F%2Fwww.webofscience.com%2Fwos%2Fwoscc%2Ffull-record%2FWOS:000270124800012","View Full Record in Web of Science")</f>
        <v>View Full Record in Web of Science</v>
      </c>
    </row>
    <row r="523" spans="1:72" x14ac:dyDescent="0.15">
      <c r="A523" t="s">
        <v>72</v>
      </c>
      <c r="B523" t="s">
        <v>9742</v>
      </c>
      <c r="C523" t="s">
        <v>74</v>
      </c>
      <c r="D523" t="s">
        <v>74</v>
      </c>
      <c r="E523" t="s">
        <v>74</v>
      </c>
      <c r="F523" t="s">
        <v>9743</v>
      </c>
      <c r="G523" t="s">
        <v>74</v>
      </c>
      <c r="H523" t="s">
        <v>74</v>
      </c>
      <c r="I523" t="s">
        <v>9744</v>
      </c>
      <c r="J523" t="s">
        <v>1753</v>
      </c>
      <c r="K523" t="s">
        <v>74</v>
      </c>
      <c r="L523" t="s">
        <v>74</v>
      </c>
      <c r="M523" t="s">
        <v>1754</v>
      </c>
      <c r="N523" t="s">
        <v>79</v>
      </c>
      <c r="O523" t="s">
        <v>74</v>
      </c>
      <c r="P523" t="s">
        <v>74</v>
      </c>
      <c r="Q523" t="s">
        <v>74</v>
      </c>
      <c r="R523" t="s">
        <v>74</v>
      </c>
      <c r="S523" t="s">
        <v>74</v>
      </c>
      <c r="T523" t="s">
        <v>9745</v>
      </c>
      <c r="U523" t="s">
        <v>9746</v>
      </c>
      <c r="V523" t="s">
        <v>9747</v>
      </c>
      <c r="W523" t="s">
        <v>9748</v>
      </c>
      <c r="X523" t="s">
        <v>1759</v>
      </c>
      <c r="Y523" t="s">
        <v>9749</v>
      </c>
      <c r="Z523" t="s">
        <v>9750</v>
      </c>
      <c r="AA523" t="s">
        <v>74</v>
      </c>
      <c r="AB523" t="s">
        <v>74</v>
      </c>
      <c r="AC523" t="s">
        <v>74</v>
      </c>
      <c r="AD523" t="s">
        <v>74</v>
      </c>
      <c r="AE523" t="s">
        <v>74</v>
      </c>
      <c r="AF523" t="s">
        <v>74</v>
      </c>
      <c r="AG523">
        <v>19</v>
      </c>
      <c r="AH523">
        <v>12</v>
      </c>
      <c r="AI523">
        <v>13</v>
      </c>
      <c r="AJ523">
        <v>1</v>
      </c>
      <c r="AK523">
        <v>9</v>
      </c>
      <c r="AL523" t="s">
        <v>1764</v>
      </c>
      <c r="AM523" t="s">
        <v>1765</v>
      </c>
      <c r="AN523" t="s">
        <v>1766</v>
      </c>
      <c r="AO523" t="s">
        <v>1767</v>
      </c>
      <c r="AP523" t="s">
        <v>74</v>
      </c>
      <c r="AQ523" t="s">
        <v>74</v>
      </c>
      <c r="AR523" t="s">
        <v>1768</v>
      </c>
      <c r="AS523" t="s">
        <v>1769</v>
      </c>
      <c r="AT523" t="s">
        <v>9572</v>
      </c>
      <c r="AU523">
        <v>2009</v>
      </c>
      <c r="AV523">
        <v>52</v>
      </c>
      <c r="AW523">
        <v>9</v>
      </c>
      <c r="AX523" t="s">
        <v>74</v>
      </c>
      <c r="AY523" t="s">
        <v>74</v>
      </c>
      <c r="AZ523" t="s">
        <v>74</v>
      </c>
      <c r="BA523" t="s">
        <v>74</v>
      </c>
      <c r="BB523">
        <v>2222</v>
      </c>
      <c r="BC523">
        <v>2228</v>
      </c>
      <c r="BD523" t="s">
        <v>74</v>
      </c>
      <c r="BE523" t="s">
        <v>9751</v>
      </c>
      <c r="BF523" t="str">
        <f>HYPERLINK("http://dx.doi.org/10.3969/j.issn.0001-5733.2009.09.005","http://dx.doi.org/10.3969/j.issn.0001-5733.2009.09.005")</f>
        <v>http://dx.doi.org/10.3969/j.issn.0001-5733.2009.09.005</v>
      </c>
      <c r="BG523" t="s">
        <v>74</v>
      </c>
      <c r="BH523" t="s">
        <v>74</v>
      </c>
      <c r="BI523">
        <v>7</v>
      </c>
      <c r="BJ523" t="s">
        <v>261</v>
      </c>
      <c r="BK523" t="s">
        <v>98</v>
      </c>
      <c r="BL523" t="s">
        <v>261</v>
      </c>
      <c r="BM523" t="s">
        <v>9752</v>
      </c>
      <c r="BN523" t="s">
        <v>74</v>
      </c>
      <c r="BO523" t="s">
        <v>74</v>
      </c>
      <c r="BP523" t="s">
        <v>74</v>
      </c>
      <c r="BQ523" t="s">
        <v>74</v>
      </c>
      <c r="BR523" t="s">
        <v>101</v>
      </c>
      <c r="BS523" t="s">
        <v>9753</v>
      </c>
      <c r="BT523" t="str">
        <f>HYPERLINK("https%3A%2F%2Fwww.webofscience.com%2Fwos%2Fwoscc%2Ffull-record%2FWOS:000270377100005","View Full Record in Web of Science")</f>
        <v>View Full Record in Web of Science</v>
      </c>
    </row>
    <row r="524" spans="1:72" x14ac:dyDescent="0.15">
      <c r="A524" t="s">
        <v>72</v>
      </c>
      <c r="B524" t="s">
        <v>9754</v>
      </c>
      <c r="C524" t="s">
        <v>74</v>
      </c>
      <c r="D524" t="s">
        <v>74</v>
      </c>
      <c r="E524" t="s">
        <v>74</v>
      </c>
      <c r="F524" t="s">
        <v>9755</v>
      </c>
      <c r="G524" t="s">
        <v>74</v>
      </c>
      <c r="H524" t="s">
        <v>74</v>
      </c>
      <c r="I524" t="s">
        <v>9756</v>
      </c>
      <c r="J524" t="s">
        <v>1813</v>
      </c>
      <c r="K524" t="s">
        <v>74</v>
      </c>
      <c r="L524" t="s">
        <v>74</v>
      </c>
      <c r="M524" t="s">
        <v>78</v>
      </c>
      <c r="N524" t="s">
        <v>297</v>
      </c>
      <c r="O524" t="s">
        <v>74</v>
      </c>
      <c r="P524" t="s">
        <v>74</v>
      </c>
      <c r="Q524" t="s">
        <v>74</v>
      </c>
      <c r="R524" t="s">
        <v>74</v>
      </c>
      <c r="S524" t="s">
        <v>74</v>
      </c>
      <c r="T524" t="s">
        <v>9757</v>
      </c>
      <c r="U524" t="s">
        <v>9758</v>
      </c>
      <c r="V524" t="s">
        <v>9759</v>
      </c>
      <c r="W524" t="s">
        <v>9760</v>
      </c>
      <c r="X524" t="s">
        <v>9761</v>
      </c>
      <c r="Y524" t="s">
        <v>9762</v>
      </c>
      <c r="Z524" t="s">
        <v>9763</v>
      </c>
      <c r="AA524" t="s">
        <v>74</v>
      </c>
      <c r="AB524" t="s">
        <v>9764</v>
      </c>
      <c r="AC524" t="s">
        <v>9765</v>
      </c>
      <c r="AD524" t="s">
        <v>9766</v>
      </c>
      <c r="AE524" t="s">
        <v>9767</v>
      </c>
      <c r="AF524" t="s">
        <v>74</v>
      </c>
      <c r="AG524">
        <v>178</v>
      </c>
      <c r="AH524">
        <v>41</v>
      </c>
      <c r="AI524">
        <v>47</v>
      </c>
      <c r="AJ524">
        <v>3</v>
      </c>
      <c r="AK524">
        <v>84</v>
      </c>
      <c r="AL524" t="s">
        <v>683</v>
      </c>
      <c r="AM524" t="s">
        <v>684</v>
      </c>
      <c r="AN524" t="s">
        <v>685</v>
      </c>
      <c r="AO524" t="s">
        <v>1827</v>
      </c>
      <c r="AP524" t="s">
        <v>9768</v>
      </c>
      <c r="AQ524" t="s">
        <v>74</v>
      </c>
      <c r="AR524" t="s">
        <v>1828</v>
      </c>
      <c r="AS524" t="s">
        <v>1829</v>
      </c>
      <c r="AT524" t="s">
        <v>9572</v>
      </c>
      <c r="AU524">
        <v>2009</v>
      </c>
      <c r="AV524">
        <v>154</v>
      </c>
      <c r="AW524">
        <v>1</v>
      </c>
      <c r="AX524" t="s">
        <v>74</v>
      </c>
      <c r="AY524" t="s">
        <v>74</v>
      </c>
      <c r="AZ524" t="s">
        <v>74</v>
      </c>
      <c r="BA524" t="s">
        <v>74</v>
      </c>
      <c r="BB524">
        <v>10</v>
      </c>
      <c r="BC524">
        <v>28</v>
      </c>
      <c r="BD524" t="s">
        <v>74</v>
      </c>
      <c r="BE524" t="s">
        <v>9769</v>
      </c>
      <c r="BF524" t="str">
        <f>HYPERLINK("http://dx.doi.org/10.1016/j.cbpa.2009.04.621","http://dx.doi.org/10.1016/j.cbpa.2009.04.621")</f>
        <v>http://dx.doi.org/10.1016/j.cbpa.2009.04.621</v>
      </c>
      <c r="BG524" t="s">
        <v>74</v>
      </c>
      <c r="BH524" t="s">
        <v>74</v>
      </c>
      <c r="BI524">
        <v>19</v>
      </c>
      <c r="BJ524" t="s">
        <v>1831</v>
      </c>
      <c r="BK524" t="s">
        <v>98</v>
      </c>
      <c r="BL524" t="s">
        <v>1831</v>
      </c>
      <c r="BM524" t="s">
        <v>9770</v>
      </c>
      <c r="BN524">
        <v>19401238</v>
      </c>
      <c r="BO524" t="s">
        <v>74</v>
      </c>
      <c r="BP524" t="s">
        <v>74</v>
      </c>
      <c r="BQ524" t="s">
        <v>74</v>
      </c>
      <c r="BR524" t="s">
        <v>101</v>
      </c>
      <c r="BS524" t="s">
        <v>9771</v>
      </c>
      <c r="BT524" t="str">
        <f>HYPERLINK("https%3A%2F%2Fwww.webofscience.com%2Fwos%2Fwoscc%2Ffull-record%2FWOS:000268625600002","View Full Record in Web of Science")</f>
        <v>View Full Record in Web of Science</v>
      </c>
    </row>
    <row r="525" spans="1:72" x14ac:dyDescent="0.15">
      <c r="A525" t="s">
        <v>72</v>
      </c>
      <c r="B525" t="s">
        <v>9772</v>
      </c>
      <c r="C525" t="s">
        <v>74</v>
      </c>
      <c r="D525" t="s">
        <v>74</v>
      </c>
      <c r="E525" t="s">
        <v>74</v>
      </c>
      <c r="F525" t="s">
        <v>9773</v>
      </c>
      <c r="G525" t="s">
        <v>74</v>
      </c>
      <c r="H525" t="s">
        <v>74</v>
      </c>
      <c r="I525" t="s">
        <v>9774</v>
      </c>
      <c r="J525" t="s">
        <v>1813</v>
      </c>
      <c r="K525" t="s">
        <v>74</v>
      </c>
      <c r="L525" t="s">
        <v>74</v>
      </c>
      <c r="M525" t="s">
        <v>78</v>
      </c>
      <c r="N525" t="s">
        <v>52</v>
      </c>
      <c r="O525" t="s">
        <v>9775</v>
      </c>
      <c r="P525" t="s">
        <v>9776</v>
      </c>
      <c r="Q525" t="s">
        <v>9777</v>
      </c>
      <c r="R525" t="s">
        <v>74</v>
      </c>
      <c r="S525" t="s">
        <v>74</v>
      </c>
      <c r="T525" t="s">
        <v>74</v>
      </c>
      <c r="U525" t="s">
        <v>74</v>
      </c>
      <c r="V525" t="s">
        <v>74</v>
      </c>
      <c r="W525" t="s">
        <v>9778</v>
      </c>
      <c r="X525" t="s">
        <v>9779</v>
      </c>
      <c r="Y525" t="s">
        <v>74</v>
      </c>
      <c r="Z525" t="s">
        <v>74</v>
      </c>
      <c r="AA525" t="s">
        <v>9780</v>
      </c>
      <c r="AB525" t="s">
        <v>9781</v>
      </c>
      <c r="AC525" t="s">
        <v>74</v>
      </c>
      <c r="AD525" t="s">
        <v>74</v>
      </c>
      <c r="AE525" t="s">
        <v>74</v>
      </c>
      <c r="AF525" t="s">
        <v>74</v>
      </c>
      <c r="AG525">
        <v>0</v>
      </c>
      <c r="AH525">
        <v>0</v>
      </c>
      <c r="AI525">
        <v>0</v>
      </c>
      <c r="AJ525">
        <v>0</v>
      </c>
      <c r="AK525">
        <v>4</v>
      </c>
      <c r="AL525" t="s">
        <v>683</v>
      </c>
      <c r="AM525" t="s">
        <v>684</v>
      </c>
      <c r="AN525" t="s">
        <v>1826</v>
      </c>
      <c r="AO525" t="s">
        <v>1827</v>
      </c>
      <c r="AP525" t="s">
        <v>74</v>
      </c>
      <c r="AQ525" t="s">
        <v>74</v>
      </c>
      <c r="AR525" t="s">
        <v>1828</v>
      </c>
      <c r="AS525" t="s">
        <v>1829</v>
      </c>
      <c r="AT525" t="s">
        <v>9572</v>
      </c>
      <c r="AU525">
        <v>2009</v>
      </c>
      <c r="AV525">
        <v>154</v>
      </c>
      <c r="AW525">
        <v>1</v>
      </c>
      <c r="AX525" t="s">
        <v>74</v>
      </c>
      <c r="AY525" t="s">
        <v>74</v>
      </c>
      <c r="AZ525" t="s">
        <v>74</v>
      </c>
      <c r="BA525" t="s">
        <v>74</v>
      </c>
      <c r="BB525" t="s">
        <v>9782</v>
      </c>
      <c r="BC525" t="s">
        <v>9783</v>
      </c>
      <c r="BD525" t="s">
        <v>74</v>
      </c>
      <c r="BE525" t="s">
        <v>9784</v>
      </c>
      <c r="BF525" t="str">
        <f>HYPERLINK("http://dx.doi.org/10.1016/j.cbpa.2009.05.112","http://dx.doi.org/10.1016/j.cbpa.2009.05.112")</f>
        <v>http://dx.doi.org/10.1016/j.cbpa.2009.05.112</v>
      </c>
      <c r="BG525" t="s">
        <v>74</v>
      </c>
      <c r="BH525" t="s">
        <v>74</v>
      </c>
      <c r="BI525">
        <v>2</v>
      </c>
      <c r="BJ525" t="s">
        <v>1831</v>
      </c>
      <c r="BK525" t="s">
        <v>98</v>
      </c>
      <c r="BL525" t="s">
        <v>1831</v>
      </c>
      <c r="BM525" t="s">
        <v>9785</v>
      </c>
      <c r="BN525" t="s">
        <v>74</v>
      </c>
      <c r="BO525" t="s">
        <v>74</v>
      </c>
      <c r="BP525" t="s">
        <v>74</v>
      </c>
      <c r="BQ525" t="s">
        <v>74</v>
      </c>
      <c r="BR525" t="s">
        <v>101</v>
      </c>
      <c r="BS525" t="s">
        <v>9786</v>
      </c>
      <c r="BT525" t="str">
        <f>HYPERLINK("https%3A%2F%2Fwww.webofscience.com%2Fwos%2Fwoscc%2Ffull-record%2FWOS:000269427800093","View Full Record in Web of Science")</f>
        <v>View Full Record in Web of Science</v>
      </c>
    </row>
    <row r="526" spans="1:72" x14ac:dyDescent="0.15">
      <c r="A526" t="s">
        <v>72</v>
      </c>
      <c r="B526" t="s">
        <v>9787</v>
      </c>
      <c r="C526" t="s">
        <v>74</v>
      </c>
      <c r="D526" t="s">
        <v>74</v>
      </c>
      <c r="E526" t="s">
        <v>74</v>
      </c>
      <c r="F526" t="s">
        <v>9788</v>
      </c>
      <c r="G526" t="s">
        <v>74</v>
      </c>
      <c r="H526" t="s">
        <v>74</v>
      </c>
      <c r="I526" t="s">
        <v>9789</v>
      </c>
      <c r="J526" t="s">
        <v>1813</v>
      </c>
      <c r="K526" t="s">
        <v>74</v>
      </c>
      <c r="L526" t="s">
        <v>74</v>
      </c>
      <c r="M526" t="s">
        <v>78</v>
      </c>
      <c r="N526" t="s">
        <v>52</v>
      </c>
      <c r="O526" t="s">
        <v>9775</v>
      </c>
      <c r="P526" t="s">
        <v>9776</v>
      </c>
      <c r="Q526" t="s">
        <v>9777</v>
      </c>
      <c r="R526" t="s">
        <v>74</v>
      </c>
      <c r="S526" t="s">
        <v>74</v>
      </c>
      <c r="T526" t="s">
        <v>74</v>
      </c>
      <c r="U526" t="s">
        <v>74</v>
      </c>
      <c r="V526" t="s">
        <v>74</v>
      </c>
      <c r="W526" t="s">
        <v>9790</v>
      </c>
      <c r="X526" t="s">
        <v>9791</v>
      </c>
      <c r="Y526" t="s">
        <v>74</v>
      </c>
      <c r="Z526" t="s">
        <v>74</v>
      </c>
      <c r="AA526" t="s">
        <v>9792</v>
      </c>
      <c r="AB526" t="s">
        <v>9793</v>
      </c>
      <c r="AC526" t="s">
        <v>74</v>
      </c>
      <c r="AD526" t="s">
        <v>74</v>
      </c>
      <c r="AE526" t="s">
        <v>74</v>
      </c>
      <c r="AF526" t="s">
        <v>74</v>
      </c>
      <c r="AG526">
        <v>0</v>
      </c>
      <c r="AH526">
        <v>0</v>
      </c>
      <c r="AI526">
        <v>0</v>
      </c>
      <c r="AJ526">
        <v>0</v>
      </c>
      <c r="AK526">
        <v>11</v>
      </c>
      <c r="AL526" t="s">
        <v>683</v>
      </c>
      <c r="AM526" t="s">
        <v>684</v>
      </c>
      <c r="AN526" t="s">
        <v>1826</v>
      </c>
      <c r="AO526" t="s">
        <v>1827</v>
      </c>
      <c r="AP526" t="s">
        <v>74</v>
      </c>
      <c r="AQ526" t="s">
        <v>74</v>
      </c>
      <c r="AR526" t="s">
        <v>1828</v>
      </c>
      <c r="AS526" t="s">
        <v>1829</v>
      </c>
      <c r="AT526" t="s">
        <v>9572</v>
      </c>
      <c r="AU526">
        <v>2009</v>
      </c>
      <c r="AV526">
        <v>154</v>
      </c>
      <c r="AW526">
        <v>1</v>
      </c>
      <c r="AX526" t="s">
        <v>74</v>
      </c>
      <c r="AY526" t="s">
        <v>74</v>
      </c>
      <c r="AZ526" t="s">
        <v>74</v>
      </c>
      <c r="BA526" t="s">
        <v>74</v>
      </c>
      <c r="BB526" t="s">
        <v>9794</v>
      </c>
      <c r="BC526" t="s">
        <v>9795</v>
      </c>
      <c r="BD526" t="s">
        <v>74</v>
      </c>
      <c r="BE526" t="s">
        <v>9796</v>
      </c>
      <c r="BF526" t="str">
        <f>HYPERLINK("http://dx.doi.org/10.1016/j.cbpa.2009.05.019","http://dx.doi.org/10.1016/j.cbpa.2009.05.019")</f>
        <v>http://dx.doi.org/10.1016/j.cbpa.2009.05.019</v>
      </c>
      <c r="BG526" t="s">
        <v>74</v>
      </c>
      <c r="BH526" t="s">
        <v>74</v>
      </c>
      <c r="BI526">
        <v>2</v>
      </c>
      <c r="BJ526" t="s">
        <v>1831</v>
      </c>
      <c r="BK526" t="s">
        <v>98</v>
      </c>
      <c r="BL526" t="s">
        <v>1831</v>
      </c>
      <c r="BM526" t="s">
        <v>9785</v>
      </c>
      <c r="BN526" t="s">
        <v>74</v>
      </c>
      <c r="BO526" t="s">
        <v>74</v>
      </c>
      <c r="BP526" t="s">
        <v>74</v>
      </c>
      <c r="BQ526" t="s">
        <v>74</v>
      </c>
      <c r="BR526" t="s">
        <v>101</v>
      </c>
      <c r="BS526" t="s">
        <v>9797</v>
      </c>
      <c r="BT526" t="str">
        <f>HYPERLINK("https%3A%2F%2Fwww.webofscience.com%2Fwos%2Fwoscc%2Ffull-record%2FWOS:000269427800006","View Full Record in Web of Science")</f>
        <v>View Full Record in Web of Science</v>
      </c>
    </row>
    <row r="527" spans="1:72" x14ac:dyDescent="0.15">
      <c r="A527" t="s">
        <v>72</v>
      </c>
      <c r="B527" t="s">
        <v>9798</v>
      </c>
      <c r="C527" t="s">
        <v>74</v>
      </c>
      <c r="D527" t="s">
        <v>74</v>
      </c>
      <c r="E527" t="s">
        <v>74</v>
      </c>
      <c r="F527" t="s">
        <v>9799</v>
      </c>
      <c r="G527" t="s">
        <v>74</v>
      </c>
      <c r="H527" t="s">
        <v>74</v>
      </c>
      <c r="I527" t="s">
        <v>9800</v>
      </c>
      <c r="J527" t="s">
        <v>4812</v>
      </c>
      <c r="K527" t="s">
        <v>74</v>
      </c>
      <c r="L527" t="s">
        <v>74</v>
      </c>
      <c r="M527" t="s">
        <v>78</v>
      </c>
      <c r="N527" t="s">
        <v>79</v>
      </c>
      <c r="O527" t="s">
        <v>74</v>
      </c>
      <c r="P527" t="s">
        <v>74</v>
      </c>
      <c r="Q527" t="s">
        <v>74</v>
      </c>
      <c r="R527" t="s">
        <v>74</v>
      </c>
      <c r="S527" t="s">
        <v>74</v>
      </c>
      <c r="T527" t="s">
        <v>74</v>
      </c>
      <c r="U527" t="s">
        <v>9801</v>
      </c>
      <c r="V527" t="s">
        <v>9802</v>
      </c>
      <c r="W527" t="s">
        <v>9803</v>
      </c>
      <c r="X527" t="s">
        <v>9804</v>
      </c>
      <c r="Y527" t="s">
        <v>9805</v>
      </c>
      <c r="Z527" t="s">
        <v>9806</v>
      </c>
      <c r="AA527" t="s">
        <v>74</v>
      </c>
      <c r="AB527" t="s">
        <v>74</v>
      </c>
      <c r="AC527" t="s">
        <v>9807</v>
      </c>
      <c r="AD527" t="s">
        <v>9808</v>
      </c>
      <c r="AE527" t="s">
        <v>9809</v>
      </c>
      <c r="AF527" t="s">
        <v>74</v>
      </c>
      <c r="AG527">
        <v>20</v>
      </c>
      <c r="AH527">
        <v>30</v>
      </c>
      <c r="AI527">
        <v>38</v>
      </c>
      <c r="AJ527">
        <v>3</v>
      </c>
      <c r="AK527">
        <v>36</v>
      </c>
      <c r="AL527" t="s">
        <v>1850</v>
      </c>
      <c r="AM527" t="s">
        <v>684</v>
      </c>
      <c r="AN527" t="s">
        <v>2272</v>
      </c>
      <c r="AO527" t="s">
        <v>4824</v>
      </c>
      <c r="AP527" t="s">
        <v>74</v>
      </c>
      <c r="AQ527" t="s">
        <v>74</v>
      </c>
      <c r="AR527" t="s">
        <v>4826</v>
      </c>
      <c r="AS527" t="s">
        <v>4827</v>
      </c>
      <c r="AT527" t="s">
        <v>9572</v>
      </c>
      <c r="AU527">
        <v>2009</v>
      </c>
      <c r="AV527">
        <v>59</v>
      </c>
      <c r="AW527">
        <v>3</v>
      </c>
      <c r="AX527" t="s">
        <v>74</v>
      </c>
      <c r="AY527" t="s">
        <v>74</v>
      </c>
      <c r="AZ527" t="s">
        <v>74</v>
      </c>
      <c r="BA527" t="s">
        <v>74</v>
      </c>
      <c r="BB527">
        <v>341</v>
      </c>
      <c r="BC527">
        <v>345</v>
      </c>
      <c r="BD527" t="s">
        <v>74</v>
      </c>
      <c r="BE527" t="s">
        <v>9810</v>
      </c>
      <c r="BF527" t="str">
        <f>HYPERLINK("http://dx.doi.org/10.1007/s00284-009-9440-9","http://dx.doi.org/10.1007/s00284-009-9440-9")</f>
        <v>http://dx.doi.org/10.1007/s00284-009-9440-9</v>
      </c>
      <c r="BG527" t="s">
        <v>74</v>
      </c>
      <c r="BH527" t="s">
        <v>74</v>
      </c>
      <c r="BI527">
        <v>5</v>
      </c>
      <c r="BJ527" t="s">
        <v>1958</v>
      </c>
      <c r="BK527" t="s">
        <v>98</v>
      </c>
      <c r="BL527" t="s">
        <v>1958</v>
      </c>
      <c r="BM527" t="s">
        <v>9811</v>
      </c>
      <c r="BN527">
        <v>19543945</v>
      </c>
      <c r="BO527" t="s">
        <v>74</v>
      </c>
      <c r="BP527" t="s">
        <v>74</v>
      </c>
      <c r="BQ527" t="s">
        <v>74</v>
      </c>
      <c r="BR527" t="s">
        <v>101</v>
      </c>
      <c r="BS527" t="s">
        <v>9812</v>
      </c>
      <c r="BT527" t="str">
        <f>HYPERLINK("https%3A%2F%2Fwww.webofscience.com%2Fwos%2Fwoscc%2Ffull-record%2FWOS:000268775800020","View Full Record in Web of Science")</f>
        <v>View Full Record in Web of Science</v>
      </c>
    </row>
    <row r="528" spans="1:72" x14ac:dyDescent="0.15">
      <c r="A528" t="s">
        <v>72</v>
      </c>
      <c r="B528" t="s">
        <v>9813</v>
      </c>
      <c r="C528" t="s">
        <v>74</v>
      </c>
      <c r="D528" t="s">
        <v>74</v>
      </c>
      <c r="E528" t="s">
        <v>74</v>
      </c>
      <c r="F528" t="s">
        <v>9814</v>
      </c>
      <c r="G528" t="s">
        <v>74</v>
      </c>
      <c r="H528" t="s">
        <v>74</v>
      </c>
      <c r="I528" t="s">
        <v>9815</v>
      </c>
      <c r="J528" t="s">
        <v>7469</v>
      </c>
      <c r="K528" t="s">
        <v>74</v>
      </c>
      <c r="L528" t="s">
        <v>74</v>
      </c>
      <c r="M528" t="s">
        <v>78</v>
      </c>
      <c r="N528" t="s">
        <v>1965</v>
      </c>
      <c r="O528" t="s">
        <v>9816</v>
      </c>
      <c r="P528" t="s">
        <v>9817</v>
      </c>
      <c r="Q528" t="s">
        <v>9818</v>
      </c>
      <c r="R528" t="s">
        <v>74</v>
      </c>
      <c r="S528" t="s">
        <v>9819</v>
      </c>
      <c r="T528" t="s">
        <v>9820</v>
      </c>
      <c r="U528" t="s">
        <v>9821</v>
      </c>
      <c r="V528" t="s">
        <v>9822</v>
      </c>
      <c r="W528" t="s">
        <v>9823</v>
      </c>
      <c r="X528" t="s">
        <v>9824</v>
      </c>
      <c r="Y528" t="s">
        <v>4901</v>
      </c>
      <c r="Z528" t="s">
        <v>9825</v>
      </c>
      <c r="AA528" t="s">
        <v>4903</v>
      </c>
      <c r="AB528" t="s">
        <v>74</v>
      </c>
      <c r="AC528" t="s">
        <v>74</v>
      </c>
      <c r="AD528" t="s">
        <v>74</v>
      </c>
      <c r="AE528" t="s">
        <v>74</v>
      </c>
      <c r="AF528" t="s">
        <v>74</v>
      </c>
      <c r="AG528">
        <v>41</v>
      </c>
      <c r="AH528">
        <v>4</v>
      </c>
      <c r="AI528">
        <v>6</v>
      </c>
      <c r="AJ528">
        <v>1</v>
      </c>
      <c r="AK528">
        <v>25</v>
      </c>
      <c r="AL528" t="s">
        <v>1894</v>
      </c>
      <c r="AM528" t="s">
        <v>1895</v>
      </c>
      <c r="AN528" t="s">
        <v>1896</v>
      </c>
      <c r="AO528" t="s">
        <v>7482</v>
      </c>
      <c r="AP528" t="s">
        <v>74</v>
      </c>
      <c r="AQ528" t="s">
        <v>74</v>
      </c>
      <c r="AR528" t="s">
        <v>7484</v>
      </c>
      <c r="AS528" t="s">
        <v>7485</v>
      </c>
      <c r="AT528" t="s">
        <v>9572</v>
      </c>
      <c r="AU528">
        <v>2009</v>
      </c>
      <c r="AV528">
        <v>56</v>
      </c>
      <c r="AW528" t="s">
        <v>9826</v>
      </c>
      <c r="AX528" t="s">
        <v>74</v>
      </c>
      <c r="AY528" t="s">
        <v>74</v>
      </c>
      <c r="AZ528" t="s">
        <v>74</v>
      </c>
      <c r="BA528" t="s">
        <v>74</v>
      </c>
      <c r="BB528">
        <v>1732</v>
      </c>
      <c r="BC528">
        <v>1738</v>
      </c>
      <c r="BD528" t="s">
        <v>74</v>
      </c>
      <c r="BE528" t="s">
        <v>9827</v>
      </c>
      <c r="BF528" t="str">
        <f>HYPERLINK("http://dx.doi.org/10.1016/j.dsr2.2009.05.017","http://dx.doi.org/10.1016/j.dsr2.2009.05.017")</f>
        <v>http://dx.doi.org/10.1016/j.dsr2.2009.05.017</v>
      </c>
      <c r="BG528" t="s">
        <v>74</v>
      </c>
      <c r="BH528" t="s">
        <v>74</v>
      </c>
      <c r="BI528">
        <v>7</v>
      </c>
      <c r="BJ528" t="s">
        <v>806</v>
      </c>
      <c r="BK528" t="s">
        <v>1986</v>
      </c>
      <c r="BL528" t="s">
        <v>806</v>
      </c>
      <c r="BM528" t="s">
        <v>9828</v>
      </c>
      <c r="BN528" t="s">
        <v>74</v>
      </c>
      <c r="BO528" t="s">
        <v>74</v>
      </c>
      <c r="BP528" t="s">
        <v>74</v>
      </c>
      <c r="BQ528" t="s">
        <v>74</v>
      </c>
      <c r="BR528" t="s">
        <v>101</v>
      </c>
      <c r="BS528" t="s">
        <v>9829</v>
      </c>
      <c r="BT528" t="str">
        <f>HYPERLINK("https%3A%2F%2Fwww.webofscience.com%2Fwos%2Fwoscc%2Ffull-record%2FWOS:000270635700018","View Full Record in Web of Science")</f>
        <v>View Full Record in Web of Science</v>
      </c>
    </row>
    <row r="529" spans="1:72" x14ac:dyDescent="0.15">
      <c r="A529" t="s">
        <v>72</v>
      </c>
      <c r="B529" t="s">
        <v>9830</v>
      </c>
      <c r="C529" t="s">
        <v>74</v>
      </c>
      <c r="D529" t="s">
        <v>74</v>
      </c>
      <c r="E529" t="s">
        <v>74</v>
      </c>
      <c r="F529" t="s">
        <v>9831</v>
      </c>
      <c r="G529" t="s">
        <v>74</v>
      </c>
      <c r="H529" t="s">
        <v>74</v>
      </c>
      <c r="I529" t="s">
        <v>9832</v>
      </c>
      <c r="J529" t="s">
        <v>9833</v>
      </c>
      <c r="K529" t="s">
        <v>74</v>
      </c>
      <c r="L529" t="s">
        <v>74</v>
      </c>
      <c r="M529" t="s">
        <v>78</v>
      </c>
      <c r="N529" t="s">
        <v>8261</v>
      </c>
      <c r="O529" t="s">
        <v>74</v>
      </c>
      <c r="P529" t="s">
        <v>74</v>
      </c>
      <c r="Q529" t="s">
        <v>74</v>
      </c>
      <c r="R529" t="s">
        <v>74</v>
      </c>
      <c r="S529" t="s">
        <v>74</v>
      </c>
      <c r="T529" t="s">
        <v>74</v>
      </c>
      <c r="U529" t="s">
        <v>74</v>
      </c>
      <c r="V529" t="s">
        <v>74</v>
      </c>
      <c r="W529" t="s">
        <v>74</v>
      </c>
      <c r="X529" t="s">
        <v>74</v>
      </c>
      <c r="Y529" t="s">
        <v>9834</v>
      </c>
      <c r="Z529" t="s">
        <v>9835</v>
      </c>
      <c r="AA529" t="s">
        <v>74</v>
      </c>
      <c r="AB529" t="s">
        <v>74</v>
      </c>
      <c r="AC529" t="s">
        <v>74</v>
      </c>
      <c r="AD529" t="s">
        <v>74</v>
      </c>
      <c r="AE529" t="s">
        <v>74</v>
      </c>
      <c r="AF529" t="s">
        <v>74</v>
      </c>
      <c r="AG529">
        <v>0</v>
      </c>
      <c r="AH529">
        <v>0</v>
      </c>
      <c r="AI529">
        <v>0</v>
      </c>
      <c r="AJ529">
        <v>0</v>
      </c>
      <c r="AK529">
        <v>2</v>
      </c>
      <c r="AL529" t="s">
        <v>1850</v>
      </c>
      <c r="AM529" t="s">
        <v>684</v>
      </c>
      <c r="AN529" t="s">
        <v>2272</v>
      </c>
      <c r="AO529" t="s">
        <v>9836</v>
      </c>
      <c r="AP529" t="s">
        <v>74</v>
      </c>
      <c r="AQ529" t="s">
        <v>74</v>
      </c>
      <c r="AR529" t="s">
        <v>9837</v>
      </c>
      <c r="AS529" t="s">
        <v>9838</v>
      </c>
      <c r="AT529" t="s">
        <v>9572</v>
      </c>
      <c r="AU529">
        <v>2009</v>
      </c>
      <c r="AV529">
        <v>58</v>
      </c>
      <c r="AW529">
        <v>6</v>
      </c>
      <c r="AX529" t="s">
        <v>74</v>
      </c>
      <c r="AY529" t="s">
        <v>74</v>
      </c>
      <c r="AZ529" t="s">
        <v>74</v>
      </c>
      <c r="BA529" t="s">
        <v>74</v>
      </c>
      <c r="BB529">
        <v>1373</v>
      </c>
      <c r="BC529">
        <v>1373</v>
      </c>
      <c r="BD529" t="s">
        <v>74</v>
      </c>
      <c r="BE529" t="s">
        <v>74</v>
      </c>
      <c r="BF529" t="s">
        <v>74</v>
      </c>
      <c r="BG529" t="s">
        <v>74</v>
      </c>
      <c r="BH529" t="s">
        <v>74</v>
      </c>
      <c r="BI529">
        <v>1</v>
      </c>
      <c r="BJ529" t="s">
        <v>9839</v>
      </c>
      <c r="BK529" t="s">
        <v>98</v>
      </c>
      <c r="BL529" t="s">
        <v>9840</v>
      </c>
      <c r="BM529" t="s">
        <v>9841</v>
      </c>
      <c r="BN529" t="s">
        <v>74</v>
      </c>
      <c r="BO529" t="s">
        <v>74</v>
      </c>
      <c r="BP529" t="s">
        <v>74</v>
      </c>
      <c r="BQ529" t="s">
        <v>74</v>
      </c>
      <c r="BR529" t="s">
        <v>101</v>
      </c>
      <c r="BS529" t="s">
        <v>9842</v>
      </c>
      <c r="BT529" t="str">
        <f>HYPERLINK("https%3A%2F%2Fwww.webofscience.com%2Fwos%2Fwoscc%2Ffull-record%2FWOS:000269076800023","View Full Record in Web of Science")</f>
        <v>View Full Record in Web of Science</v>
      </c>
    </row>
    <row r="530" spans="1:72" x14ac:dyDescent="0.15">
      <c r="A530" t="s">
        <v>72</v>
      </c>
      <c r="B530" t="s">
        <v>9843</v>
      </c>
      <c r="C530" t="s">
        <v>74</v>
      </c>
      <c r="D530" t="s">
        <v>74</v>
      </c>
      <c r="E530" t="s">
        <v>74</v>
      </c>
      <c r="F530" t="s">
        <v>9844</v>
      </c>
      <c r="G530" t="s">
        <v>74</v>
      </c>
      <c r="H530" t="s">
        <v>74</v>
      </c>
      <c r="I530" t="s">
        <v>9845</v>
      </c>
      <c r="J530" t="s">
        <v>1942</v>
      </c>
      <c r="K530" t="s">
        <v>74</v>
      </c>
      <c r="L530" t="s">
        <v>74</v>
      </c>
      <c r="M530" t="s">
        <v>78</v>
      </c>
      <c r="N530" t="s">
        <v>79</v>
      </c>
      <c r="O530" t="s">
        <v>74</v>
      </c>
      <c r="P530" t="s">
        <v>74</v>
      </c>
      <c r="Q530" t="s">
        <v>74</v>
      </c>
      <c r="R530" t="s">
        <v>74</v>
      </c>
      <c r="S530" t="s">
        <v>74</v>
      </c>
      <c r="T530" t="s">
        <v>74</v>
      </c>
      <c r="U530" t="s">
        <v>9846</v>
      </c>
      <c r="V530" t="s">
        <v>9847</v>
      </c>
      <c r="W530" t="s">
        <v>9848</v>
      </c>
      <c r="X530" t="s">
        <v>9849</v>
      </c>
      <c r="Y530" t="s">
        <v>9850</v>
      </c>
      <c r="Z530" t="s">
        <v>9851</v>
      </c>
      <c r="AA530" t="s">
        <v>9852</v>
      </c>
      <c r="AB530" t="s">
        <v>74</v>
      </c>
      <c r="AC530" t="s">
        <v>9853</v>
      </c>
      <c r="AD530" t="s">
        <v>9854</v>
      </c>
      <c r="AE530" t="s">
        <v>9855</v>
      </c>
      <c r="AF530" t="s">
        <v>74</v>
      </c>
      <c r="AG530">
        <v>52</v>
      </c>
      <c r="AH530">
        <v>108</v>
      </c>
      <c r="AI530">
        <v>122</v>
      </c>
      <c r="AJ530">
        <v>2</v>
      </c>
      <c r="AK530">
        <v>52</v>
      </c>
      <c r="AL530" t="s">
        <v>1184</v>
      </c>
      <c r="AM530" t="s">
        <v>1185</v>
      </c>
      <c r="AN530" t="s">
        <v>1186</v>
      </c>
      <c r="AO530" t="s">
        <v>1953</v>
      </c>
      <c r="AP530" t="s">
        <v>1954</v>
      </c>
      <c r="AQ530" t="s">
        <v>74</v>
      </c>
      <c r="AR530" t="s">
        <v>1955</v>
      </c>
      <c r="AS530" t="s">
        <v>1956</v>
      </c>
      <c r="AT530" t="s">
        <v>9572</v>
      </c>
      <c r="AU530">
        <v>2009</v>
      </c>
      <c r="AV530">
        <v>11</v>
      </c>
      <c r="AW530">
        <v>9</v>
      </c>
      <c r="AX530" t="s">
        <v>74</v>
      </c>
      <c r="AY530" t="s">
        <v>74</v>
      </c>
      <c r="AZ530" t="s">
        <v>74</v>
      </c>
      <c r="BA530" t="s">
        <v>74</v>
      </c>
      <c r="BB530">
        <v>2434</v>
      </c>
      <c r="BC530">
        <v>2445</v>
      </c>
      <c r="BD530" t="s">
        <v>74</v>
      </c>
      <c r="BE530" t="s">
        <v>9856</v>
      </c>
      <c r="BF530" t="str">
        <f>HYPERLINK("http://dx.doi.org/10.1111/j.1462-2920.2009.01974.x","http://dx.doi.org/10.1111/j.1462-2920.2009.01974.x")</f>
        <v>http://dx.doi.org/10.1111/j.1462-2920.2009.01974.x</v>
      </c>
      <c r="BG530" t="s">
        <v>74</v>
      </c>
      <c r="BH530" t="s">
        <v>74</v>
      </c>
      <c r="BI530">
        <v>12</v>
      </c>
      <c r="BJ530" t="s">
        <v>1958</v>
      </c>
      <c r="BK530" t="s">
        <v>98</v>
      </c>
      <c r="BL530" t="s">
        <v>1958</v>
      </c>
      <c r="BM530" t="s">
        <v>9857</v>
      </c>
      <c r="BN530">
        <v>19601959</v>
      </c>
      <c r="BO530" t="s">
        <v>74</v>
      </c>
      <c r="BP530" t="s">
        <v>74</v>
      </c>
      <c r="BQ530" t="s">
        <v>74</v>
      </c>
      <c r="BR530" t="s">
        <v>101</v>
      </c>
      <c r="BS530" t="s">
        <v>9858</v>
      </c>
      <c r="BT530" t="str">
        <f>HYPERLINK("https%3A%2F%2Fwww.webofscience.com%2Fwos%2Fwoscc%2Ffull-record%2FWOS:000269539700023","View Full Record in Web of Science")</f>
        <v>View Full Record in Web of Science</v>
      </c>
    </row>
    <row r="531" spans="1:72" x14ac:dyDescent="0.15">
      <c r="A531" t="s">
        <v>72</v>
      </c>
      <c r="B531" t="s">
        <v>9859</v>
      </c>
      <c r="C531" t="s">
        <v>74</v>
      </c>
      <c r="D531" t="s">
        <v>74</v>
      </c>
      <c r="E531" t="s">
        <v>74</v>
      </c>
      <c r="F531" t="s">
        <v>9860</v>
      </c>
      <c r="G531" t="s">
        <v>74</v>
      </c>
      <c r="H531" t="s">
        <v>74</v>
      </c>
      <c r="I531" t="s">
        <v>9861</v>
      </c>
      <c r="J531" t="s">
        <v>9862</v>
      </c>
      <c r="K531" t="s">
        <v>74</v>
      </c>
      <c r="L531" t="s">
        <v>74</v>
      </c>
      <c r="M531" t="s">
        <v>78</v>
      </c>
      <c r="N531" t="s">
        <v>79</v>
      </c>
      <c r="O531" t="s">
        <v>74</v>
      </c>
      <c r="P531" t="s">
        <v>74</v>
      </c>
      <c r="Q531" t="s">
        <v>74</v>
      </c>
      <c r="R531" t="s">
        <v>74</v>
      </c>
      <c r="S531" t="s">
        <v>74</v>
      </c>
      <c r="T531" t="s">
        <v>74</v>
      </c>
      <c r="U531" t="s">
        <v>9863</v>
      </c>
      <c r="V531" t="s">
        <v>9864</v>
      </c>
      <c r="W531" t="s">
        <v>9865</v>
      </c>
      <c r="X531" t="s">
        <v>9866</v>
      </c>
      <c r="Y531" t="s">
        <v>9867</v>
      </c>
      <c r="Z531" t="s">
        <v>9868</v>
      </c>
      <c r="AA531" t="s">
        <v>74</v>
      </c>
      <c r="AB531" t="s">
        <v>9869</v>
      </c>
      <c r="AC531" t="s">
        <v>9870</v>
      </c>
      <c r="AD531" t="s">
        <v>9870</v>
      </c>
      <c r="AE531" t="s">
        <v>9871</v>
      </c>
      <c r="AF531" t="s">
        <v>74</v>
      </c>
      <c r="AG531">
        <v>54</v>
      </c>
      <c r="AH531">
        <v>167</v>
      </c>
      <c r="AI531">
        <v>204</v>
      </c>
      <c r="AJ531">
        <v>15</v>
      </c>
      <c r="AK531">
        <v>213</v>
      </c>
      <c r="AL531" t="s">
        <v>887</v>
      </c>
      <c r="AM531" t="s">
        <v>227</v>
      </c>
      <c r="AN531" t="s">
        <v>888</v>
      </c>
      <c r="AO531" t="s">
        <v>9872</v>
      </c>
      <c r="AP531" t="s">
        <v>74</v>
      </c>
      <c r="AQ531" t="s">
        <v>74</v>
      </c>
      <c r="AR531" t="s">
        <v>9873</v>
      </c>
      <c r="AS531" t="s">
        <v>9874</v>
      </c>
      <c r="AT531" t="s">
        <v>9657</v>
      </c>
      <c r="AU531">
        <v>2009</v>
      </c>
      <c r="AV531">
        <v>43</v>
      </c>
      <c r="AW531">
        <v>17</v>
      </c>
      <c r="AX531" t="s">
        <v>74</v>
      </c>
      <c r="AY531" t="s">
        <v>74</v>
      </c>
      <c r="AZ531" t="s">
        <v>74</v>
      </c>
      <c r="BA531" t="s">
        <v>74</v>
      </c>
      <c r="BB531">
        <v>6507</v>
      </c>
      <c r="BC531">
        <v>6514</v>
      </c>
      <c r="BD531" t="s">
        <v>74</v>
      </c>
      <c r="BE531" t="s">
        <v>9875</v>
      </c>
      <c r="BF531" t="str">
        <f>HYPERLINK("http://dx.doi.org/10.1021/es9010465","http://dx.doi.org/10.1021/es9010465")</f>
        <v>http://dx.doi.org/10.1021/es9010465</v>
      </c>
      <c r="BG531" t="s">
        <v>74</v>
      </c>
      <c r="BH531" t="s">
        <v>74</v>
      </c>
      <c r="BI531">
        <v>8</v>
      </c>
      <c r="BJ531" t="s">
        <v>9876</v>
      </c>
      <c r="BK531" t="s">
        <v>98</v>
      </c>
      <c r="BL531" t="s">
        <v>9877</v>
      </c>
      <c r="BM531" t="s">
        <v>9878</v>
      </c>
      <c r="BN531">
        <v>19764209</v>
      </c>
      <c r="BO531" t="s">
        <v>74</v>
      </c>
      <c r="BP531" t="s">
        <v>74</v>
      </c>
      <c r="BQ531" t="s">
        <v>74</v>
      </c>
      <c r="BR531" t="s">
        <v>101</v>
      </c>
      <c r="BS531" t="s">
        <v>9879</v>
      </c>
      <c r="BT531" t="str">
        <f>HYPERLINK("https%3A%2F%2Fwww.webofscience.com%2Fwos%2Fwoscc%2Ffull-record%2FWOS:000269258000016","View Full Record in Web of Science")</f>
        <v>View Full Record in Web of Science</v>
      </c>
    </row>
    <row r="532" spans="1:72" x14ac:dyDescent="0.15">
      <c r="A532" t="s">
        <v>72</v>
      </c>
      <c r="B532" t="s">
        <v>9880</v>
      </c>
      <c r="C532" t="s">
        <v>74</v>
      </c>
      <c r="D532" t="s">
        <v>74</v>
      </c>
      <c r="E532" t="s">
        <v>74</v>
      </c>
      <c r="F532" t="s">
        <v>9881</v>
      </c>
      <c r="G532" t="s">
        <v>74</v>
      </c>
      <c r="H532" t="s">
        <v>74</v>
      </c>
      <c r="I532" t="s">
        <v>9882</v>
      </c>
      <c r="J532" t="s">
        <v>9883</v>
      </c>
      <c r="K532" t="s">
        <v>74</v>
      </c>
      <c r="L532" t="s">
        <v>74</v>
      </c>
      <c r="M532" t="s">
        <v>78</v>
      </c>
      <c r="N532" t="s">
        <v>79</v>
      </c>
      <c r="O532" t="s">
        <v>74</v>
      </c>
      <c r="P532" t="s">
        <v>74</v>
      </c>
      <c r="Q532" t="s">
        <v>74</v>
      </c>
      <c r="R532" t="s">
        <v>74</v>
      </c>
      <c r="S532" t="s">
        <v>74</v>
      </c>
      <c r="T532" t="s">
        <v>9884</v>
      </c>
      <c r="U532" t="s">
        <v>9885</v>
      </c>
      <c r="V532" t="s">
        <v>9886</v>
      </c>
      <c r="W532" t="s">
        <v>9887</v>
      </c>
      <c r="X532" t="s">
        <v>9888</v>
      </c>
      <c r="Y532" t="s">
        <v>9889</v>
      </c>
      <c r="Z532" t="s">
        <v>9890</v>
      </c>
      <c r="AA532" t="s">
        <v>9891</v>
      </c>
      <c r="AB532" t="s">
        <v>9892</v>
      </c>
      <c r="AC532" t="s">
        <v>9893</v>
      </c>
      <c r="AD532" t="s">
        <v>9894</v>
      </c>
      <c r="AE532" t="s">
        <v>9895</v>
      </c>
      <c r="AF532" t="s">
        <v>74</v>
      </c>
      <c r="AG532">
        <v>25</v>
      </c>
      <c r="AH532">
        <v>9</v>
      </c>
      <c r="AI532">
        <v>9</v>
      </c>
      <c r="AJ532">
        <v>0</v>
      </c>
      <c r="AK532">
        <v>13</v>
      </c>
      <c r="AL532" t="s">
        <v>9896</v>
      </c>
      <c r="AM532" t="s">
        <v>9897</v>
      </c>
      <c r="AN532" t="s">
        <v>9898</v>
      </c>
      <c r="AO532" t="s">
        <v>9899</v>
      </c>
      <c r="AP532" t="s">
        <v>74</v>
      </c>
      <c r="AQ532" t="s">
        <v>74</v>
      </c>
      <c r="AR532" t="s">
        <v>9883</v>
      </c>
      <c r="AS532" t="s">
        <v>9900</v>
      </c>
      <c r="AT532" t="s">
        <v>9572</v>
      </c>
      <c r="AU532">
        <v>2009</v>
      </c>
      <c r="AV532">
        <v>20</v>
      </c>
      <c r="AW532">
        <v>6</v>
      </c>
      <c r="AX532" t="s">
        <v>74</v>
      </c>
      <c r="AY532" t="s">
        <v>74</v>
      </c>
      <c r="AZ532" t="s">
        <v>74</v>
      </c>
      <c r="BA532" t="s">
        <v>74</v>
      </c>
      <c r="BB532">
        <v>633</v>
      </c>
      <c r="BC532">
        <v>646</v>
      </c>
      <c r="BD532" t="s">
        <v>74</v>
      </c>
      <c r="BE532" t="s">
        <v>9901</v>
      </c>
      <c r="BF532" t="str">
        <f>HYPERLINK("http://dx.doi.org/10.1002/env.968","http://dx.doi.org/10.1002/env.968")</f>
        <v>http://dx.doi.org/10.1002/env.968</v>
      </c>
      <c r="BG532" t="s">
        <v>74</v>
      </c>
      <c r="BH532" t="s">
        <v>74</v>
      </c>
      <c r="BI532">
        <v>14</v>
      </c>
      <c r="BJ532" t="s">
        <v>9902</v>
      </c>
      <c r="BK532" t="s">
        <v>98</v>
      </c>
      <c r="BL532" t="s">
        <v>9903</v>
      </c>
      <c r="BM532" t="s">
        <v>9904</v>
      </c>
      <c r="BN532" t="s">
        <v>74</v>
      </c>
      <c r="BO532" t="s">
        <v>74</v>
      </c>
      <c r="BP532" t="s">
        <v>74</v>
      </c>
      <c r="BQ532" t="s">
        <v>74</v>
      </c>
      <c r="BR532" t="s">
        <v>101</v>
      </c>
      <c r="BS532" t="s">
        <v>9905</v>
      </c>
      <c r="BT532" t="str">
        <f>HYPERLINK("https%3A%2F%2Fwww.webofscience.com%2Fwos%2Fwoscc%2Ffull-record%2FWOS:000271150100005","View Full Record in Web of Science")</f>
        <v>View Full Record in Web of Science</v>
      </c>
    </row>
    <row r="533" spans="1:72" x14ac:dyDescent="0.15">
      <c r="A533" t="s">
        <v>72</v>
      </c>
      <c r="B533" t="s">
        <v>9906</v>
      </c>
      <c r="C533" t="s">
        <v>74</v>
      </c>
      <c r="D533" t="s">
        <v>74</v>
      </c>
      <c r="E533" t="s">
        <v>74</v>
      </c>
      <c r="F533" t="s">
        <v>9907</v>
      </c>
      <c r="G533" t="s">
        <v>74</v>
      </c>
      <c r="H533" t="s">
        <v>74</v>
      </c>
      <c r="I533" t="s">
        <v>9908</v>
      </c>
      <c r="J533" t="s">
        <v>9909</v>
      </c>
      <c r="K533" t="s">
        <v>74</v>
      </c>
      <c r="L533" t="s">
        <v>74</v>
      </c>
      <c r="M533" t="s">
        <v>78</v>
      </c>
      <c r="N533" t="s">
        <v>79</v>
      </c>
      <c r="O533" t="s">
        <v>74</v>
      </c>
      <c r="P533" t="s">
        <v>74</v>
      </c>
      <c r="Q533" t="s">
        <v>74</v>
      </c>
      <c r="R533" t="s">
        <v>74</v>
      </c>
      <c r="S533" t="s">
        <v>74</v>
      </c>
      <c r="T533" t="s">
        <v>74</v>
      </c>
      <c r="U533" t="s">
        <v>9910</v>
      </c>
      <c r="V533" t="s">
        <v>9911</v>
      </c>
      <c r="W533" t="s">
        <v>9912</v>
      </c>
      <c r="X533" t="s">
        <v>9913</v>
      </c>
      <c r="Y533" t="s">
        <v>74</v>
      </c>
      <c r="Z533" t="s">
        <v>9914</v>
      </c>
      <c r="AA533" t="s">
        <v>9915</v>
      </c>
      <c r="AB533" t="s">
        <v>9916</v>
      </c>
      <c r="AC533" t="s">
        <v>74</v>
      </c>
      <c r="AD533" t="s">
        <v>74</v>
      </c>
      <c r="AE533" t="s">
        <v>74</v>
      </c>
      <c r="AF533" t="s">
        <v>74</v>
      </c>
      <c r="AG533">
        <v>102</v>
      </c>
      <c r="AH533">
        <v>78</v>
      </c>
      <c r="AI533">
        <v>83</v>
      </c>
      <c r="AJ533">
        <v>0</v>
      </c>
      <c r="AK533">
        <v>17</v>
      </c>
      <c r="AL533" t="s">
        <v>9917</v>
      </c>
      <c r="AM533" t="s">
        <v>382</v>
      </c>
      <c r="AN533" t="s">
        <v>9918</v>
      </c>
      <c r="AO533" t="s">
        <v>9919</v>
      </c>
      <c r="AP533" t="s">
        <v>74</v>
      </c>
      <c r="AQ533" t="s">
        <v>74</v>
      </c>
      <c r="AR533" t="s">
        <v>9909</v>
      </c>
      <c r="AS533" t="s">
        <v>9920</v>
      </c>
      <c r="AT533" t="s">
        <v>9572</v>
      </c>
      <c r="AU533">
        <v>2009</v>
      </c>
      <c r="AV533">
        <v>32</v>
      </c>
      <c r="AW533">
        <v>3</v>
      </c>
      <c r="AX533" t="s">
        <v>74</v>
      </c>
      <c r="AY533" t="s">
        <v>74</v>
      </c>
      <c r="AZ533" t="s">
        <v>74</v>
      </c>
      <c r="BA533" t="s">
        <v>74</v>
      </c>
      <c r="BB533">
        <v>152</v>
      </c>
      <c r="BC533">
        <v>166</v>
      </c>
      <c r="BD533" t="s">
        <v>74</v>
      </c>
      <c r="BE533" t="s">
        <v>9921</v>
      </c>
      <c r="BF533" t="str">
        <f>HYPERLINK("http://dx.doi.org/10.18814/epiiugs/2009/v32i3/002","http://dx.doi.org/10.18814/epiiugs/2009/v32i3/002")</f>
        <v>http://dx.doi.org/10.18814/epiiugs/2009/v32i3/002</v>
      </c>
      <c r="BG533" t="s">
        <v>74</v>
      </c>
      <c r="BH533" t="s">
        <v>74</v>
      </c>
      <c r="BI533">
        <v>15</v>
      </c>
      <c r="BJ533" t="s">
        <v>464</v>
      </c>
      <c r="BK533" t="s">
        <v>98</v>
      </c>
      <c r="BL533" t="s">
        <v>465</v>
      </c>
      <c r="BM533" t="s">
        <v>9922</v>
      </c>
      <c r="BN533" t="s">
        <v>74</v>
      </c>
      <c r="BO533" t="s">
        <v>4122</v>
      </c>
      <c r="BP533" t="s">
        <v>74</v>
      </c>
      <c r="BQ533" t="s">
        <v>74</v>
      </c>
      <c r="BR533" t="s">
        <v>101</v>
      </c>
      <c r="BS533" t="s">
        <v>9923</v>
      </c>
      <c r="BT533" t="str">
        <f>HYPERLINK("https%3A%2F%2Fwww.webofscience.com%2Fwos%2Fwoscc%2Ffull-record%2FWOS:000279995700002","View Full Record in Web of Science")</f>
        <v>View Full Record in Web of Science</v>
      </c>
    </row>
    <row r="534" spans="1:72" x14ac:dyDescent="0.15">
      <c r="A534" t="s">
        <v>72</v>
      </c>
      <c r="B534" t="s">
        <v>9924</v>
      </c>
      <c r="C534" t="s">
        <v>74</v>
      </c>
      <c r="D534" t="s">
        <v>74</v>
      </c>
      <c r="E534" t="s">
        <v>74</v>
      </c>
      <c r="F534" t="s">
        <v>9925</v>
      </c>
      <c r="G534" t="s">
        <v>74</v>
      </c>
      <c r="H534" t="s">
        <v>74</v>
      </c>
      <c r="I534" t="s">
        <v>9926</v>
      </c>
      <c r="J534" t="s">
        <v>9927</v>
      </c>
      <c r="K534" t="s">
        <v>74</v>
      </c>
      <c r="L534" t="s">
        <v>74</v>
      </c>
      <c r="M534" t="s">
        <v>78</v>
      </c>
      <c r="N534" t="s">
        <v>79</v>
      </c>
      <c r="O534" t="s">
        <v>74</v>
      </c>
      <c r="P534" t="s">
        <v>74</v>
      </c>
      <c r="Q534" t="s">
        <v>74</v>
      </c>
      <c r="R534" t="s">
        <v>74</v>
      </c>
      <c r="S534" t="s">
        <v>74</v>
      </c>
      <c r="T534" t="s">
        <v>9928</v>
      </c>
      <c r="U534" t="s">
        <v>9929</v>
      </c>
      <c r="V534" t="s">
        <v>9930</v>
      </c>
      <c r="W534" t="s">
        <v>9931</v>
      </c>
      <c r="X534" t="s">
        <v>9932</v>
      </c>
      <c r="Y534" t="s">
        <v>4750</v>
      </c>
      <c r="Z534" t="s">
        <v>4751</v>
      </c>
      <c r="AA534" t="s">
        <v>74</v>
      </c>
      <c r="AB534" t="s">
        <v>4752</v>
      </c>
      <c r="AC534" t="s">
        <v>9933</v>
      </c>
      <c r="AD534" t="s">
        <v>9934</v>
      </c>
      <c r="AE534" t="s">
        <v>9935</v>
      </c>
      <c r="AF534" t="s">
        <v>74</v>
      </c>
      <c r="AG534">
        <v>50</v>
      </c>
      <c r="AH534">
        <v>30</v>
      </c>
      <c r="AI534">
        <v>36</v>
      </c>
      <c r="AJ534">
        <v>0</v>
      </c>
      <c r="AK534">
        <v>9</v>
      </c>
      <c r="AL534" t="s">
        <v>1211</v>
      </c>
      <c r="AM534" t="s">
        <v>433</v>
      </c>
      <c r="AN534" t="s">
        <v>1212</v>
      </c>
      <c r="AO534" t="s">
        <v>9936</v>
      </c>
      <c r="AP534" t="s">
        <v>9937</v>
      </c>
      <c r="AQ534" t="s">
        <v>74</v>
      </c>
      <c r="AR534" t="s">
        <v>9938</v>
      </c>
      <c r="AS534" t="s">
        <v>9939</v>
      </c>
      <c r="AT534" t="s">
        <v>9572</v>
      </c>
      <c r="AU534">
        <v>2009</v>
      </c>
      <c r="AV534">
        <v>27</v>
      </c>
      <c r="AW534">
        <v>3</v>
      </c>
      <c r="AX534" t="s">
        <v>74</v>
      </c>
      <c r="AY534" t="s">
        <v>74</v>
      </c>
      <c r="AZ534" t="s">
        <v>74</v>
      </c>
      <c r="BA534" t="s">
        <v>74</v>
      </c>
      <c r="BB534">
        <v>522</v>
      </c>
      <c r="BC534">
        <v>528</v>
      </c>
      <c r="BD534" t="s">
        <v>74</v>
      </c>
      <c r="BE534" t="s">
        <v>9940</v>
      </c>
      <c r="BF534" t="str">
        <f>HYPERLINK("http://dx.doi.org/10.1016/j.fsi.2009.07.008","http://dx.doi.org/10.1016/j.fsi.2009.07.008")</f>
        <v>http://dx.doi.org/10.1016/j.fsi.2009.07.008</v>
      </c>
      <c r="BG534" t="s">
        <v>74</v>
      </c>
      <c r="BH534" t="s">
        <v>74</v>
      </c>
      <c r="BI534">
        <v>7</v>
      </c>
      <c r="BJ534" t="s">
        <v>9941</v>
      </c>
      <c r="BK534" t="s">
        <v>98</v>
      </c>
      <c r="BL534" t="s">
        <v>9941</v>
      </c>
      <c r="BM534" t="s">
        <v>9942</v>
      </c>
      <c r="BN534">
        <v>19628043</v>
      </c>
      <c r="BO534" t="s">
        <v>74</v>
      </c>
      <c r="BP534" t="s">
        <v>74</v>
      </c>
      <c r="BQ534" t="s">
        <v>74</v>
      </c>
      <c r="BR534" t="s">
        <v>101</v>
      </c>
      <c r="BS534" t="s">
        <v>9943</v>
      </c>
      <c r="BT534" t="str">
        <f>HYPERLINK("https%3A%2F%2Fwww.webofscience.com%2Fwos%2Fwoscc%2Ffull-record%2FWOS:000269771000019","View Full Record in Web of Science")</f>
        <v>View Full Record in Web of Science</v>
      </c>
    </row>
    <row r="535" spans="1:72" x14ac:dyDescent="0.15">
      <c r="A535" t="s">
        <v>72</v>
      </c>
      <c r="B535" t="s">
        <v>9944</v>
      </c>
      <c r="C535" t="s">
        <v>74</v>
      </c>
      <c r="D535" t="s">
        <v>74</v>
      </c>
      <c r="E535" t="s">
        <v>74</v>
      </c>
      <c r="F535" t="s">
        <v>9945</v>
      </c>
      <c r="G535" t="s">
        <v>74</v>
      </c>
      <c r="H535" t="s">
        <v>74</v>
      </c>
      <c r="I535" t="s">
        <v>9946</v>
      </c>
      <c r="J535" t="s">
        <v>542</v>
      </c>
      <c r="K535" t="s">
        <v>74</v>
      </c>
      <c r="L535" t="s">
        <v>74</v>
      </c>
      <c r="M535" t="s">
        <v>78</v>
      </c>
      <c r="N535" t="s">
        <v>79</v>
      </c>
      <c r="O535" t="s">
        <v>74</v>
      </c>
      <c r="P535" t="s">
        <v>74</v>
      </c>
      <c r="Q535" t="s">
        <v>74</v>
      </c>
      <c r="R535" t="s">
        <v>74</v>
      </c>
      <c r="S535" t="s">
        <v>74</v>
      </c>
      <c r="T535" t="s">
        <v>9947</v>
      </c>
      <c r="U535" t="s">
        <v>9948</v>
      </c>
      <c r="V535" t="s">
        <v>9949</v>
      </c>
      <c r="W535" t="s">
        <v>9950</v>
      </c>
      <c r="X535" t="s">
        <v>9951</v>
      </c>
      <c r="Y535" t="s">
        <v>9952</v>
      </c>
      <c r="Z535" t="s">
        <v>9953</v>
      </c>
      <c r="AA535" t="s">
        <v>9954</v>
      </c>
      <c r="AB535" t="s">
        <v>9955</v>
      </c>
      <c r="AC535" t="s">
        <v>74</v>
      </c>
      <c r="AD535" t="s">
        <v>74</v>
      </c>
      <c r="AE535" t="s">
        <v>74</v>
      </c>
      <c r="AF535" t="s">
        <v>74</v>
      </c>
      <c r="AG535">
        <v>71</v>
      </c>
      <c r="AH535">
        <v>11</v>
      </c>
      <c r="AI535">
        <v>11</v>
      </c>
      <c r="AJ535">
        <v>3</v>
      </c>
      <c r="AK535">
        <v>20</v>
      </c>
      <c r="AL535" t="s">
        <v>226</v>
      </c>
      <c r="AM535" t="s">
        <v>227</v>
      </c>
      <c r="AN535" t="s">
        <v>228</v>
      </c>
      <c r="AO535" t="s">
        <v>553</v>
      </c>
      <c r="AP535" t="s">
        <v>74</v>
      </c>
      <c r="AQ535" t="s">
        <v>74</v>
      </c>
      <c r="AR535" t="s">
        <v>554</v>
      </c>
      <c r="AS535" t="s">
        <v>555</v>
      </c>
      <c r="AT535" t="s">
        <v>9657</v>
      </c>
      <c r="AU535">
        <v>2009</v>
      </c>
      <c r="AV535">
        <v>10</v>
      </c>
      <c r="AW535" t="s">
        <v>74</v>
      </c>
      <c r="AX535" t="s">
        <v>74</v>
      </c>
      <c r="AY535" t="s">
        <v>74</v>
      </c>
      <c r="AZ535" t="s">
        <v>74</v>
      </c>
      <c r="BA535" t="s">
        <v>74</v>
      </c>
      <c r="BB535" t="s">
        <v>74</v>
      </c>
      <c r="BC535" t="s">
        <v>74</v>
      </c>
      <c r="BD535" t="s">
        <v>9956</v>
      </c>
      <c r="BE535" t="s">
        <v>9957</v>
      </c>
      <c r="BF535" t="str">
        <f>HYPERLINK("http://dx.doi.org/10.1029/2008GC002350","http://dx.doi.org/10.1029/2008GC002350")</f>
        <v>http://dx.doi.org/10.1029/2008GC002350</v>
      </c>
      <c r="BG535" t="s">
        <v>74</v>
      </c>
      <c r="BH535" t="s">
        <v>74</v>
      </c>
      <c r="BI535">
        <v>20</v>
      </c>
      <c r="BJ535" t="s">
        <v>261</v>
      </c>
      <c r="BK535" t="s">
        <v>98</v>
      </c>
      <c r="BL535" t="s">
        <v>261</v>
      </c>
      <c r="BM535" t="s">
        <v>9958</v>
      </c>
      <c r="BN535" t="s">
        <v>74</v>
      </c>
      <c r="BO535" t="s">
        <v>491</v>
      </c>
      <c r="BP535" t="s">
        <v>74</v>
      </c>
      <c r="BQ535" t="s">
        <v>74</v>
      </c>
      <c r="BR535" t="s">
        <v>101</v>
      </c>
      <c r="BS535" t="s">
        <v>9959</v>
      </c>
      <c r="BT535" t="str">
        <f>HYPERLINK("https%3A%2F%2Fwww.webofscience.com%2Fwos%2Fwoscc%2Ffull-record%2FWOS:000269632800002","View Full Record in Web of Science")</f>
        <v>View Full Record in Web of Science</v>
      </c>
    </row>
    <row r="536" spans="1:72" x14ac:dyDescent="0.15">
      <c r="A536" t="s">
        <v>72</v>
      </c>
      <c r="B536" t="s">
        <v>9960</v>
      </c>
      <c r="C536" t="s">
        <v>74</v>
      </c>
      <c r="D536" t="s">
        <v>74</v>
      </c>
      <c r="E536" t="s">
        <v>74</v>
      </c>
      <c r="F536" t="s">
        <v>9961</v>
      </c>
      <c r="G536" t="s">
        <v>74</v>
      </c>
      <c r="H536" t="s">
        <v>74</v>
      </c>
      <c r="I536" t="s">
        <v>9962</v>
      </c>
      <c r="J536" t="s">
        <v>9963</v>
      </c>
      <c r="K536" t="s">
        <v>74</v>
      </c>
      <c r="L536" t="s">
        <v>74</v>
      </c>
      <c r="M536" t="s">
        <v>78</v>
      </c>
      <c r="N536" t="s">
        <v>79</v>
      </c>
      <c r="O536" t="s">
        <v>74</v>
      </c>
      <c r="P536" t="s">
        <v>74</v>
      </c>
      <c r="Q536" t="s">
        <v>74</v>
      </c>
      <c r="R536" t="s">
        <v>74</v>
      </c>
      <c r="S536" t="s">
        <v>74</v>
      </c>
      <c r="T536" t="s">
        <v>9964</v>
      </c>
      <c r="U536" t="s">
        <v>9965</v>
      </c>
      <c r="V536" t="s">
        <v>9966</v>
      </c>
      <c r="W536" t="s">
        <v>9967</v>
      </c>
      <c r="X536" t="s">
        <v>725</v>
      </c>
      <c r="Y536" t="s">
        <v>9968</v>
      </c>
      <c r="Z536" t="s">
        <v>9969</v>
      </c>
      <c r="AA536" t="s">
        <v>74</v>
      </c>
      <c r="AB536" t="s">
        <v>74</v>
      </c>
      <c r="AC536" t="s">
        <v>9970</v>
      </c>
      <c r="AD536" t="s">
        <v>573</v>
      </c>
      <c r="AE536" t="s">
        <v>74</v>
      </c>
      <c r="AF536" t="s">
        <v>74</v>
      </c>
      <c r="AG536">
        <v>21</v>
      </c>
      <c r="AH536">
        <v>111</v>
      </c>
      <c r="AI536">
        <v>118</v>
      </c>
      <c r="AJ536">
        <v>2</v>
      </c>
      <c r="AK536">
        <v>90</v>
      </c>
      <c r="AL536" t="s">
        <v>1184</v>
      </c>
      <c r="AM536" t="s">
        <v>1185</v>
      </c>
      <c r="AN536" t="s">
        <v>1186</v>
      </c>
      <c r="AO536" t="s">
        <v>9971</v>
      </c>
      <c r="AP536" t="s">
        <v>9972</v>
      </c>
      <c r="AQ536" t="s">
        <v>74</v>
      </c>
      <c r="AR536" t="s">
        <v>9973</v>
      </c>
      <c r="AS536" t="s">
        <v>9974</v>
      </c>
      <c r="AT536" t="s">
        <v>9572</v>
      </c>
      <c r="AU536">
        <v>2009</v>
      </c>
      <c r="AV536">
        <v>18</v>
      </c>
      <c r="AW536">
        <v>5</v>
      </c>
      <c r="AX536" t="s">
        <v>74</v>
      </c>
      <c r="AY536" t="s">
        <v>74</v>
      </c>
      <c r="AZ536" t="s">
        <v>74</v>
      </c>
      <c r="BA536" t="s">
        <v>74</v>
      </c>
      <c r="BB536">
        <v>543</v>
      </c>
      <c r="BC536">
        <v>552</v>
      </c>
      <c r="BD536" t="s">
        <v>74</v>
      </c>
      <c r="BE536" t="s">
        <v>9975</v>
      </c>
      <c r="BF536" t="str">
        <f>HYPERLINK("http://dx.doi.org/10.1111/j.1466-8238.2009.00467.x","http://dx.doi.org/10.1111/j.1466-8238.2009.00467.x")</f>
        <v>http://dx.doi.org/10.1111/j.1466-8238.2009.00467.x</v>
      </c>
      <c r="BG536" t="s">
        <v>74</v>
      </c>
      <c r="BH536" t="s">
        <v>74</v>
      </c>
      <c r="BI536">
        <v>10</v>
      </c>
      <c r="BJ536" t="s">
        <v>9976</v>
      </c>
      <c r="BK536" t="s">
        <v>98</v>
      </c>
      <c r="BL536" t="s">
        <v>4499</v>
      </c>
      <c r="BM536" t="s">
        <v>9977</v>
      </c>
      <c r="BN536" t="s">
        <v>74</v>
      </c>
      <c r="BO536" t="s">
        <v>74</v>
      </c>
      <c r="BP536" t="s">
        <v>74</v>
      </c>
      <c r="BQ536" t="s">
        <v>74</v>
      </c>
      <c r="BR536" t="s">
        <v>101</v>
      </c>
      <c r="BS536" t="s">
        <v>9978</v>
      </c>
      <c r="BT536" t="str">
        <f>HYPERLINK("https%3A%2F%2Fwww.webofscience.com%2Fwos%2Fwoscc%2Ffull-record%2FWOS:000268792000003","View Full Record in Web of Science")</f>
        <v>View Full Record in Web of Science</v>
      </c>
    </row>
    <row r="537" spans="1:72" x14ac:dyDescent="0.15">
      <c r="A537" t="s">
        <v>72</v>
      </c>
      <c r="B537" t="s">
        <v>9979</v>
      </c>
      <c r="C537" t="s">
        <v>74</v>
      </c>
      <c r="D537" t="s">
        <v>74</v>
      </c>
      <c r="E537" t="s">
        <v>74</v>
      </c>
      <c r="F537" t="s">
        <v>9980</v>
      </c>
      <c r="G537" t="s">
        <v>74</v>
      </c>
      <c r="H537" t="s">
        <v>74</v>
      </c>
      <c r="I537" t="s">
        <v>9981</v>
      </c>
      <c r="J537" t="s">
        <v>9982</v>
      </c>
      <c r="K537" t="s">
        <v>74</v>
      </c>
      <c r="L537" t="s">
        <v>74</v>
      </c>
      <c r="M537" t="s">
        <v>78</v>
      </c>
      <c r="N537" t="s">
        <v>79</v>
      </c>
      <c r="O537" t="s">
        <v>74</v>
      </c>
      <c r="P537" t="s">
        <v>74</v>
      </c>
      <c r="Q537" t="s">
        <v>74</v>
      </c>
      <c r="R537" t="s">
        <v>74</v>
      </c>
      <c r="S537" t="s">
        <v>74</v>
      </c>
      <c r="T537" t="s">
        <v>9983</v>
      </c>
      <c r="U537" t="s">
        <v>9984</v>
      </c>
      <c r="V537" t="s">
        <v>9985</v>
      </c>
      <c r="W537" t="s">
        <v>9986</v>
      </c>
      <c r="X537" t="s">
        <v>9987</v>
      </c>
      <c r="Y537" t="s">
        <v>9988</v>
      </c>
      <c r="Z537" t="s">
        <v>9989</v>
      </c>
      <c r="AA537" t="s">
        <v>9990</v>
      </c>
      <c r="AB537" t="s">
        <v>74</v>
      </c>
      <c r="AC537" t="s">
        <v>9991</v>
      </c>
      <c r="AD537" t="s">
        <v>9991</v>
      </c>
      <c r="AE537" t="s">
        <v>9992</v>
      </c>
      <c r="AF537" t="s">
        <v>74</v>
      </c>
      <c r="AG537">
        <v>81</v>
      </c>
      <c r="AH537">
        <v>23</v>
      </c>
      <c r="AI537">
        <v>23</v>
      </c>
      <c r="AJ537">
        <v>1</v>
      </c>
      <c r="AK537">
        <v>4</v>
      </c>
      <c r="AL537" t="s">
        <v>9993</v>
      </c>
      <c r="AM537" t="s">
        <v>9994</v>
      </c>
      <c r="AN537" t="s">
        <v>9995</v>
      </c>
      <c r="AO537" t="s">
        <v>9996</v>
      </c>
      <c r="AP537" t="s">
        <v>9997</v>
      </c>
      <c r="AQ537" t="s">
        <v>74</v>
      </c>
      <c r="AR537" t="s">
        <v>9982</v>
      </c>
      <c r="AS537" t="s">
        <v>9998</v>
      </c>
      <c r="AT537" t="s">
        <v>9572</v>
      </c>
      <c r="AU537">
        <v>2009</v>
      </c>
      <c r="AV537">
        <v>203</v>
      </c>
      <c r="AW537">
        <v>1</v>
      </c>
      <c r="AX537" t="s">
        <v>74</v>
      </c>
      <c r="AY537" t="s">
        <v>74</v>
      </c>
      <c r="AZ537" t="s">
        <v>74</v>
      </c>
      <c r="BA537" t="s">
        <v>74</v>
      </c>
      <c r="BB537">
        <v>320</v>
      </c>
      <c r="BC537">
        <v>330</v>
      </c>
      <c r="BD537" t="s">
        <v>74</v>
      </c>
      <c r="BE537" t="s">
        <v>9999</v>
      </c>
      <c r="BF537" t="str">
        <f>HYPERLINK("http://dx.doi.org/10.1016/j.icarus.2009.05.007","http://dx.doi.org/10.1016/j.icarus.2009.05.007")</f>
        <v>http://dx.doi.org/10.1016/j.icarus.2009.05.007</v>
      </c>
      <c r="BG537" t="s">
        <v>74</v>
      </c>
      <c r="BH537" t="s">
        <v>74</v>
      </c>
      <c r="BI537">
        <v>11</v>
      </c>
      <c r="BJ537" t="s">
        <v>1003</v>
      </c>
      <c r="BK537" t="s">
        <v>98</v>
      </c>
      <c r="BL537" t="s">
        <v>1003</v>
      </c>
      <c r="BM537" t="s">
        <v>10000</v>
      </c>
      <c r="BN537" t="s">
        <v>74</v>
      </c>
      <c r="BO537" t="s">
        <v>74</v>
      </c>
      <c r="BP537" t="s">
        <v>74</v>
      </c>
      <c r="BQ537" t="s">
        <v>74</v>
      </c>
      <c r="BR537" t="s">
        <v>101</v>
      </c>
      <c r="BS537" t="s">
        <v>10001</v>
      </c>
      <c r="BT537" t="str">
        <f>HYPERLINK("https%3A%2F%2Fwww.webofscience.com%2Fwos%2Fwoscc%2Ffull-record%2FWOS:000277902900031","View Full Record in Web of Science")</f>
        <v>View Full Record in Web of Science</v>
      </c>
    </row>
    <row r="538" spans="1:72" x14ac:dyDescent="0.15">
      <c r="A538" t="s">
        <v>72</v>
      </c>
      <c r="B538" t="s">
        <v>10002</v>
      </c>
      <c r="C538" t="s">
        <v>74</v>
      </c>
      <c r="D538" t="s">
        <v>74</v>
      </c>
      <c r="E538" t="s">
        <v>74</v>
      </c>
      <c r="F538" t="s">
        <v>10003</v>
      </c>
      <c r="G538" t="s">
        <v>74</v>
      </c>
      <c r="H538" t="s">
        <v>74</v>
      </c>
      <c r="I538" t="s">
        <v>10004</v>
      </c>
      <c r="J538" t="s">
        <v>2184</v>
      </c>
      <c r="K538" t="s">
        <v>74</v>
      </c>
      <c r="L538" t="s">
        <v>74</v>
      </c>
      <c r="M538" t="s">
        <v>78</v>
      </c>
      <c r="N538" t="s">
        <v>79</v>
      </c>
      <c r="O538" t="s">
        <v>74</v>
      </c>
      <c r="P538" t="s">
        <v>74</v>
      </c>
      <c r="Q538" t="s">
        <v>74</v>
      </c>
      <c r="R538" t="s">
        <v>74</v>
      </c>
      <c r="S538" t="s">
        <v>74</v>
      </c>
      <c r="T538" t="s">
        <v>10005</v>
      </c>
      <c r="U538" t="s">
        <v>10006</v>
      </c>
      <c r="V538" t="s">
        <v>10007</v>
      </c>
      <c r="W538" t="s">
        <v>10008</v>
      </c>
      <c r="X538" t="s">
        <v>10009</v>
      </c>
      <c r="Y538" t="s">
        <v>10010</v>
      </c>
      <c r="Z538" t="s">
        <v>10011</v>
      </c>
      <c r="AA538" t="s">
        <v>10012</v>
      </c>
      <c r="AB538" t="s">
        <v>10013</v>
      </c>
      <c r="AC538" t="s">
        <v>10014</v>
      </c>
      <c r="AD538" t="s">
        <v>10015</v>
      </c>
      <c r="AE538" t="s">
        <v>10016</v>
      </c>
      <c r="AF538" t="s">
        <v>74</v>
      </c>
      <c r="AG538">
        <v>27</v>
      </c>
      <c r="AH538">
        <v>28</v>
      </c>
      <c r="AI538">
        <v>30</v>
      </c>
      <c r="AJ538">
        <v>1</v>
      </c>
      <c r="AK538">
        <v>16</v>
      </c>
      <c r="AL538" t="s">
        <v>2197</v>
      </c>
      <c r="AM538" t="s">
        <v>2198</v>
      </c>
      <c r="AN538" t="s">
        <v>2199</v>
      </c>
      <c r="AO538" t="s">
        <v>2200</v>
      </c>
      <c r="AP538" t="s">
        <v>2201</v>
      </c>
      <c r="AQ538" t="s">
        <v>74</v>
      </c>
      <c r="AR538" t="s">
        <v>2202</v>
      </c>
      <c r="AS538" t="s">
        <v>2203</v>
      </c>
      <c r="AT538" t="s">
        <v>9572</v>
      </c>
      <c r="AU538">
        <v>2009</v>
      </c>
      <c r="AV538">
        <v>47</v>
      </c>
      <c r="AW538">
        <v>9</v>
      </c>
      <c r="AX538" t="s">
        <v>74</v>
      </c>
      <c r="AY538" t="s">
        <v>74</v>
      </c>
      <c r="AZ538" t="s">
        <v>1546</v>
      </c>
      <c r="BA538" t="s">
        <v>74</v>
      </c>
      <c r="BB538">
        <v>3272</v>
      </c>
      <c r="BC538">
        <v>3282</v>
      </c>
      <c r="BD538" t="s">
        <v>74</v>
      </c>
      <c r="BE538" t="s">
        <v>10017</v>
      </c>
      <c r="BF538" t="str">
        <f>HYPERLINK("http://dx.doi.org/10.1109/TGRS.2009.2019726","http://dx.doi.org/10.1109/TGRS.2009.2019726")</f>
        <v>http://dx.doi.org/10.1109/TGRS.2009.2019726</v>
      </c>
      <c r="BG538" t="s">
        <v>74</v>
      </c>
      <c r="BH538" t="s">
        <v>74</v>
      </c>
      <c r="BI538">
        <v>11</v>
      </c>
      <c r="BJ538" t="s">
        <v>2205</v>
      </c>
      <c r="BK538" t="s">
        <v>98</v>
      </c>
      <c r="BL538" t="s">
        <v>2206</v>
      </c>
      <c r="BM538" t="s">
        <v>10018</v>
      </c>
      <c r="BN538" t="s">
        <v>74</v>
      </c>
      <c r="BO538" t="s">
        <v>74</v>
      </c>
      <c r="BP538" t="s">
        <v>74</v>
      </c>
      <c r="BQ538" t="s">
        <v>74</v>
      </c>
      <c r="BR538" t="s">
        <v>101</v>
      </c>
      <c r="BS538" t="s">
        <v>10019</v>
      </c>
      <c r="BT538" t="str">
        <f>HYPERLINK("https%3A%2F%2Fwww.webofscience.com%2Fwos%2Fwoscc%2Ffull-record%2FWOS:000269230100026","View Full Record in Web of Science")</f>
        <v>View Full Record in Web of Science</v>
      </c>
    </row>
    <row r="539" spans="1:72" x14ac:dyDescent="0.15">
      <c r="A539" t="s">
        <v>72</v>
      </c>
      <c r="B539" t="s">
        <v>10020</v>
      </c>
      <c r="C539" t="s">
        <v>74</v>
      </c>
      <c r="D539" t="s">
        <v>74</v>
      </c>
      <c r="E539" t="s">
        <v>74</v>
      </c>
      <c r="F539" t="s">
        <v>10021</v>
      </c>
      <c r="G539" t="s">
        <v>74</v>
      </c>
      <c r="H539" t="s">
        <v>74</v>
      </c>
      <c r="I539" t="s">
        <v>10022</v>
      </c>
      <c r="J539" t="s">
        <v>10023</v>
      </c>
      <c r="K539" t="s">
        <v>74</v>
      </c>
      <c r="L539" t="s">
        <v>74</v>
      </c>
      <c r="M539" t="s">
        <v>78</v>
      </c>
      <c r="N539" t="s">
        <v>79</v>
      </c>
      <c r="O539" t="s">
        <v>74</v>
      </c>
      <c r="P539" t="s">
        <v>74</v>
      </c>
      <c r="Q539" t="s">
        <v>74</v>
      </c>
      <c r="R539" t="s">
        <v>74</v>
      </c>
      <c r="S539" t="s">
        <v>74</v>
      </c>
      <c r="T539" t="s">
        <v>10024</v>
      </c>
      <c r="U539" t="s">
        <v>10025</v>
      </c>
      <c r="V539" t="s">
        <v>10026</v>
      </c>
      <c r="W539" t="s">
        <v>10027</v>
      </c>
      <c r="X539" t="s">
        <v>10028</v>
      </c>
      <c r="Y539" t="s">
        <v>10029</v>
      </c>
      <c r="Z539" t="s">
        <v>10030</v>
      </c>
      <c r="AA539" t="s">
        <v>10031</v>
      </c>
      <c r="AB539" t="s">
        <v>10032</v>
      </c>
      <c r="AC539" t="s">
        <v>10033</v>
      </c>
      <c r="AD539" t="s">
        <v>10034</v>
      </c>
      <c r="AE539" t="s">
        <v>10035</v>
      </c>
      <c r="AF539" t="s">
        <v>74</v>
      </c>
      <c r="AG539">
        <v>83</v>
      </c>
      <c r="AH539">
        <v>116</v>
      </c>
      <c r="AI539">
        <v>395</v>
      </c>
      <c r="AJ539">
        <v>1</v>
      </c>
      <c r="AK539">
        <v>4</v>
      </c>
      <c r="AL539" t="s">
        <v>10036</v>
      </c>
      <c r="AM539" t="s">
        <v>433</v>
      </c>
      <c r="AN539" t="s">
        <v>10037</v>
      </c>
      <c r="AO539" t="s">
        <v>10038</v>
      </c>
      <c r="AP539" t="s">
        <v>10039</v>
      </c>
      <c r="AQ539" t="s">
        <v>74</v>
      </c>
      <c r="AR539" t="s">
        <v>10040</v>
      </c>
      <c r="AS539" t="s">
        <v>10041</v>
      </c>
      <c r="AT539" t="s">
        <v>9572</v>
      </c>
      <c r="AU539">
        <v>2009</v>
      </c>
      <c r="AV539">
        <v>3</v>
      </c>
      <c r="AW539">
        <v>9</v>
      </c>
      <c r="AX539" t="s">
        <v>74</v>
      </c>
      <c r="AY539" t="s">
        <v>74</v>
      </c>
      <c r="AZ539" t="s">
        <v>74</v>
      </c>
      <c r="BA539" t="s">
        <v>74</v>
      </c>
      <c r="BB539">
        <v>1012</v>
      </c>
      <c r="BC539">
        <v>1035</v>
      </c>
      <c r="BD539" t="s">
        <v>74</v>
      </c>
      <c r="BE539" t="s">
        <v>10042</v>
      </c>
      <c r="BF539" t="str">
        <f>HYPERLINK("http://dx.doi.org/10.1038/ismej.2009.45","http://dx.doi.org/10.1038/ismej.2009.45")</f>
        <v>http://dx.doi.org/10.1038/ismej.2009.45</v>
      </c>
      <c r="BG539" t="s">
        <v>74</v>
      </c>
      <c r="BH539" t="s">
        <v>74</v>
      </c>
      <c r="BI539">
        <v>24</v>
      </c>
      <c r="BJ539" t="s">
        <v>10043</v>
      </c>
      <c r="BK539" t="s">
        <v>98</v>
      </c>
      <c r="BL539" t="s">
        <v>10044</v>
      </c>
      <c r="BM539" t="s">
        <v>10045</v>
      </c>
      <c r="BN539">
        <v>19404327</v>
      </c>
      <c r="BO539" t="s">
        <v>627</v>
      </c>
      <c r="BP539" t="s">
        <v>74</v>
      </c>
      <c r="BQ539" t="s">
        <v>74</v>
      </c>
      <c r="BR539" t="s">
        <v>101</v>
      </c>
      <c r="BS539" t="s">
        <v>10046</v>
      </c>
      <c r="BT539" t="str">
        <f>HYPERLINK("https%3A%2F%2Fwww.webofscience.com%2Fwos%2Fwoscc%2Ffull-record%2FWOS:000269618300003","View Full Record in Web of Science")</f>
        <v>View Full Record in Web of Science</v>
      </c>
    </row>
    <row r="540" spans="1:72" x14ac:dyDescent="0.15">
      <c r="A540" t="s">
        <v>72</v>
      </c>
      <c r="B540" t="s">
        <v>10047</v>
      </c>
      <c r="C540" t="s">
        <v>74</v>
      </c>
      <c r="D540" t="s">
        <v>74</v>
      </c>
      <c r="E540" t="s">
        <v>74</v>
      </c>
      <c r="F540" t="s">
        <v>10048</v>
      </c>
      <c r="G540" t="s">
        <v>74</v>
      </c>
      <c r="H540" t="s">
        <v>74</v>
      </c>
      <c r="I540" t="s">
        <v>10049</v>
      </c>
      <c r="J540" t="s">
        <v>10023</v>
      </c>
      <c r="K540" t="s">
        <v>74</v>
      </c>
      <c r="L540" t="s">
        <v>74</v>
      </c>
      <c r="M540" t="s">
        <v>78</v>
      </c>
      <c r="N540" t="s">
        <v>79</v>
      </c>
      <c r="O540" t="s">
        <v>74</v>
      </c>
      <c r="P540" t="s">
        <v>74</v>
      </c>
      <c r="Q540" t="s">
        <v>74</v>
      </c>
      <c r="R540" t="s">
        <v>74</v>
      </c>
      <c r="S540" t="s">
        <v>74</v>
      </c>
      <c r="T540" t="s">
        <v>10050</v>
      </c>
      <c r="U540" t="s">
        <v>10051</v>
      </c>
      <c r="V540" t="s">
        <v>10052</v>
      </c>
      <c r="W540" t="s">
        <v>10053</v>
      </c>
      <c r="X540" t="s">
        <v>10054</v>
      </c>
      <c r="Y540" t="s">
        <v>10055</v>
      </c>
      <c r="Z540" t="s">
        <v>10056</v>
      </c>
      <c r="AA540" t="s">
        <v>10057</v>
      </c>
      <c r="AB540" t="s">
        <v>10058</v>
      </c>
      <c r="AC540" t="s">
        <v>10059</v>
      </c>
      <c r="AD540" t="s">
        <v>10060</v>
      </c>
      <c r="AE540" t="s">
        <v>10061</v>
      </c>
      <c r="AF540" t="s">
        <v>74</v>
      </c>
      <c r="AG540">
        <v>52</v>
      </c>
      <c r="AH540">
        <v>36</v>
      </c>
      <c r="AI540">
        <v>43</v>
      </c>
      <c r="AJ540">
        <v>0</v>
      </c>
      <c r="AK540">
        <v>35</v>
      </c>
      <c r="AL540" t="s">
        <v>2890</v>
      </c>
      <c r="AM540" t="s">
        <v>433</v>
      </c>
      <c r="AN540" t="s">
        <v>3957</v>
      </c>
      <c r="AO540" t="s">
        <v>10038</v>
      </c>
      <c r="AP540" t="s">
        <v>74</v>
      </c>
      <c r="AQ540" t="s">
        <v>74</v>
      </c>
      <c r="AR540" t="s">
        <v>10040</v>
      </c>
      <c r="AS540" t="s">
        <v>10041</v>
      </c>
      <c r="AT540" t="s">
        <v>9572</v>
      </c>
      <c r="AU540">
        <v>2009</v>
      </c>
      <c r="AV540">
        <v>3</v>
      </c>
      <c r="AW540">
        <v>9</v>
      </c>
      <c r="AX540" t="s">
        <v>74</v>
      </c>
      <c r="AY540" t="s">
        <v>74</v>
      </c>
      <c r="AZ540" t="s">
        <v>74</v>
      </c>
      <c r="BA540" t="s">
        <v>74</v>
      </c>
      <c r="BB540">
        <v>1070</v>
      </c>
      <c r="BC540">
        <v>1081</v>
      </c>
      <c r="BD540" t="s">
        <v>74</v>
      </c>
      <c r="BE540" t="s">
        <v>10062</v>
      </c>
      <c r="BF540" t="str">
        <f>HYPERLINK("http://dx.doi.org/10.1038/ismej.2009.48","http://dx.doi.org/10.1038/ismej.2009.48")</f>
        <v>http://dx.doi.org/10.1038/ismej.2009.48</v>
      </c>
      <c r="BG540" t="s">
        <v>74</v>
      </c>
      <c r="BH540" t="s">
        <v>74</v>
      </c>
      <c r="BI540">
        <v>12</v>
      </c>
      <c r="BJ540" t="s">
        <v>10043</v>
      </c>
      <c r="BK540" t="s">
        <v>98</v>
      </c>
      <c r="BL540" t="s">
        <v>10044</v>
      </c>
      <c r="BM540" t="s">
        <v>10045</v>
      </c>
      <c r="BN540">
        <v>19458657</v>
      </c>
      <c r="BO540" t="s">
        <v>491</v>
      </c>
      <c r="BP540" t="s">
        <v>74</v>
      </c>
      <c r="BQ540" t="s">
        <v>74</v>
      </c>
      <c r="BR540" t="s">
        <v>101</v>
      </c>
      <c r="BS540" t="s">
        <v>10063</v>
      </c>
      <c r="BT540" t="str">
        <f>HYPERLINK("https%3A%2F%2Fwww.webofscience.com%2Fwos%2Fwoscc%2Ffull-record%2FWOS:000269618300007","View Full Record in Web of Science")</f>
        <v>View Full Record in Web of Science</v>
      </c>
    </row>
    <row r="541" spans="1:72" x14ac:dyDescent="0.15">
      <c r="A541" t="s">
        <v>72</v>
      </c>
      <c r="B541" t="s">
        <v>10064</v>
      </c>
      <c r="C541" t="s">
        <v>74</v>
      </c>
      <c r="D541" t="s">
        <v>74</v>
      </c>
      <c r="E541" t="s">
        <v>74</v>
      </c>
      <c r="F541" t="s">
        <v>10065</v>
      </c>
      <c r="G541" t="s">
        <v>74</v>
      </c>
      <c r="H541" t="s">
        <v>74</v>
      </c>
      <c r="I541" t="s">
        <v>10066</v>
      </c>
      <c r="J541" t="s">
        <v>7769</v>
      </c>
      <c r="K541" t="s">
        <v>74</v>
      </c>
      <c r="L541" t="s">
        <v>74</v>
      </c>
      <c r="M541" t="s">
        <v>78</v>
      </c>
      <c r="N541" t="s">
        <v>79</v>
      </c>
      <c r="O541" t="s">
        <v>74</v>
      </c>
      <c r="P541" t="s">
        <v>74</v>
      </c>
      <c r="Q541" t="s">
        <v>74</v>
      </c>
      <c r="R541" t="s">
        <v>74</v>
      </c>
      <c r="S541" t="s">
        <v>74</v>
      </c>
      <c r="T541" t="s">
        <v>74</v>
      </c>
      <c r="U541" t="s">
        <v>10067</v>
      </c>
      <c r="V541" t="s">
        <v>10068</v>
      </c>
      <c r="W541" t="s">
        <v>10069</v>
      </c>
      <c r="X541" t="s">
        <v>10070</v>
      </c>
      <c r="Y541" t="s">
        <v>10071</v>
      </c>
      <c r="Z541" t="s">
        <v>10072</v>
      </c>
      <c r="AA541" t="s">
        <v>74</v>
      </c>
      <c r="AB541" t="s">
        <v>10073</v>
      </c>
      <c r="AC541" t="s">
        <v>10074</v>
      </c>
      <c r="AD541" t="s">
        <v>10075</v>
      </c>
      <c r="AE541" t="s">
        <v>10076</v>
      </c>
      <c r="AF541" t="s">
        <v>74</v>
      </c>
      <c r="AG541">
        <v>46</v>
      </c>
      <c r="AH541">
        <v>195</v>
      </c>
      <c r="AI541">
        <v>208</v>
      </c>
      <c r="AJ541">
        <v>3</v>
      </c>
      <c r="AK541">
        <v>59</v>
      </c>
      <c r="AL541" t="s">
        <v>2397</v>
      </c>
      <c r="AM541" t="s">
        <v>2398</v>
      </c>
      <c r="AN541" t="s">
        <v>2399</v>
      </c>
      <c r="AO541" t="s">
        <v>7781</v>
      </c>
      <c r="AP541" t="s">
        <v>7782</v>
      </c>
      <c r="AQ541" t="s">
        <v>74</v>
      </c>
      <c r="AR541" t="s">
        <v>7783</v>
      </c>
      <c r="AS541" t="s">
        <v>7784</v>
      </c>
      <c r="AT541" t="s">
        <v>9572</v>
      </c>
      <c r="AU541">
        <v>2009</v>
      </c>
      <c r="AV541">
        <v>26</v>
      </c>
      <c r="AW541">
        <v>9</v>
      </c>
      <c r="AX541" t="s">
        <v>74</v>
      </c>
      <c r="AY541" t="s">
        <v>74</v>
      </c>
      <c r="AZ541" t="s">
        <v>74</v>
      </c>
      <c r="BA541" t="s">
        <v>74</v>
      </c>
      <c r="BB541">
        <v>1910</v>
      </c>
      <c r="BC541">
        <v>1919</v>
      </c>
      <c r="BD541" t="s">
        <v>74</v>
      </c>
      <c r="BE541" t="s">
        <v>10077</v>
      </c>
      <c r="BF541" t="str">
        <f>HYPERLINK("http://dx.doi.org/10.1175/2009JTECHO672.1","http://dx.doi.org/10.1175/2009JTECHO672.1")</f>
        <v>http://dx.doi.org/10.1175/2009JTECHO672.1</v>
      </c>
      <c r="BG541" t="s">
        <v>74</v>
      </c>
      <c r="BH541" t="s">
        <v>74</v>
      </c>
      <c r="BI541">
        <v>10</v>
      </c>
      <c r="BJ541" t="s">
        <v>7786</v>
      </c>
      <c r="BK541" t="s">
        <v>98</v>
      </c>
      <c r="BL541" t="s">
        <v>7787</v>
      </c>
      <c r="BM541" t="s">
        <v>10078</v>
      </c>
      <c r="BN541" t="s">
        <v>74</v>
      </c>
      <c r="BO541" t="s">
        <v>627</v>
      </c>
      <c r="BP541" t="s">
        <v>74</v>
      </c>
      <c r="BQ541" t="s">
        <v>74</v>
      </c>
      <c r="BR541" t="s">
        <v>101</v>
      </c>
      <c r="BS541" t="s">
        <v>10079</v>
      </c>
      <c r="BT541" t="str">
        <f>HYPERLINK("https%3A%2F%2Fwww.webofscience.com%2Fwos%2Fwoscc%2Ffull-record%2FWOS:000270096400013","View Full Record in Web of Science")</f>
        <v>View Full Record in Web of Science</v>
      </c>
    </row>
    <row r="542" spans="1:72" x14ac:dyDescent="0.15">
      <c r="A542" t="s">
        <v>72</v>
      </c>
      <c r="B542" t="s">
        <v>10080</v>
      </c>
      <c r="C542" t="s">
        <v>74</v>
      </c>
      <c r="D542" t="s">
        <v>74</v>
      </c>
      <c r="E542" t="s">
        <v>74</v>
      </c>
      <c r="F542" t="s">
        <v>10081</v>
      </c>
      <c r="G542" t="s">
        <v>74</v>
      </c>
      <c r="H542" t="s">
        <v>74</v>
      </c>
      <c r="I542" t="s">
        <v>10082</v>
      </c>
      <c r="J542" t="s">
        <v>7769</v>
      </c>
      <c r="K542" t="s">
        <v>74</v>
      </c>
      <c r="L542" t="s">
        <v>74</v>
      </c>
      <c r="M542" t="s">
        <v>78</v>
      </c>
      <c r="N542" t="s">
        <v>79</v>
      </c>
      <c r="O542" t="s">
        <v>74</v>
      </c>
      <c r="P542" t="s">
        <v>74</v>
      </c>
      <c r="Q542" t="s">
        <v>74</v>
      </c>
      <c r="R542" t="s">
        <v>74</v>
      </c>
      <c r="S542" t="s">
        <v>74</v>
      </c>
      <c r="T542" t="s">
        <v>74</v>
      </c>
      <c r="U542" t="s">
        <v>10083</v>
      </c>
      <c r="V542" t="s">
        <v>10084</v>
      </c>
      <c r="W542" t="s">
        <v>10085</v>
      </c>
      <c r="X542" t="s">
        <v>6737</v>
      </c>
      <c r="Y542" t="s">
        <v>10086</v>
      </c>
      <c r="Z542" t="s">
        <v>10087</v>
      </c>
      <c r="AA542" t="s">
        <v>74</v>
      </c>
      <c r="AB542" t="s">
        <v>10088</v>
      </c>
      <c r="AC542" t="s">
        <v>10089</v>
      </c>
      <c r="AD542" t="s">
        <v>10090</v>
      </c>
      <c r="AE542" t="s">
        <v>10091</v>
      </c>
      <c r="AF542" t="s">
        <v>74</v>
      </c>
      <c r="AG542">
        <v>32</v>
      </c>
      <c r="AH542">
        <v>225</v>
      </c>
      <c r="AI542">
        <v>260</v>
      </c>
      <c r="AJ542">
        <v>2</v>
      </c>
      <c r="AK542">
        <v>62</v>
      </c>
      <c r="AL542" t="s">
        <v>2397</v>
      </c>
      <c r="AM542" t="s">
        <v>2398</v>
      </c>
      <c r="AN542" t="s">
        <v>6709</v>
      </c>
      <c r="AO542" t="s">
        <v>7781</v>
      </c>
      <c r="AP542" t="s">
        <v>7782</v>
      </c>
      <c r="AQ542" t="s">
        <v>74</v>
      </c>
      <c r="AR542" t="s">
        <v>7783</v>
      </c>
      <c r="AS542" t="s">
        <v>7784</v>
      </c>
      <c r="AT542" t="s">
        <v>9572</v>
      </c>
      <c r="AU542">
        <v>2009</v>
      </c>
      <c r="AV542">
        <v>26</v>
      </c>
      <c r="AW542">
        <v>9</v>
      </c>
      <c r="AX542" t="s">
        <v>74</v>
      </c>
      <c r="AY542" t="s">
        <v>74</v>
      </c>
      <c r="AZ542" t="s">
        <v>74</v>
      </c>
      <c r="BA542" t="s">
        <v>74</v>
      </c>
      <c r="BB542">
        <v>1920</v>
      </c>
      <c r="BC542">
        <v>1939</v>
      </c>
      <c r="BD542" t="s">
        <v>74</v>
      </c>
      <c r="BE542" t="s">
        <v>10092</v>
      </c>
      <c r="BF542" t="str">
        <f>HYPERLINK("http://dx.doi.org/10.1175/2009JTECHO543.1","http://dx.doi.org/10.1175/2009JTECHO543.1")</f>
        <v>http://dx.doi.org/10.1175/2009JTECHO543.1</v>
      </c>
      <c r="BG542" t="s">
        <v>74</v>
      </c>
      <c r="BH542" t="s">
        <v>74</v>
      </c>
      <c r="BI542">
        <v>20</v>
      </c>
      <c r="BJ542" t="s">
        <v>7786</v>
      </c>
      <c r="BK542" t="s">
        <v>98</v>
      </c>
      <c r="BL542" t="s">
        <v>7787</v>
      </c>
      <c r="BM542" t="s">
        <v>10078</v>
      </c>
      <c r="BN542" t="s">
        <v>74</v>
      </c>
      <c r="BO542" t="s">
        <v>263</v>
      </c>
      <c r="BP542" t="s">
        <v>74</v>
      </c>
      <c r="BQ542" t="s">
        <v>74</v>
      </c>
      <c r="BR542" t="s">
        <v>101</v>
      </c>
      <c r="BS542" t="s">
        <v>10093</v>
      </c>
      <c r="BT542" t="str">
        <f>HYPERLINK("https%3A%2F%2Fwww.webofscience.com%2Fwos%2Fwoscc%2Ffull-record%2FWOS:000270096400014","View Full Record in Web of Science")</f>
        <v>View Full Record in Web of Science</v>
      </c>
    </row>
    <row r="543" spans="1:72" x14ac:dyDescent="0.15">
      <c r="A543" t="s">
        <v>72</v>
      </c>
      <c r="B543" t="s">
        <v>10094</v>
      </c>
      <c r="C543" t="s">
        <v>74</v>
      </c>
      <c r="D543" t="s">
        <v>74</v>
      </c>
      <c r="E543" t="s">
        <v>74</v>
      </c>
      <c r="F543" t="s">
        <v>10095</v>
      </c>
      <c r="G543" t="s">
        <v>74</v>
      </c>
      <c r="H543" t="s">
        <v>74</v>
      </c>
      <c r="I543" t="s">
        <v>10096</v>
      </c>
      <c r="J543" t="s">
        <v>2328</v>
      </c>
      <c r="K543" t="s">
        <v>74</v>
      </c>
      <c r="L543" t="s">
        <v>74</v>
      </c>
      <c r="M543" t="s">
        <v>78</v>
      </c>
      <c r="N543" t="s">
        <v>1965</v>
      </c>
      <c r="O543" t="s">
        <v>3890</v>
      </c>
      <c r="P543" t="s">
        <v>3891</v>
      </c>
      <c r="Q543" t="s">
        <v>3892</v>
      </c>
      <c r="R543" t="s">
        <v>74</v>
      </c>
      <c r="S543" t="s">
        <v>74</v>
      </c>
      <c r="T543" t="s">
        <v>10097</v>
      </c>
      <c r="U543" t="s">
        <v>10098</v>
      </c>
      <c r="V543" t="s">
        <v>10099</v>
      </c>
      <c r="W543" t="s">
        <v>2249</v>
      </c>
      <c r="X543" t="s">
        <v>725</v>
      </c>
      <c r="Y543" t="s">
        <v>10100</v>
      </c>
      <c r="Z543" t="s">
        <v>10101</v>
      </c>
      <c r="AA543" t="s">
        <v>74</v>
      </c>
      <c r="AB543" t="s">
        <v>74</v>
      </c>
      <c r="AC543" t="s">
        <v>9162</v>
      </c>
      <c r="AD543" t="s">
        <v>730</v>
      </c>
      <c r="AE543" t="s">
        <v>74</v>
      </c>
      <c r="AF543" t="s">
        <v>74</v>
      </c>
      <c r="AG543">
        <v>34</v>
      </c>
      <c r="AH543">
        <v>9</v>
      </c>
      <c r="AI543">
        <v>9</v>
      </c>
      <c r="AJ543">
        <v>0</v>
      </c>
      <c r="AK543">
        <v>7</v>
      </c>
      <c r="AL543" t="s">
        <v>1894</v>
      </c>
      <c r="AM543" t="s">
        <v>1895</v>
      </c>
      <c r="AN543" t="s">
        <v>1896</v>
      </c>
      <c r="AO543" t="s">
        <v>2341</v>
      </c>
      <c r="AP543" t="s">
        <v>74</v>
      </c>
      <c r="AQ543" t="s">
        <v>74</v>
      </c>
      <c r="AR543" t="s">
        <v>2343</v>
      </c>
      <c r="AS543" t="s">
        <v>2344</v>
      </c>
      <c r="AT543" t="s">
        <v>9572</v>
      </c>
      <c r="AU543">
        <v>2009</v>
      </c>
      <c r="AV543">
        <v>71</v>
      </c>
      <c r="AW543">
        <v>13</v>
      </c>
      <c r="AX543" t="s">
        <v>74</v>
      </c>
      <c r="AY543" t="s">
        <v>74</v>
      </c>
      <c r="AZ543" t="s">
        <v>74</v>
      </c>
      <c r="BA543" t="s">
        <v>74</v>
      </c>
      <c r="BB543">
        <v>1415</v>
      </c>
      <c r="BC543">
        <v>1429</v>
      </c>
      <c r="BD543" t="s">
        <v>74</v>
      </c>
      <c r="BE543" t="s">
        <v>10102</v>
      </c>
      <c r="BF543" t="str">
        <f>HYPERLINK("http://dx.doi.org/10.1016/j.jastp.2008.05.017","http://dx.doi.org/10.1016/j.jastp.2008.05.017")</f>
        <v>http://dx.doi.org/10.1016/j.jastp.2008.05.017</v>
      </c>
      <c r="BG543" t="s">
        <v>74</v>
      </c>
      <c r="BH543" t="s">
        <v>74</v>
      </c>
      <c r="BI543">
        <v>15</v>
      </c>
      <c r="BJ543" t="s">
        <v>2347</v>
      </c>
      <c r="BK543" t="s">
        <v>1986</v>
      </c>
      <c r="BL543" t="s">
        <v>2347</v>
      </c>
      <c r="BM543" t="s">
        <v>10103</v>
      </c>
      <c r="BN543" t="s">
        <v>74</v>
      </c>
      <c r="BO543" t="s">
        <v>74</v>
      </c>
      <c r="BP543" t="s">
        <v>74</v>
      </c>
      <c r="BQ543" t="s">
        <v>74</v>
      </c>
      <c r="BR543" t="s">
        <v>101</v>
      </c>
      <c r="BS543" t="s">
        <v>10104</v>
      </c>
      <c r="BT543" t="str">
        <f>HYPERLINK("https%3A%2F%2Fwww.webofscience.com%2Fwos%2Fwoscc%2Ffull-record%2FWOS:000270048300002","View Full Record in Web of Science")</f>
        <v>View Full Record in Web of Science</v>
      </c>
    </row>
    <row r="544" spans="1:72" x14ac:dyDescent="0.15">
      <c r="A544" t="s">
        <v>72</v>
      </c>
      <c r="B544" t="s">
        <v>10105</v>
      </c>
      <c r="C544" t="s">
        <v>74</v>
      </c>
      <c r="D544" t="s">
        <v>74</v>
      </c>
      <c r="E544" t="s">
        <v>74</v>
      </c>
      <c r="F544" t="s">
        <v>10106</v>
      </c>
      <c r="G544" t="s">
        <v>74</v>
      </c>
      <c r="H544" t="s">
        <v>74</v>
      </c>
      <c r="I544" t="s">
        <v>10107</v>
      </c>
      <c r="J544" t="s">
        <v>10108</v>
      </c>
      <c r="K544" t="s">
        <v>74</v>
      </c>
      <c r="L544" t="s">
        <v>74</v>
      </c>
      <c r="M544" t="s">
        <v>78</v>
      </c>
      <c r="N544" t="s">
        <v>79</v>
      </c>
      <c r="O544" t="s">
        <v>74</v>
      </c>
      <c r="P544" t="s">
        <v>74</v>
      </c>
      <c r="Q544" t="s">
        <v>74</v>
      </c>
      <c r="R544" t="s">
        <v>74</v>
      </c>
      <c r="S544" t="s">
        <v>74</v>
      </c>
      <c r="T544" t="s">
        <v>74</v>
      </c>
      <c r="U544" t="s">
        <v>10109</v>
      </c>
      <c r="V544" t="s">
        <v>10110</v>
      </c>
      <c r="W544" t="s">
        <v>10111</v>
      </c>
      <c r="X544" t="s">
        <v>10112</v>
      </c>
      <c r="Y544" t="s">
        <v>10113</v>
      </c>
      <c r="Z544" t="s">
        <v>10114</v>
      </c>
      <c r="AA544" t="s">
        <v>10115</v>
      </c>
      <c r="AB544" t="s">
        <v>10116</v>
      </c>
      <c r="AC544" t="s">
        <v>10117</v>
      </c>
      <c r="AD544" t="s">
        <v>10118</v>
      </c>
      <c r="AE544" t="s">
        <v>10119</v>
      </c>
      <c r="AF544" t="s">
        <v>74</v>
      </c>
      <c r="AG544">
        <v>54</v>
      </c>
      <c r="AH544">
        <v>64</v>
      </c>
      <c r="AI544">
        <v>68</v>
      </c>
      <c r="AJ544">
        <v>0</v>
      </c>
      <c r="AK544">
        <v>30</v>
      </c>
      <c r="AL544" t="s">
        <v>1184</v>
      </c>
      <c r="AM544" t="s">
        <v>1185</v>
      </c>
      <c r="AN544" t="s">
        <v>1186</v>
      </c>
      <c r="AO544" t="s">
        <v>10120</v>
      </c>
      <c r="AP544" t="s">
        <v>10121</v>
      </c>
      <c r="AQ544" t="s">
        <v>74</v>
      </c>
      <c r="AR544" t="s">
        <v>10122</v>
      </c>
      <c r="AS544" t="s">
        <v>10123</v>
      </c>
      <c r="AT544" t="s">
        <v>9572</v>
      </c>
      <c r="AU544">
        <v>2009</v>
      </c>
      <c r="AV544">
        <v>40</v>
      </c>
      <c r="AW544">
        <v>5</v>
      </c>
      <c r="AX544" t="s">
        <v>74</v>
      </c>
      <c r="AY544" t="s">
        <v>74</v>
      </c>
      <c r="AZ544" t="s">
        <v>74</v>
      </c>
      <c r="BA544" t="s">
        <v>74</v>
      </c>
      <c r="BB544">
        <v>529</v>
      </c>
      <c r="BC544">
        <v>538</v>
      </c>
      <c r="BD544" t="s">
        <v>74</v>
      </c>
      <c r="BE544" t="s">
        <v>10124</v>
      </c>
      <c r="BF544" t="str">
        <f>HYPERLINK("http://dx.doi.org/10.1111/j.1600-048X.2009.04639.x","http://dx.doi.org/10.1111/j.1600-048X.2009.04639.x")</f>
        <v>http://dx.doi.org/10.1111/j.1600-048X.2009.04639.x</v>
      </c>
      <c r="BG544" t="s">
        <v>74</v>
      </c>
      <c r="BH544" t="s">
        <v>74</v>
      </c>
      <c r="BI544">
        <v>10</v>
      </c>
      <c r="BJ544" t="s">
        <v>2460</v>
      </c>
      <c r="BK544" t="s">
        <v>98</v>
      </c>
      <c r="BL544" t="s">
        <v>207</v>
      </c>
      <c r="BM544" t="s">
        <v>10125</v>
      </c>
      <c r="BN544" t="s">
        <v>74</v>
      </c>
      <c r="BO544" t="s">
        <v>74</v>
      </c>
      <c r="BP544" t="s">
        <v>74</v>
      </c>
      <c r="BQ544" t="s">
        <v>74</v>
      </c>
      <c r="BR544" t="s">
        <v>101</v>
      </c>
      <c r="BS544" t="s">
        <v>10126</v>
      </c>
      <c r="BT544" t="str">
        <f>HYPERLINK("https%3A%2F%2Fwww.webofscience.com%2Fwos%2Fwoscc%2Ffull-record%2FWOS:000270179100008","View Full Record in Web of Science")</f>
        <v>View Full Record in Web of Science</v>
      </c>
    </row>
    <row r="545" spans="1:72" x14ac:dyDescent="0.15">
      <c r="A545" t="s">
        <v>72</v>
      </c>
      <c r="B545" t="s">
        <v>10127</v>
      </c>
      <c r="C545" t="s">
        <v>74</v>
      </c>
      <c r="D545" t="s">
        <v>74</v>
      </c>
      <c r="E545" t="s">
        <v>74</v>
      </c>
      <c r="F545" t="s">
        <v>10128</v>
      </c>
      <c r="G545" t="s">
        <v>74</v>
      </c>
      <c r="H545" t="s">
        <v>74</v>
      </c>
      <c r="I545" t="s">
        <v>10129</v>
      </c>
      <c r="J545" t="s">
        <v>10108</v>
      </c>
      <c r="K545" t="s">
        <v>74</v>
      </c>
      <c r="L545" t="s">
        <v>74</v>
      </c>
      <c r="M545" t="s">
        <v>78</v>
      </c>
      <c r="N545" t="s">
        <v>79</v>
      </c>
      <c r="O545" t="s">
        <v>74</v>
      </c>
      <c r="P545" t="s">
        <v>74</v>
      </c>
      <c r="Q545" t="s">
        <v>74</v>
      </c>
      <c r="R545" t="s">
        <v>74</v>
      </c>
      <c r="S545" t="s">
        <v>74</v>
      </c>
      <c r="T545" t="s">
        <v>74</v>
      </c>
      <c r="U545" t="s">
        <v>10130</v>
      </c>
      <c r="V545" t="s">
        <v>10131</v>
      </c>
      <c r="W545" t="s">
        <v>10132</v>
      </c>
      <c r="X545" t="s">
        <v>10133</v>
      </c>
      <c r="Y545" t="s">
        <v>10134</v>
      </c>
      <c r="Z545" t="s">
        <v>10135</v>
      </c>
      <c r="AA545" t="s">
        <v>10136</v>
      </c>
      <c r="AB545" t="s">
        <v>10137</v>
      </c>
      <c r="AC545" t="s">
        <v>10138</v>
      </c>
      <c r="AD545" t="s">
        <v>10139</v>
      </c>
      <c r="AE545" t="s">
        <v>10140</v>
      </c>
      <c r="AF545" t="s">
        <v>74</v>
      </c>
      <c r="AG545">
        <v>45</v>
      </c>
      <c r="AH545">
        <v>15</v>
      </c>
      <c r="AI545">
        <v>18</v>
      </c>
      <c r="AJ545">
        <v>2</v>
      </c>
      <c r="AK545">
        <v>32</v>
      </c>
      <c r="AL545" t="s">
        <v>1184</v>
      </c>
      <c r="AM545" t="s">
        <v>1185</v>
      </c>
      <c r="AN545" t="s">
        <v>1186</v>
      </c>
      <c r="AO545" t="s">
        <v>10120</v>
      </c>
      <c r="AP545" t="s">
        <v>10121</v>
      </c>
      <c r="AQ545" t="s">
        <v>74</v>
      </c>
      <c r="AR545" t="s">
        <v>10122</v>
      </c>
      <c r="AS545" t="s">
        <v>10123</v>
      </c>
      <c r="AT545" t="s">
        <v>9572</v>
      </c>
      <c r="AU545">
        <v>2009</v>
      </c>
      <c r="AV545">
        <v>40</v>
      </c>
      <c r="AW545">
        <v>5</v>
      </c>
      <c r="AX545" t="s">
        <v>74</v>
      </c>
      <c r="AY545" t="s">
        <v>74</v>
      </c>
      <c r="AZ545" t="s">
        <v>74</v>
      </c>
      <c r="BA545" t="s">
        <v>74</v>
      </c>
      <c r="BB545">
        <v>553</v>
      </c>
      <c r="BC545">
        <v>558</v>
      </c>
      <c r="BD545" t="s">
        <v>74</v>
      </c>
      <c r="BE545" t="s">
        <v>10141</v>
      </c>
      <c r="BF545" t="str">
        <f>HYPERLINK("http://dx.doi.org/10.1111/j.1600-048X.2009.04661.x","http://dx.doi.org/10.1111/j.1600-048X.2009.04661.x")</f>
        <v>http://dx.doi.org/10.1111/j.1600-048X.2009.04661.x</v>
      </c>
      <c r="BG545" t="s">
        <v>74</v>
      </c>
      <c r="BH545" t="s">
        <v>74</v>
      </c>
      <c r="BI545">
        <v>6</v>
      </c>
      <c r="BJ545" t="s">
        <v>2460</v>
      </c>
      <c r="BK545" t="s">
        <v>98</v>
      </c>
      <c r="BL545" t="s">
        <v>207</v>
      </c>
      <c r="BM545" t="s">
        <v>10125</v>
      </c>
      <c r="BN545" t="s">
        <v>74</v>
      </c>
      <c r="BO545" t="s">
        <v>74</v>
      </c>
      <c r="BP545" t="s">
        <v>74</v>
      </c>
      <c r="BQ545" t="s">
        <v>74</v>
      </c>
      <c r="BR545" t="s">
        <v>101</v>
      </c>
      <c r="BS545" t="s">
        <v>10142</v>
      </c>
      <c r="BT545" t="str">
        <f>HYPERLINK("https%3A%2F%2Fwww.webofscience.com%2Fwos%2Fwoscc%2Ffull-record%2FWOS:000270179100010","View Full Record in Web of Science")</f>
        <v>View Full Record in Web of Science</v>
      </c>
    </row>
    <row r="546" spans="1:72" x14ac:dyDescent="0.15">
      <c r="A546" t="s">
        <v>72</v>
      </c>
      <c r="B546" t="s">
        <v>10143</v>
      </c>
      <c r="C546" t="s">
        <v>74</v>
      </c>
      <c r="D546" t="s">
        <v>74</v>
      </c>
      <c r="E546" t="s">
        <v>74</v>
      </c>
      <c r="F546" t="s">
        <v>10144</v>
      </c>
      <c r="G546" t="s">
        <v>74</v>
      </c>
      <c r="H546" t="s">
        <v>74</v>
      </c>
      <c r="I546" t="s">
        <v>10145</v>
      </c>
      <c r="J546" t="s">
        <v>604</v>
      </c>
      <c r="K546" t="s">
        <v>74</v>
      </c>
      <c r="L546" t="s">
        <v>74</v>
      </c>
      <c r="M546" t="s">
        <v>78</v>
      </c>
      <c r="N546" t="s">
        <v>79</v>
      </c>
      <c r="O546" t="s">
        <v>74</v>
      </c>
      <c r="P546" t="s">
        <v>74</v>
      </c>
      <c r="Q546" t="s">
        <v>74</v>
      </c>
      <c r="R546" t="s">
        <v>74</v>
      </c>
      <c r="S546" t="s">
        <v>74</v>
      </c>
      <c r="T546" t="s">
        <v>10146</v>
      </c>
      <c r="U546" t="s">
        <v>10147</v>
      </c>
      <c r="V546" t="s">
        <v>10148</v>
      </c>
      <c r="W546" t="s">
        <v>10149</v>
      </c>
      <c r="X546" t="s">
        <v>10150</v>
      </c>
      <c r="Y546" t="s">
        <v>10151</v>
      </c>
      <c r="Z546" t="s">
        <v>10152</v>
      </c>
      <c r="AA546" t="s">
        <v>10153</v>
      </c>
      <c r="AB546" t="s">
        <v>10154</v>
      </c>
      <c r="AC546" t="s">
        <v>10155</v>
      </c>
      <c r="AD546" t="s">
        <v>10156</v>
      </c>
      <c r="AE546" t="s">
        <v>10157</v>
      </c>
      <c r="AF546" t="s">
        <v>74</v>
      </c>
      <c r="AG546">
        <v>38</v>
      </c>
      <c r="AH546">
        <v>36</v>
      </c>
      <c r="AI546">
        <v>37</v>
      </c>
      <c r="AJ546">
        <v>2</v>
      </c>
      <c r="AK546">
        <v>43</v>
      </c>
      <c r="AL546" t="s">
        <v>617</v>
      </c>
      <c r="AM546" t="s">
        <v>618</v>
      </c>
      <c r="AN546" t="s">
        <v>619</v>
      </c>
      <c r="AO546" t="s">
        <v>620</v>
      </c>
      <c r="AP546" t="s">
        <v>74</v>
      </c>
      <c r="AQ546" t="s">
        <v>74</v>
      </c>
      <c r="AR546" t="s">
        <v>621</v>
      </c>
      <c r="AS546" t="s">
        <v>622</v>
      </c>
      <c r="AT546" t="s">
        <v>9657</v>
      </c>
      <c r="AU546">
        <v>2009</v>
      </c>
      <c r="AV546">
        <v>212</v>
      </c>
      <c r="AW546">
        <v>17</v>
      </c>
      <c r="AX546" t="s">
        <v>74</v>
      </c>
      <c r="AY546" t="s">
        <v>74</v>
      </c>
      <c r="AZ546" t="s">
        <v>74</v>
      </c>
      <c r="BA546" t="s">
        <v>74</v>
      </c>
      <c r="BB546">
        <v>2803</v>
      </c>
      <c r="BC546">
        <v>2811</v>
      </c>
      <c r="BD546" t="s">
        <v>74</v>
      </c>
      <c r="BE546" t="s">
        <v>10158</v>
      </c>
      <c r="BF546" t="str">
        <f>HYPERLINK("http://dx.doi.org/10.1242/jeb.029413","http://dx.doi.org/10.1242/jeb.029413")</f>
        <v>http://dx.doi.org/10.1242/jeb.029413</v>
      </c>
      <c r="BG546" t="s">
        <v>74</v>
      </c>
      <c r="BH546" t="s">
        <v>74</v>
      </c>
      <c r="BI546">
        <v>9</v>
      </c>
      <c r="BJ546" t="s">
        <v>624</v>
      </c>
      <c r="BK546" t="s">
        <v>98</v>
      </c>
      <c r="BL546" t="s">
        <v>625</v>
      </c>
      <c r="BM546" t="s">
        <v>10159</v>
      </c>
      <c r="BN546">
        <v>19684214</v>
      </c>
      <c r="BO546" t="s">
        <v>74</v>
      </c>
      <c r="BP546" t="s">
        <v>74</v>
      </c>
      <c r="BQ546" t="s">
        <v>74</v>
      </c>
      <c r="BR546" t="s">
        <v>101</v>
      </c>
      <c r="BS546" t="s">
        <v>10160</v>
      </c>
      <c r="BT546" t="str">
        <f>HYPERLINK("https%3A%2F%2Fwww.webofscience.com%2Fwos%2Fwoscc%2Ffull-record%2FWOS:000268995100019","View Full Record in Web of Science")</f>
        <v>View Full Record in Web of Science</v>
      </c>
    </row>
    <row r="547" spans="1:72" x14ac:dyDescent="0.15">
      <c r="A547" t="s">
        <v>72</v>
      </c>
      <c r="B547" t="s">
        <v>10161</v>
      </c>
      <c r="C547" t="s">
        <v>74</v>
      </c>
      <c r="D547" t="s">
        <v>74</v>
      </c>
      <c r="E547" t="s">
        <v>74</v>
      </c>
      <c r="F547" t="s">
        <v>10162</v>
      </c>
      <c r="G547" t="s">
        <v>74</v>
      </c>
      <c r="H547" t="s">
        <v>74</v>
      </c>
      <c r="I547" t="s">
        <v>10163</v>
      </c>
      <c r="J547" t="s">
        <v>604</v>
      </c>
      <c r="K547" t="s">
        <v>74</v>
      </c>
      <c r="L547" t="s">
        <v>74</v>
      </c>
      <c r="M547" t="s">
        <v>78</v>
      </c>
      <c r="N547" t="s">
        <v>79</v>
      </c>
      <c r="O547" t="s">
        <v>74</v>
      </c>
      <c r="P547" t="s">
        <v>74</v>
      </c>
      <c r="Q547" t="s">
        <v>74</v>
      </c>
      <c r="R547" t="s">
        <v>74</v>
      </c>
      <c r="S547" t="s">
        <v>74</v>
      </c>
      <c r="T547" t="s">
        <v>10164</v>
      </c>
      <c r="U547" t="s">
        <v>10165</v>
      </c>
      <c r="V547" t="s">
        <v>10166</v>
      </c>
      <c r="W547" t="s">
        <v>10167</v>
      </c>
      <c r="X547" t="s">
        <v>10168</v>
      </c>
      <c r="Y547" t="s">
        <v>10169</v>
      </c>
      <c r="Z547" t="s">
        <v>10170</v>
      </c>
      <c r="AA547" t="s">
        <v>10171</v>
      </c>
      <c r="AB547" t="s">
        <v>10172</v>
      </c>
      <c r="AC547" t="s">
        <v>10173</v>
      </c>
      <c r="AD547" t="s">
        <v>10174</v>
      </c>
      <c r="AE547" t="s">
        <v>74</v>
      </c>
      <c r="AF547" t="s">
        <v>74</v>
      </c>
      <c r="AG547">
        <v>42</v>
      </c>
      <c r="AH547">
        <v>37</v>
      </c>
      <c r="AI547">
        <v>41</v>
      </c>
      <c r="AJ547">
        <v>0</v>
      </c>
      <c r="AK547">
        <v>22</v>
      </c>
      <c r="AL547" t="s">
        <v>617</v>
      </c>
      <c r="AM547" t="s">
        <v>618</v>
      </c>
      <c r="AN547" t="s">
        <v>619</v>
      </c>
      <c r="AO547" t="s">
        <v>620</v>
      </c>
      <c r="AP547" t="s">
        <v>74</v>
      </c>
      <c r="AQ547" t="s">
        <v>74</v>
      </c>
      <c r="AR547" t="s">
        <v>621</v>
      </c>
      <c r="AS547" t="s">
        <v>622</v>
      </c>
      <c r="AT547" t="s">
        <v>9657</v>
      </c>
      <c r="AU547">
        <v>2009</v>
      </c>
      <c r="AV547">
        <v>212</v>
      </c>
      <c r="AW547">
        <v>17</v>
      </c>
      <c r="AX547" t="s">
        <v>74</v>
      </c>
      <c r="AY547" t="s">
        <v>74</v>
      </c>
      <c r="AZ547" t="s">
        <v>74</v>
      </c>
      <c r="BA547" t="s">
        <v>74</v>
      </c>
      <c r="BB547">
        <v>2864</v>
      </c>
      <c r="BC547">
        <v>2871</v>
      </c>
      <c r="BD547" t="s">
        <v>74</v>
      </c>
      <c r="BE547" t="s">
        <v>10175</v>
      </c>
      <c r="BF547" t="str">
        <f>HYPERLINK("http://dx.doi.org/10.1242/jeb.034173","http://dx.doi.org/10.1242/jeb.034173")</f>
        <v>http://dx.doi.org/10.1242/jeb.034173</v>
      </c>
      <c r="BG547" t="s">
        <v>74</v>
      </c>
      <c r="BH547" t="s">
        <v>74</v>
      </c>
      <c r="BI547">
        <v>8</v>
      </c>
      <c r="BJ547" t="s">
        <v>624</v>
      </c>
      <c r="BK547" t="s">
        <v>98</v>
      </c>
      <c r="BL547" t="s">
        <v>625</v>
      </c>
      <c r="BM547" t="s">
        <v>10159</v>
      </c>
      <c r="BN547">
        <v>19684222</v>
      </c>
      <c r="BO547" t="s">
        <v>263</v>
      </c>
      <c r="BP547" t="s">
        <v>74</v>
      </c>
      <c r="BQ547" t="s">
        <v>74</v>
      </c>
      <c r="BR547" t="s">
        <v>101</v>
      </c>
      <c r="BS547" t="s">
        <v>10176</v>
      </c>
      <c r="BT547" t="str">
        <f>HYPERLINK("https%3A%2F%2Fwww.webofscience.com%2Fwos%2Fwoscc%2Ffull-record%2FWOS:000268995100027","View Full Record in Web of Science")</f>
        <v>View Full Record in Web of Science</v>
      </c>
    </row>
    <row r="548" spans="1:72" x14ac:dyDescent="0.15">
      <c r="A548" t="s">
        <v>72</v>
      </c>
      <c r="B548" t="s">
        <v>10177</v>
      </c>
      <c r="C548" t="s">
        <v>74</v>
      </c>
      <c r="D548" t="s">
        <v>74</v>
      </c>
      <c r="E548" t="s">
        <v>74</v>
      </c>
      <c r="F548" t="s">
        <v>10178</v>
      </c>
      <c r="G548" t="s">
        <v>74</v>
      </c>
      <c r="H548" t="s">
        <v>74</v>
      </c>
      <c r="I548" t="s">
        <v>10179</v>
      </c>
      <c r="J548" t="s">
        <v>10180</v>
      </c>
      <c r="K548" t="s">
        <v>74</v>
      </c>
      <c r="L548" t="s">
        <v>74</v>
      </c>
      <c r="M548" t="s">
        <v>78</v>
      </c>
      <c r="N548" t="s">
        <v>79</v>
      </c>
      <c r="O548" t="s">
        <v>74</v>
      </c>
      <c r="P548" t="s">
        <v>74</v>
      </c>
      <c r="Q548" t="s">
        <v>74</v>
      </c>
      <c r="R548" t="s">
        <v>74</v>
      </c>
      <c r="S548" t="s">
        <v>74</v>
      </c>
      <c r="T548" t="s">
        <v>74</v>
      </c>
      <c r="U548" t="s">
        <v>10181</v>
      </c>
      <c r="V548" t="s">
        <v>10182</v>
      </c>
      <c r="W548" t="s">
        <v>10183</v>
      </c>
      <c r="X548" t="s">
        <v>10184</v>
      </c>
      <c r="Y548" t="s">
        <v>10185</v>
      </c>
      <c r="Z548" t="s">
        <v>10186</v>
      </c>
      <c r="AA548" t="s">
        <v>10187</v>
      </c>
      <c r="AB548" t="s">
        <v>10188</v>
      </c>
      <c r="AC548" t="s">
        <v>10189</v>
      </c>
      <c r="AD548" t="s">
        <v>6079</v>
      </c>
      <c r="AE548" t="s">
        <v>10190</v>
      </c>
      <c r="AF548" t="s">
        <v>74</v>
      </c>
      <c r="AG548">
        <v>40</v>
      </c>
      <c r="AH548">
        <v>12</v>
      </c>
      <c r="AI548">
        <v>12</v>
      </c>
      <c r="AJ548">
        <v>0</v>
      </c>
      <c r="AK548">
        <v>8</v>
      </c>
      <c r="AL548" t="s">
        <v>1226</v>
      </c>
      <c r="AM548" t="s">
        <v>618</v>
      </c>
      <c r="AN548" t="s">
        <v>10191</v>
      </c>
      <c r="AO548" t="s">
        <v>10192</v>
      </c>
      <c r="AP548" t="s">
        <v>10193</v>
      </c>
      <c r="AQ548" t="s">
        <v>74</v>
      </c>
      <c r="AR548" t="s">
        <v>10194</v>
      </c>
      <c r="AS548" t="s">
        <v>10195</v>
      </c>
      <c r="AT548" t="s">
        <v>9572</v>
      </c>
      <c r="AU548">
        <v>2009</v>
      </c>
      <c r="AV548">
        <v>83</v>
      </c>
      <c r="AW548">
        <v>3</v>
      </c>
      <c r="AX548" t="s">
        <v>74</v>
      </c>
      <c r="AY548" t="s">
        <v>74</v>
      </c>
      <c r="AZ548" t="s">
        <v>74</v>
      </c>
      <c r="BA548" t="s">
        <v>74</v>
      </c>
      <c r="BB548">
        <v>237</v>
      </c>
      <c r="BC548">
        <v>243</v>
      </c>
      <c r="BD548" t="s">
        <v>74</v>
      </c>
      <c r="BE548" t="s">
        <v>10196</v>
      </c>
      <c r="BF548" t="str">
        <f>HYPERLINK("http://dx.doi.org/10.1017/S0022149X08165178","http://dx.doi.org/10.1017/S0022149X08165178")</f>
        <v>http://dx.doi.org/10.1017/S0022149X08165178</v>
      </c>
      <c r="BG548" t="s">
        <v>74</v>
      </c>
      <c r="BH548" t="s">
        <v>74</v>
      </c>
      <c r="BI548">
        <v>7</v>
      </c>
      <c r="BJ548" t="s">
        <v>10197</v>
      </c>
      <c r="BK548" t="s">
        <v>98</v>
      </c>
      <c r="BL548" t="s">
        <v>10197</v>
      </c>
      <c r="BM548" t="s">
        <v>10198</v>
      </c>
      <c r="BN548">
        <v>19138450</v>
      </c>
      <c r="BO548" t="s">
        <v>74</v>
      </c>
      <c r="BP548" t="s">
        <v>74</v>
      </c>
      <c r="BQ548" t="s">
        <v>74</v>
      </c>
      <c r="BR548" t="s">
        <v>101</v>
      </c>
      <c r="BS548" t="s">
        <v>10199</v>
      </c>
      <c r="BT548" t="str">
        <f>HYPERLINK("https%3A%2F%2Fwww.webofscience.com%2Fwos%2Fwoscc%2Ffull-record%2FWOS:000268978800006","View Full Record in Web of Science")</f>
        <v>View Full Record in Web of Science</v>
      </c>
    </row>
    <row r="549" spans="1:72" x14ac:dyDescent="0.15">
      <c r="A549" t="s">
        <v>72</v>
      </c>
      <c r="B549" t="s">
        <v>10200</v>
      </c>
      <c r="C549" t="s">
        <v>74</v>
      </c>
      <c r="D549" t="s">
        <v>74</v>
      </c>
      <c r="E549" t="s">
        <v>74</v>
      </c>
      <c r="F549" t="s">
        <v>10201</v>
      </c>
      <c r="G549" t="s">
        <v>74</v>
      </c>
      <c r="H549" t="s">
        <v>74</v>
      </c>
      <c r="I549" t="s">
        <v>10202</v>
      </c>
      <c r="J549" t="s">
        <v>2553</v>
      </c>
      <c r="K549" t="s">
        <v>74</v>
      </c>
      <c r="L549" t="s">
        <v>74</v>
      </c>
      <c r="M549" t="s">
        <v>78</v>
      </c>
      <c r="N549" t="s">
        <v>79</v>
      </c>
      <c r="O549" t="s">
        <v>74</v>
      </c>
      <c r="P549" t="s">
        <v>74</v>
      </c>
      <c r="Q549" t="s">
        <v>74</v>
      </c>
      <c r="R549" t="s">
        <v>74</v>
      </c>
      <c r="S549" t="s">
        <v>74</v>
      </c>
      <c r="T549" t="s">
        <v>74</v>
      </c>
      <c r="U549" t="s">
        <v>10203</v>
      </c>
      <c r="V549" t="s">
        <v>10204</v>
      </c>
      <c r="W549" t="s">
        <v>10205</v>
      </c>
      <c r="X549" t="s">
        <v>10206</v>
      </c>
      <c r="Y549" t="s">
        <v>2653</v>
      </c>
      <c r="Z549" t="s">
        <v>2654</v>
      </c>
      <c r="AA549" t="s">
        <v>10207</v>
      </c>
      <c r="AB549" t="s">
        <v>10208</v>
      </c>
      <c r="AC549" t="s">
        <v>10209</v>
      </c>
      <c r="AD549" t="s">
        <v>573</v>
      </c>
      <c r="AE549" t="s">
        <v>74</v>
      </c>
      <c r="AF549" t="s">
        <v>74</v>
      </c>
      <c r="AG549">
        <v>59</v>
      </c>
      <c r="AH549">
        <v>32</v>
      </c>
      <c r="AI549">
        <v>34</v>
      </c>
      <c r="AJ549">
        <v>0</v>
      </c>
      <c r="AK549">
        <v>5</v>
      </c>
      <c r="AL549" t="s">
        <v>2397</v>
      </c>
      <c r="AM549" t="s">
        <v>2398</v>
      </c>
      <c r="AN549" t="s">
        <v>2399</v>
      </c>
      <c r="AO549" t="s">
        <v>2565</v>
      </c>
      <c r="AP549" t="s">
        <v>2566</v>
      </c>
      <c r="AQ549" t="s">
        <v>74</v>
      </c>
      <c r="AR549" t="s">
        <v>2567</v>
      </c>
      <c r="AS549" t="s">
        <v>2568</v>
      </c>
      <c r="AT549" t="s">
        <v>9572</v>
      </c>
      <c r="AU549">
        <v>2009</v>
      </c>
      <c r="AV549">
        <v>39</v>
      </c>
      <c r="AW549">
        <v>9</v>
      </c>
      <c r="AX549" t="s">
        <v>74</v>
      </c>
      <c r="AY549" t="s">
        <v>74</v>
      </c>
      <c r="AZ549" t="s">
        <v>74</v>
      </c>
      <c r="BA549" t="s">
        <v>74</v>
      </c>
      <c r="BB549">
        <v>1993</v>
      </c>
      <c r="BC549">
        <v>2009</v>
      </c>
      <c r="BD549" t="s">
        <v>74</v>
      </c>
      <c r="BE549" t="s">
        <v>10210</v>
      </c>
      <c r="BF549" t="str">
        <f>HYPERLINK("http://dx.doi.org/10.1175/2009JPO4122.1","http://dx.doi.org/10.1175/2009JPO4122.1")</f>
        <v>http://dx.doi.org/10.1175/2009JPO4122.1</v>
      </c>
      <c r="BG549" t="s">
        <v>74</v>
      </c>
      <c r="BH549" t="s">
        <v>74</v>
      </c>
      <c r="BI549">
        <v>17</v>
      </c>
      <c r="BJ549" t="s">
        <v>806</v>
      </c>
      <c r="BK549" t="s">
        <v>98</v>
      </c>
      <c r="BL549" t="s">
        <v>806</v>
      </c>
      <c r="BM549" t="s">
        <v>10211</v>
      </c>
      <c r="BN549" t="s">
        <v>74</v>
      </c>
      <c r="BO549" t="s">
        <v>156</v>
      </c>
      <c r="BP549" t="s">
        <v>74</v>
      </c>
      <c r="BQ549" t="s">
        <v>74</v>
      </c>
      <c r="BR549" t="s">
        <v>101</v>
      </c>
      <c r="BS549" t="s">
        <v>10212</v>
      </c>
      <c r="BT549" t="str">
        <f>HYPERLINK("https%3A%2F%2Fwww.webofscience.com%2Fwos%2Fwoscc%2Ffull-record%2FWOS:000270010500001","View Full Record in Web of Science")</f>
        <v>View Full Record in Web of Science</v>
      </c>
    </row>
    <row r="550" spans="1:72" x14ac:dyDescent="0.15">
      <c r="A550" t="s">
        <v>72</v>
      </c>
      <c r="B550" t="s">
        <v>10200</v>
      </c>
      <c r="C550" t="s">
        <v>74</v>
      </c>
      <c r="D550" t="s">
        <v>74</v>
      </c>
      <c r="E550" t="s">
        <v>74</v>
      </c>
      <c r="F550" t="s">
        <v>10201</v>
      </c>
      <c r="G550" t="s">
        <v>74</v>
      </c>
      <c r="H550" t="s">
        <v>74</v>
      </c>
      <c r="I550" t="s">
        <v>10213</v>
      </c>
      <c r="J550" t="s">
        <v>2553</v>
      </c>
      <c r="K550" t="s">
        <v>74</v>
      </c>
      <c r="L550" t="s">
        <v>74</v>
      </c>
      <c r="M550" t="s">
        <v>78</v>
      </c>
      <c r="N550" t="s">
        <v>79</v>
      </c>
      <c r="O550" t="s">
        <v>74</v>
      </c>
      <c r="P550" t="s">
        <v>74</v>
      </c>
      <c r="Q550" t="s">
        <v>74</v>
      </c>
      <c r="R550" t="s">
        <v>74</v>
      </c>
      <c r="S550" t="s">
        <v>74</v>
      </c>
      <c r="T550" t="s">
        <v>74</v>
      </c>
      <c r="U550" t="s">
        <v>10214</v>
      </c>
      <c r="V550" t="s">
        <v>10215</v>
      </c>
      <c r="W550" t="s">
        <v>10205</v>
      </c>
      <c r="X550" t="s">
        <v>10206</v>
      </c>
      <c r="Y550" t="s">
        <v>2653</v>
      </c>
      <c r="Z550" t="s">
        <v>2654</v>
      </c>
      <c r="AA550" t="s">
        <v>10207</v>
      </c>
      <c r="AB550" t="s">
        <v>10208</v>
      </c>
      <c r="AC550" t="s">
        <v>10216</v>
      </c>
      <c r="AD550" t="s">
        <v>10217</v>
      </c>
      <c r="AE550" t="s">
        <v>10218</v>
      </c>
      <c r="AF550" t="s">
        <v>74</v>
      </c>
      <c r="AG550">
        <v>45</v>
      </c>
      <c r="AH550">
        <v>42</v>
      </c>
      <c r="AI550">
        <v>46</v>
      </c>
      <c r="AJ550">
        <v>0</v>
      </c>
      <c r="AK550">
        <v>8</v>
      </c>
      <c r="AL550" t="s">
        <v>2397</v>
      </c>
      <c r="AM550" t="s">
        <v>2398</v>
      </c>
      <c r="AN550" t="s">
        <v>2399</v>
      </c>
      <c r="AO550" t="s">
        <v>2565</v>
      </c>
      <c r="AP550" t="s">
        <v>2566</v>
      </c>
      <c r="AQ550" t="s">
        <v>74</v>
      </c>
      <c r="AR550" t="s">
        <v>2567</v>
      </c>
      <c r="AS550" t="s">
        <v>2568</v>
      </c>
      <c r="AT550" t="s">
        <v>9572</v>
      </c>
      <c r="AU550">
        <v>2009</v>
      </c>
      <c r="AV550">
        <v>39</v>
      </c>
      <c r="AW550">
        <v>9</v>
      </c>
      <c r="AX550" t="s">
        <v>74</v>
      </c>
      <c r="AY550" t="s">
        <v>74</v>
      </c>
      <c r="AZ550" t="s">
        <v>74</v>
      </c>
      <c r="BA550" t="s">
        <v>74</v>
      </c>
      <c r="BB550">
        <v>2011</v>
      </c>
      <c r="BC550">
        <v>2023</v>
      </c>
      <c r="BD550" t="s">
        <v>74</v>
      </c>
      <c r="BE550" t="s">
        <v>10219</v>
      </c>
      <c r="BF550" t="str">
        <f>HYPERLINK("http://dx.doi.org/10.1175/2009JPO4115.1","http://dx.doi.org/10.1175/2009JPO4115.1")</f>
        <v>http://dx.doi.org/10.1175/2009JPO4115.1</v>
      </c>
      <c r="BG550" t="s">
        <v>74</v>
      </c>
      <c r="BH550" t="s">
        <v>74</v>
      </c>
      <c r="BI550">
        <v>13</v>
      </c>
      <c r="BJ550" t="s">
        <v>806</v>
      </c>
      <c r="BK550" t="s">
        <v>98</v>
      </c>
      <c r="BL550" t="s">
        <v>806</v>
      </c>
      <c r="BM550" t="s">
        <v>10211</v>
      </c>
      <c r="BN550" t="s">
        <v>74</v>
      </c>
      <c r="BO550" t="s">
        <v>491</v>
      </c>
      <c r="BP550" t="s">
        <v>74</v>
      </c>
      <c r="BQ550" t="s">
        <v>74</v>
      </c>
      <c r="BR550" t="s">
        <v>101</v>
      </c>
      <c r="BS550" t="s">
        <v>10220</v>
      </c>
      <c r="BT550" t="str">
        <f>HYPERLINK("https%3A%2F%2Fwww.webofscience.com%2Fwos%2Fwoscc%2Ffull-record%2FWOS:000270010500002","View Full Record in Web of Science")</f>
        <v>View Full Record in Web of Science</v>
      </c>
    </row>
    <row r="551" spans="1:72" x14ac:dyDescent="0.15">
      <c r="A551" t="s">
        <v>72</v>
      </c>
      <c r="B551" t="s">
        <v>10221</v>
      </c>
      <c r="C551" t="s">
        <v>74</v>
      </c>
      <c r="D551" t="s">
        <v>74</v>
      </c>
      <c r="E551" t="s">
        <v>74</v>
      </c>
      <c r="F551" t="s">
        <v>10222</v>
      </c>
      <c r="G551" t="s">
        <v>74</v>
      </c>
      <c r="H551" t="s">
        <v>74</v>
      </c>
      <c r="I551" t="s">
        <v>10223</v>
      </c>
      <c r="J551" t="s">
        <v>10224</v>
      </c>
      <c r="K551" t="s">
        <v>74</v>
      </c>
      <c r="L551" t="s">
        <v>74</v>
      </c>
      <c r="M551" t="s">
        <v>78</v>
      </c>
      <c r="N551" t="s">
        <v>79</v>
      </c>
      <c r="O551" t="s">
        <v>74</v>
      </c>
      <c r="P551" t="s">
        <v>74</v>
      </c>
      <c r="Q551" t="s">
        <v>74</v>
      </c>
      <c r="R551" t="s">
        <v>74</v>
      </c>
      <c r="S551" t="s">
        <v>74</v>
      </c>
      <c r="T551" t="s">
        <v>74</v>
      </c>
      <c r="U551" t="s">
        <v>10225</v>
      </c>
      <c r="V551" t="s">
        <v>10226</v>
      </c>
      <c r="W551" t="s">
        <v>10227</v>
      </c>
      <c r="X551" t="s">
        <v>10228</v>
      </c>
      <c r="Y551" t="s">
        <v>10229</v>
      </c>
      <c r="Z551" t="s">
        <v>10230</v>
      </c>
      <c r="AA551" t="s">
        <v>10231</v>
      </c>
      <c r="AB551" t="s">
        <v>10232</v>
      </c>
      <c r="AC551" t="s">
        <v>10233</v>
      </c>
      <c r="AD551" t="s">
        <v>10234</v>
      </c>
      <c r="AE551" t="s">
        <v>10235</v>
      </c>
      <c r="AF551" t="s">
        <v>74</v>
      </c>
      <c r="AG551">
        <v>47</v>
      </c>
      <c r="AH551">
        <v>24</v>
      </c>
      <c r="AI551">
        <v>27</v>
      </c>
      <c r="AJ551">
        <v>0</v>
      </c>
      <c r="AK551">
        <v>14</v>
      </c>
      <c r="AL551" t="s">
        <v>1184</v>
      </c>
      <c r="AM551" t="s">
        <v>1185</v>
      </c>
      <c r="AN551" t="s">
        <v>1186</v>
      </c>
      <c r="AO551" t="s">
        <v>10236</v>
      </c>
      <c r="AP551" t="s">
        <v>10237</v>
      </c>
      <c r="AQ551" t="s">
        <v>74</v>
      </c>
      <c r="AR551" t="s">
        <v>10238</v>
      </c>
      <c r="AS551" t="s">
        <v>10239</v>
      </c>
      <c r="AT551" t="s">
        <v>9657</v>
      </c>
      <c r="AU551">
        <v>2009</v>
      </c>
      <c r="AV551">
        <v>587</v>
      </c>
      <c r="AW551">
        <v>17</v>
      </c>
      <c r="AX551" t="s">
        <v>74</v>
      </c>
      <c r="AY551" t="s">
        <v>74</v>
      </c>
      <c r="AZ551" t="s">
        <v>74</v>
      </c>
      <c r="BA551" t="s">
        <v>74</v>
      </c>
      <c r="BB551">
        <v>4349</v>
      </c>
      <c r="BC551">
        <v>4359</v>
      </c>
      <c r="BD551" t="s">
        <v>74</v>
      </c>
      <c r="BE551" t="s">
        <v>10240</v>
      </c>
      <c r="BF551" t="str">
        <f>HYPERLINK("http://dx.doi.org/10.1113/jphysiol.2009.175331","http://dx.doi.org/10.1113/jphysiol.2009.175331")</f>
        <v>http://dx.doi.org/10.1113/jphysiol.2009.175331</v>
      </c>
      <c r="BG551" t="s">
        <v>74</v>
      </c>
      <c r="BH551" t="s">
        <v>74</v>
      </c>
      <c r="BI551">
        <v>11</v>
      </c>
      <c r="BJ551" t="s">
        <v>10241</v>
      </c>
      <c r="BK551" t="s">
        <v>98</v>
      </c>
      <c r="BL551" t="s">
        <v>10242</v>
      </c>
      <c r="BM551" t="s">
        <v>10243</v>
      </c>
      <c r="BN551">
        <v>19622609</v>
      </c>
      <c r="BO551" t="s">
        <v>239</v>
      </c>
      <c r="BP551" t="s">
        <v>74</v>
      </c>
      <c r="BQ551" t="s">
        <v>74</v>
      </c>
      <c r="BR551" t="s">
        <v>101</v>
      </c>
      <c r="BS551" t="s">
        <v>10244</v>
      </c>
      <c r="BT551" t="str">
        <f>HYPERLINK("https%3A%2F%2Fwww.webofscience.com%2Fwos%2Fwoscc%2Ffull-record%2FWOS:000269392200029","View Full Record in Web of Science")</f>
        <v>View Full Record in Web of Science</v>
      </c>
    </row>
    <row r="552" spans="1:72" x14ac:dyDescent="0.15">
      <c r="A552" t="s">
        <v>72</v>
      </c>
      <c r="B552" t="s">
        <v>10245</v>
      </c>
      <c r="C552" t="s">
        <v>74</v>
      </c>
      <c r="D552" t="s">
        <v>74</v>
      </c>
      <c r="E552" t="s">
        <v>74</v>
      </c>
      <c r="F552" t="s">
        <v>10246</v>
      </c>
      <c r="G552" t="s">
        <v>74</v>
      </c>
      <c r="H552" t="s">
        <v>74</v>
      </c>
      <c r="I552" t="s">
        <v>10247</v>
      </c>
      <c r="J552" t="s">
        <v>7989</v>
      </c>
      <c r="K552" t="s">
        <v>74</v>
      </c>
      <c r="L552" t="s">
        <v>74</v>
      </c>
      <c r="M552" t="s">
        <v>78</v>
      </c>
      <c r="N552" t="s">
        <v>79</v>
      </c>
      <c r="O552" t="s">
        <v>74</v>
      </c>
      <c r="P552" t="s">
        <v>74</v>
      </c>
      <c r="Q552" t="s">
        <v>74</v>
      </c>
      <c r="R552" t="s">
        <v>74</v>
      </c>
      <c r="S552" t="s">
        <v>74</v>
      </c>
      <c r="T552" t="s">
        <v>74</v>
      </c>
      <c r="U552" t="s">
        <v>10248</v>
      </c>
      <c r="V552" t="s">
        <v>10249</v>
      </c>
      <c r="W552" t="s">
        <v>10250</v>
      </c>
      <c r="X552" t="s">
        <v>10251</v>
      </c>
      <c r="Y552" t="s">
        <v>10252</v>
      </c>
      <c r="Z552" t="s">
        <v>10253</v>
      </c>
      <c r="AA552" t="s">
        <v>10254</v>
      </c>
      <c r="AB552" t="s">
        <v>10255</v>
      </c>
      <c r="AC552" t="s">
        <v>10256</v>
      </c>
      <c r="AD552" t="s">
        <v>10256</v>
      </c>
      <c r="AE552" t="s">
        <v>10257</v>
      </c>
      <c r="AF552" t="s">
        <v>74</v>
      </c>
      <c r="AG552">
        <v>48</v>
      </c>
      <c r="AH552">
        <v>30</v>
      </c>
      <c r="AI552">
        <v>33</v>
      </c>
      <c r="AJ552">
        <v>0</v>
      </c>
      <c r="AK552">
        <v>14</v>
      </c>
      <c r="AL552" t="s">
        <v>2171</v>
      </c>
      <c r="AM552" t="s">
        <v>1895</v>
      </c>
      <c r="AN552" t="s">
        <v>2172</v>
      </c>
      <c r="AO552" t="s">
        <v>8001</v>
      </c>
      <c r="AP552" t="s">
        <v>74</v>
      </c>
      <c r="AQ552" t="s">
        <v>74</v>
      </c>
      <c r="AR552" t="s">
        <v>8003</v>
      </c>
      <c r="AS552" t="s">
        <v>8004</v>
      </c>
      <c r="AT552" t="s">
        <v>9572</v>
      </c>
      <c r="AU552">
        <v>2009</v>
      </c>
      <c r="AV552">
        <v>31</v>
      </c>
      <c r="AW552">
        <v>9</v>
      </c>
      <c r="AX552" t="s">
        <v>74</v>
      </c>
      <c r="AY552" t="s">
        <v>74</v>
      </c>
      <c r="AZ552" t="s">
        <v>74</v>
      </c>
      <c r="BA552" t="s">
        <v>74</v>
      </c>
      <c r="BB552">
        <v>1059</v>
      </c>
      <c r="BC552">
        <v>1073</v>
      </c>
      <c r="BD552" t="s">
        <v>74</v>
      </c>
      <c r="BE552" t="s">
        <v>10258</v>
      </c>
      <c r="BF552" t="str">
        <f>HYPERLINK("http://dx.doi.org/10.1093/plankt/fbp054","http://dx.doi.org/10.1093/plankt/fbp054")</f>
        <v>http://dx.doi.org/10.1093/plankt/fbp054</v>
      </c>
      <c r="BG552" t="s">
        <v>74</v>
      </c>
      <c r="BH552" t="s">
        <v>74</v>
      </c>
      <c r="BI552">
        <v>15</v>
      </c>
      <c r="BJ552" t="s">
        <v>5741</v>
      </c>
      <c r="BK552" t="s">
        <v>98</v>
      </c>
      <c r="BL552" t="s">
        <v>5741</v>
      </c>
      <c r="BM552" t="s">
        <v>10259</v>
      </c>
      <c r="BN552" t="s">
        <v>74</v>
      </c>
      <c r="BO552" t="s">
        <v>263</v>
      </c>
      <c r="BP552" t="s">
        <v>74</v>
      </c>
      <c r="BQ552" t="s">
        <v>74</v>
      </c>
      <c r="BR552" t="s">
        <v>101</v>
      </c>
      <c r="BS552" t="s">
        <v>10260</v>
      </c>
      <c r="BT552" t="str">
        <f>HYPERLINK("https%3A%2F%2Fwww.webofscience.com%2Fwos%2Fwoscc%2Ffull-record%2FWOS:000268806200007","View Full Record in Web of Science")</f>
        <v>View Full Record in Web of Science</v>
      </c>
    </row>
    <row r="553" spans="1:72" x14ac:dyDescent="0.15">
      <c r="A553" t="s">
        <v>72</v>
      </c>
      <c r="B553" t="s">
        <v>10261</v>
      </c>
      <c r="C553" t="s">
        <v>74</v>
      </c>
      <c r="D553" t="s">
        <v>74</v>
      </c>
      <c r="E553" t="s">
        <v>74</v>
      </c>
      <c r="F553" t="s">
        <v>10262</v>
      </c>
      <c r="G553" t="s">
        <v>74</v>
      </c>
      <c r="H553" t="s">
        <v>74</v>
      </c>
      <c r="I553" t="s">
        <v>10263</v>
      </c>
      <c r="J553" t="s">
        <v>10264</v>
      </c>
      <c r="K553" t="s">
        <v>74</v>
      </c>
      <c r="L553" t="s">
        <v>74</v>
      </c>
      <c r="M553" t="s">
        <v>78</v>
      </c>
      <c r="N553" t="s">
        <v>79</v>
      </c>
      <c r="O553" t="s">
        <v>74</v>
      </c>
      <c r="P553" t="s">
        <v>74</v>
      </c>
      <c r="Q553" t="s">
        <v>74</v>
      </c>
      <c r="R553" t="s">
        <v>74</v>
      </c>
      <c r="S553" t="s">
        <v>74</v>
      </c>
      <c r="T553" t="s">
        <v>10265</v>
      </c>
      <c r="U553" t="s">
        <v>10266</v>
      </c>
      <c r="V553" t="s">
        <v>10267</v>
      </c>
      <c r="W553" t="s">
        <v>10268</v>
      </c>
      <c r="X553" t="s">
        <v>10269</v>
      </c>
      <c r="Y553" t="s">
        <v>10270</v>
      </c>
      <c r="Z553" t="s">
        <v>10271</v>
      </c>
      <c r="AA553" t="s">
        <v>74</v>
      </c>
      <c r="AB553" t="s">
        <v>74</v>
      </c>
      <c r="AC553" t="s">
        <v>10272</v>
      </c>
      <c r="AD553" t="s">
        <v>10273</v>
      </c>
      <c r="AE553" t="s">
        <v>10274</v>
      </c>
      <c r="AF553" t="s">
        <v>74</v>
      </c>
      <c r="AG553">
        <v>75</v>
      </c>
      <c r="AH553">
        <v>26</v>
      </c>
      <c r="AI553">
        <v>29</v>
      </c>
      <c r="AJ553">
        <v>0</v>
      </c>
      <c r="AK553">
        <v>20</v>
      </c>
      <c r="AL553" t="s">
        <v>1184</v>
      </c>
      <c r="AM553" t="s">
        <v>1185</v>
      </c>
      <c r="AN553" t="s">
        <v>1186</v>
      </c>
      <c r="AO553" t="s">
        <v>10275</v>
      </c>
      <c r="AP553" t="s">
        <v>10276</v>
      </c>
      <c r="AQ553" t="s">
        <v>74</v>
      </c>
      <c r="AR553" t="s">
        <v>10277</v>
      </c>
      <c r="AS553" t="s">
        <v>10278</v>
      </c>
      <c r="AT553" t="s">
        <v>9572</v>
      </c>
      <c r="AU553">
        <v>2009</v>
      </c>
      <c r="AV553">
        <v>73</v>
      </c>
      <c r="AW553">
        <v>7</v>
      </c>
      <c r="AX553" t="s">
        <v>74</v>
      </c>
      <c r="AY553" t="s">
        <v>74</v>
      </c>
      <c r="AZ553" t="s">
        <v>74</v>
      </c>
      <c r="BA553" t="s">
        <v>74</v>
      </c>
      <c r="BB553">
        <v>1040</v>
      </c>
      <c r="BC553">
        <v>1051</v>
      </c>
      <c r="BD553" t="s">
        <v>74</v>
      </c>
      <c r="BE553" t="s">
        <v>10279</v>
      </c>
      <c r="BF553" t="str">
        <f>HYPERLINK("http://dx.doi.org/10.2193/2007-208","http://dx.doi.org/10.2193/2007-208")</f>
        <v>http://dx.doi.org/10.2193/2007-208</v>
      </c>
      <c r="BG553" t="s">
        <v>74</v>
      </c>
      <c r="BH553" t="s">
        <v>74</v>
      </c>
      <c r="BI553">
        <v>12</v>
      </c>
      <c r="BJ553" t="s">
        <v>97</v>
      </c>
      <c r="BK553" t="s">
        <v>98</v>
      </c>
      <c r="BL553" t="s">
        <v>99</v>
      </c>
      <c r="BM553" t="s">
        <v>10280</v>
      </c>
      <c r="BN553" t="s">
        <v>74</v>
      </c>
      <c r="BO553" t="s">
        <v>74</v>
      </c>
      <c r="BP553" t="s">
        <v>74</v>
      </c>
      <c r="BQ553" t="s">
        <v>74</v>
      </c>
      <c r="BR553" t="s">
        <v>101</v>
      </c>
      <c r="BS553" t="s">
        <v>10281</v>
      </c>
      <c r="BT553" t="str">
        <f>HYPERLINK("https%3A%2F%2Fwww.webofscience.com%2Fwos%2Fwoscc%2Ffull-record%2FWOS:000269484100003","View Full Record in Web of Science")</f>
        <v>View Full Record in Web of Science</v>
      </c>
    </row>
    <row r="554" spans="1:72" x14ac:dyDescent="0.15">
      <c r="A554" t="s">
        <v>72</v>
      </c>
      <c r="B554" t="s">
        <v>10282</v>
      </c>
      <c r="C554" t="s">
        <v>74</v>
      </c>
      <c r="D554" t="s">
        <v>74</v>
      </c>
      <c r="E554" t="s">
        <v>74</v>
      </c>
      <c r="F554" t="s">
        <v>10283</v>
      </c>
      <c r="G554" t="s">
        <v>74</v>
      </c>
      <c r="H554" t="s">
        <v>74</v>
      </c>
      <c r="I554" t="s">
        <v>10284</v>
      </c>
      <c r="J554" t="s">
        <v>5723</v>
      </c>
      <c r="K554" t="s">
        <v>74</v>
      </c>
      <c r="L554" t="s">
        <v>74</v>
      </c>
      <c r="M554" t="s">
        <v>78</v>
      </c>
      <c r="N554" t="s">
        <v>79</v>
      </c>
      <c r="O554" t="s">
        <v>74</v>
      </c>
      <c r="P554" t="s">
        <v>74</v>
      </c>
      <c r="Q554" t="s">
        <v>74</v>
      </c>
      <c r="R554" t="s">
        <v>74</v>
      </c>
      <c r="S554" t="s">
        <v>74</v>
      </c>
      <c r="T554" t="s">
        <v>74</v>
      </c>
      <c r="U554" t="s">
        <v>10285</v>
      </c>
      <c r="V554" t="s">
        <v>10286</v>
      </c>
      <c r="W554" t="s">
        <v>10287</v>
      </c>
      <c r="X554" t="s">
        <v>10288</v>
      </c>
      <c r="Y554" t="s">
        <v>10289</v>
      </c>
      <c r="Z554" t="s">
        <v>10290</v>
      </c>
      <c r="AA554" t="s">
        <v>10291</v>
      </c>
      <c r="AB554" t="s">
        <v>10292</v>
      </c>
      <c r="AC554" t="s">
        <v>10293</v>
      </c>
      <c r="AD554" t="s">
        <v>10294</v>
      </c>
      <c r="AE554" t="s">
        <v>10295</v>
      </c>
      <c r="AF554" t="s">
        <v>74</v>
      </c>
      <c r="AG554">
        <v>61</v>
      </c>
      <c r="AH554">
        <v>65</v>
      </c>
      <c r="AI554">
        <v>73</v>
      </c>
      <c r="AJ554">
        <v>0</v>
      </c>
      <c r="AK554">
        <v>44</v>
      </c>
      <c r="AL554" t="s">
        <v>1184</v>
      </c>
      <c r="AM554" t="s">
        <v>1185</v>
      </c>
      <c r="AN554" t="s">
        <v>1186</v>
      </c>
      <c r="AO554" t="s">
        <v>5735</v>
      </c>
      <c r="AP554" t="s">
        <v>5736</v>
      </c>
      <c r="AQ554" t="s">
        <v>74</v>
      </c>
      <c r="AR554" t="s">
        <v>5737</v>
      </c>
      <c r="AS554" t="s">
        <v>5738</v>
      </c>
      <c r="AT554" t="s">
        <v>9572</v>
      </c>
      <c r="AU554">
        <v>2009</v>
      </c>
      <c r="AV554">
        <v>54</v>
      </c>
      <c r="AW554">
        <v>5</v>
      </c>
      <c r="AX554" t="s">
        <v>74</v>
      </c>
      <c r="AY554" t="s">
        <v>74</v>
      </c>
      <c r="AZ554" t="s">
        <v>74</v>
      </c>
      <c r="BA554" t="s">
        <v>74</v>
      </c>
      <c r="BB554">
        <v>1595</v>
      </c>
      <c r="BC554">
        <v>1614</v>
      </c>
      <c r="BD554" t="s">
        <v>74</v>
      </c>
      <c r="BE554" t="s">
        <v>10296</v>
      </c>
      <c r="BF554" t="str">
        <f>HYPERLINK("http://dx.doi.org/10.4319/lo.2009.54.5.1595","http://dx.doi.org/10.4319/lo.2009.54.5.1595")</f>
        <v>http://dx.doi.org/10.4319/lo.2009.54.5.1595</v>
      </c>
      <c r="BG554" t="s">
        <v>74</v>
      </c>
      <c r="BH554" t="s">
        <v>74</v>
      </c>
      <c r="BI554">
        <v>20</v>
      </c>
      <c r="BJ554" t="s">
        <v>5740</v>
      </c>
      <c r="BK554" t="s">
        <v>98</v>
      </c>
      <c r="BL554" t="s">
        <v>5741</v>
      </c>
      <c r="BM554" t="s">
        <v>10297</v>
      </c>
      <c r="BN554" t="s">
        <v>74</v>
      </c>
      <c r="BO554" t="s">
        <v>627</v>
      </c>
      <c r="BP554" t="s">
        <v>74</v>
      </c>
      <c r="BQ554" t="s">
        <v>74</v>
      </c>
      <c r="BR554" t="s">
        <v>101</v>
      </c>
      <c r="BS554" t="s">
        <v>10298</v>
      </c>
      <c r="BT554" t="str">
        <f>HYPERLINK("https%3A%2F%2Fwww.webofscience.com%2Fwos%2Fwoscc%2Ffull-record%2FWOS:000268325300016","View Full Record in Web of Science")</f>
        <v>View Full Record in Web of Science</v>
      </c>
    </row>
    <row r="555" spans="1:72" x14ac:dyDescent="0.15">
      <c r="A555" t="s">
        <v>72</v>
      </c>
      <c r="B555" t="s">
        <v>10299</v>
      </c>
      <c r="C555" t="s">
        <v>74</v>
      </c>
      <c r="D555" t="s">
        <v>74</v>
      </c>
      <c r="E555" t="s">
        <v>74</v>
      </c>
      <c r="F555" t="s">
        <v>10300</v>
      </c>
      <c r="G555" t="s">
        <v>74</v>
      </c>
      <c r="H555" t="s">
        <v>74</v>
      </c>
      <c r="I555" t="s">
        <v>10301</v>
      </c>
      <c r="J555" t="s">
        <v>5723</v>
      </c>
      <c r="K555" t="s">
        <v>74</v>
      </c>
      <c r="L555" t="s">
        <v>74</v>
      </c>
      <c r="M555" t="s">
        <v>78</v>
      </c>
      <c r="N555" t="s">
        <v>79</v>
      </c>
      <c r="O555" t="s">
        <v>74</v>
      </c>
      <c r="P555" t="s">
        <v>74</v>
      </c>
      <c r="Q555" t="s">
        <v>74</v>
      </c>
      <c r="R555" t="s">
        <v>74</v>
      </c>
      <c r="S555" t="s">
        <v>74</v>
      </c>
      <c r="T555" t="s">
        <v>74</v>
      </c>
      <c r="U555" t="s">
        <v>10302</v>
      </c>
      <c r="V555" t="s">
        <v>10303</v>
      </c>
      <c r="W555" t="s">
        <v>10304</v>
      </c>
      <c r="X555" t="s">
        <v>10305</v>
      </c>
      <c r="Y555" t="s">
        <v>10306</v>
      </c>
      <c r="Z555" t="s">
        <v>10307</v>
      </c>
      <c r="AA555" t="s">
        <v>10308</v>
      </c>
      <c r="AB555" t="s">
        <v>10309</v>
      </c>
      <c r="AC555" t="s">
        <v>10310</v>
      </c>
      <c r="AD555" t="s">
        <v>10310</v>
      </c>
      <c r="AE555" t="s">
        <v>10311</v>
      </c>
      <c r="AF555" t="s">
        <v>74</v>
      </c>
      <c r="AG555">
        <v>47</v>
      </c>
      <c r="AH555">
        <v>31</v>
      </c>
      <c r="AI555">
        <v>32</v>
      </c>
      <c r="AJ555">
        <v>1</v>
      </c>
      <c r="AK555">
        <v>15</v>
      </c>
      <c r="AL555" t="s">
        <v>1184</v>
      </c>
      <c r="AM555" t="s">
        <v>1185</v>
      </c>
      <c r="AN555" t="s">
        <v>1186</v>
      </c>
      <c r="AO555" t="s">
        <v>5735</v>
      </c>
      <c r="AP555" t="s">
        <v>5736</v>
      </c>
      <c r="AQ555" t="s">
        <v>74</v>
      </c>
      <c r="AR555" t="s">
        <v>5737</v>
      </c>
      <c r="AS555" t="s">
        <v>5738</v>
      </c>
      <c r="AT555" t="s">
        <v>9572</v>
      </c>
      <c r="AU555">
        <v>2009</v>
      </c>
      <c r="AV555">
        <v>54</v>
      </c>
      <c r="AW555">
        <v>5</v>
      </c>
      <c r="AX555" t="s">
        <v>74</v>
      </c>
      <c r="AY555" t="s">
        <v>74</v>
      </c>
      <c r="AZ555" t="s">
        <v>74</v>
      </c>
      <c r="BA555" t="s">
        <v>74</v>
      </c>
      <c r="BB555">
        <v>1776</v>
      </c>
      <c r="BC555">
        <v>1788</v>
      </c>
      <c r="BD555" t="s">
        <v>74</v>
      </c>
      <c r="BE555" t="s">
        <v>10312</v>
      </c>
      <c r="BF555" t="str">
        <f>HYPERLINK("http://dx.doi.org/10.4319/lo.2009.54.5.1776","http://dx.doi.org/10.4319/lo.2009.54.5.1776")</f>
        <v>http://dx.doi.org/10.4319/lo.2009.54.5.1776</v>
      </c>
      <c r="BG555" t="s">
        <v>74</v>
      </c>
      <c r="BH555" t="s">
        <v>74</v>
      </c>
      <c r="BI555">
        <v>13</v>
      </c>
      <c r="BJ555" t="s">
        <v>5740</v>
      </c>
      <c r="BK555" t="s">
        <v>98</v>
      </c>
      <c r="BL555" t="s">
        <v>5741</v>
      </c>
      <c r="BM555" t="s">
        <v>10297</v>
      </c>
      <c r="BN555" t="s">
        <v>74</v>
      </c>
      <c r="BO555" t="s">
        <v>263</v>
      </c>
      <c r="BP555" t="s">
        <v>74</v>
      </c>
      <c r="BQ555" t="s">
        <v>74</v>
      </c>
      <c r="BR555" t="s">
        <v>101</v>
      </c>
      <c r="BS555" t="s">
        <v>10313</v>
      </c>
      <c r="BT555" t="str">
        <f>HYPERLINK("https%3A%2F%2Fwww.webofscience.com%2Fwos%2Fwoscc%2Ffull-record%2FWOS:000268325300033","View Full Record in Web of Science")</f>
        <v>View Full Record in Web of Science</v>
      </c>
    </row>
    <row r="556" spans="1:72" x14ac:dyDescent="0.15">
      <c r="A556" t="s">
        <v>72</v>
      </c>
      <c r="B556" t="s">
        <v>10314</v>
      </c>
      <c r="C556" t="s">
        <v>74</v>
      </c>
      <c r="D556" t="s">
        <v>74</v>
      </c>
      <c r="E556" t="s">
        <v>74</v>
      </c>
      <c r="F556" t="s">
        <v>10315</v>
      </c>
      <c r="G556" t="s">
        <v>74</v>
      </c>
      <c r="H556" t="s">
        <v>74</v>
      </c>
      <c r="I556" t="s">
        <v>10316</v>
      </c>
      <c r="J556" t="s">
        <v>5747</v>
      </c>
      <c r="K556" t="s">
        <v>74</v>
      </c>
      <c r="L556" t="s">
        <v>74</v>
      </c>
      <c r="M556" t="s">
        <v>78</v>
      </c>
      <c r="N556" t="s">
        <v>297</v>
      </c>
      <c r="O556" t="s">
        <v>74</v>
      </c>
      <c r="P556" t="s">
        <v>74</v>
      </c>
      <c r="Q556" t="s">
        <v>74</v>
      </c>
      <c r="R556" t="s">
        <v>74</v>
      </c>
      <c r="S556" t="s">
        <v>74</v>
      </c>
      <c r="T556" t="s">
        <v>10317</v>
      </c>
      <c r="U556" t="s">
        <v>10318</v>
      </c>
      <c r="V556" t="s">
        <v>10319</v>
      </c>
      <c r="W556" t="s">
        <v>10320</v>
      </c>
      <c r="X556" t="s">
        <v>10321</v>
      </c>
      <c r="Y556" t="s">
        <v>10322</v>
      </c>
      <c r="Z556" t="s">
        <v>10323</v>
      </c>
      <c r="AA556" t="s">
        <v>10324</v>
      </c>
      <c r="AB556" t="s">
        <v>10325</v>
      </c>
      <c r="AC556" t="s">
        <v>74</v>
      </c>
      <c r="AD556" t="s">
        <v>74</v>
      </c>
      <c r="AE556" t="s">
        <v>74</v>
      </c>
      <c r="AF556" t="s">
        <v>74</v>
      </c>
      <c r="AG556">
        <v>146</v>
      </c>
      <c r="AH556">
        <v>169</v>
      </c>
      <c r="AI556">
        <v>194</v>
      </c>
      <c r="AJ556">
        <v>2</v>
      </c>
      <c r="AK556">
        <v>92</v>
      </c>
      <c r="AL556" t="s">
        <v>305</v>
      </c>
      <c r="AM556" t="s">
        <v>281</v>
      </c>
      <c r="AN556" t="s">
        <v>306</v>
      </c>
      <c r="AO556" t="s">
        <v>5761</v>
      </c>
      <c r="AP556" t="s">
        <v>10326</v>
      </c>
      <c r="AQ556" t="s">
        <v>74</v>
      </c>
      <c r="AR556" t="s">
        <v>5747</v>
      </c>
      <c r="AS556" t="s">
        <v>5762</v>
      </c>
      <c r="AT556" t="s">
        <v>9572</v>
      </c>
      <c r="AU556">
        <v>2009</v>
      </c>
      <c r="AV556">
        <v>112</v>
      </c>
      <c r="AW556" t="s">
        <v>180</v>
      </c>
      <c r="AX556" t="s">
        <v>74</v>
      </c>
      <c r="AY556" t="s">
        <v>74</v>
      </c>
      <c r="AZ556" t="s">
        <v>74</v>
      </c>
      <c r="BA556" t="s">
        <v>74</v>
      </c>
      <c r="BB556">
        <v>1</v>
      </c>
      <c r="BC556">
        <v>17</v>
      </c>
      <c r="BD556" t="s">
        <v>74</v>
      </c>
      <c r="BE556" t="s">
        <v>10327</v>
      </c>
      <c r="BF556" t="str">
        <f>HYPERLINK("http://dx.doi.org/10.1016/j.lithos.2008.12.009","http://dx.doi.org/10.1016/j.lithos.2008.12.009")</f>
        <v>http://dx.doi.org/10.1016/j.lithos.2008.12.009</v>
      </c>
      <c r="BG556" t="s">
        <v>74</v>
      </c>
      <c r="BH556" t="s">
        <v>74</v>
      </c>
      <c r="BI556">
        <v>17</v>
      </c>
      <c r="BJ556" t="s">
        <v>5764</v>
      </c>
      <c r="BK556" t="s">
        <v>98</v>
      </c>
      <c r="BL556" t="s">
        <v>5764</v>
      </c>
      <c r="BM556" t="s">
        <v>10328</v>
      </c>
      <c r="BN556" t="s">
        <v>74</v>
      </c>
      <c r="BO556" t="s">
        <v>74</v>
      </c>
      <c r="BP556" t="s">
        <v>74</v>
      </c>
      <c r="BQ556" t="s">
        <v>74</v>
      </c>
      <c r="BR556" t="s">
        <v>101</v>
      </c>
      <c r="BS556" t="s">
        <v>10329</v>
      </c>
      <c r="BT556" t="str">
        <f>HYPERLINK("https%3A%2F%2Fwww.webofscience.com%2Fwos%2Fwoscc%2Ffull-record%2FWOS:000269596600002","View Full Record in Web of Science")</f>
        <v>View Full Record in Web of Science</v>
      </c>
    </row>
    <row r="557" spans="1:72" x14ac:dyDescent="0.15">
      <c r="A557" t="s">
        <v>72</v>
      </c>
      <c r="B557" t="s">
        <v>10330</v>
      </c>
      <c r="C557" t="s">
        <v>74</v>
      </c>
      <c r="D557" t="s">
        <v>74</v>
      </c>
      <c r="E557" t="s">
        <v>74</v>
      </c>
      <c r="F557" t="s">
        <v>10331</v>
      </c>
      <c r="G557" t="s">
        <v>74</v>
      </c>
      <c r="H557" t="s">
        <v>74</v>
      </c>
      <c r="I557" t="s">
        <v>10332</v>
      </c>
      <c r="J557" t="s">
        <v>5770</v>
      </c>
      <c r="K557" t="s">
        <v>74</v>
      </c>
      <c r="L557" t="s">
        <v>74</v>
      </c>
      <c r="M557" t="s">
        <v>78</v>
      </c>
      <c r="N557" t="s">
        <v>79</v>
      </c>
      <c r="O557" t="s">
        <v>74</v>
      </c>
      <c r="P557" t="s">
        <v>74</v>
      </c>
      <c r="Q557" t="s">
        <v>74</v>
      </c>
      <c r="R557" t="s">
        <v>74</v>
      </c>
      <c r="S557" t="s">
        <v>74</v>
      </c>
      <c r="T557" t="s">
        <v>74</v>
      </c>
      <c r="U557" t="s">
        <v>10333</v>
      </c>
      <c r="V557" t="s">
        <v>10334</v>
      </c>
      <c r="W557" t="s">
        <v>10335</v>
      </c>
      <c r="X557" t="s">
        <v>10336</v>
      </c>
      <c r="Y557" t="s">
        <v>10337</v>
      </c>
      <c r="Z557" t="s">
        <v>10338</v>
      </c>
      <c r="AA557" t="s">
        <v>10339</v>
      </c>
      <c r="AB557" t="s">
        <v>10340</v>
      </c>
      <c r="AC557" t="s">
        <v>10341</v>
      </c>
      <c r="AD557" t="s">
        <v>10342</v>
      </c>
      <c r="AE557" t="s">
        <v>10343</v>
      </c>
      <c r="AF557" t="s">
        <v>74</v>
      </c>
      <c r="AG557">
        <v>64</v>
      </c>
      <c r="AH557">
        <v>18</v>
      </c>
      <c r="AI557">
        <v>18</v>
      </c>
      <c r="AJ557">
        <v>0</v>
      </c>
      <c r="AK557">
        <v>19</v>
      </c>
      <c r="AL557" t="s">
        <v>2588</v>
      </c>
      <c r="AM557" t="s">
        <v>2589</v>
      </c>
      <c r="AN557" t="s">
        <v>2590</v>
      </c>
      <c r="AO557" t="s">
        <v>5779</v>
      </c>
      <c r="AP557" t="s">
        <v>5780</v>
      </c>
      <c r="AQ557" t="s">
        <v>74</v>
      </c>
      <c r="AR557" t="s">
        <v>5781</v>
      </c>
      <c r="AS557" t="s">
        <v>5782</v>
      </c>
      <c r="AT557" t="s">
        <v>9572</v>
      </c>
      <c r="AU557">
        <v>2009</v>
      </c>
      <c r="AV557">
        <v>156</v>
      </c>
      <c r="AW557">
        <v>10</v>
      </c>
      <c r="AX557" t="s">
        <v>74</v>
      </c>
      <c r="AY557" t="s">
        <v>74</v>
      </c>
      <c r="AZ557" t="s">
        <v>74</v>
      </c>
      <c r="BA557" t="s">
        <v>74</v>
      </c>
      <c r="BB557">
        <v>1977</v>
      </c>
      <c r="BC557">
        <v>1984</v>
      </c>
      <c r="BD557" t="s">
        <v>74</v>
      </c>
      <c r="BE557" t="s">
        <v>10344</v>
      </c>
      <c r="BF557" t="str">
        <f>HYPERLINK("http://dx.doi.org/10.1007/s00227-009-1228-8","http://dx.doi.org/10.1007/s00227-009-1228-8")</f>
        <v>http://dx.doi.org/10.1007/s00227-009-1228-8</v>
      </c>
      <c r="BG557" t="s">
        <v>74</v>
      </c>
      <c r="BH557" t="s">
        <v>74</v>
      </c>
      <c r="BI557">
        <v>8</v>
      </c>
      <c r="BJ557" t="s">
        <v>1052</v>
      </c>
      <c r="BK557" t="s">
        <v>98</v>
      </c>
      <c r="BL557" t="s">
        <v>1052</v>
      </c>
      <c r="BM557" t="s">
        <v>10345</v>
      </c>
      <c r="BN557" t="s">
        <v>74</v>
      </c>
      <c r="BO557" t="s">
        <v>74</v>
      </c>
      <c r="BP557" t="s">
        <v>74</v>
      </c>
      <c r="BQ557" t="s">
        <v>74</v>
      </c>
      <c r="BR557" t="s">
        <v>101</v>
      </c>
      <c r="BS557" t="s">
        <v>10346</v>
      </c>
      <c r="BT557" t="str">
        <f>HYPERLINK("https%3A%2F%2Fwww.webofscience.com%2Fwos%2Fwoscc%2Ffull-record%2FWOS:000268880400001","View Full Record in Web of Science")</f>
        <v>View Full Record in Web of Science</v>
      </c>
    </row>
    <row r="558" spans="1:72" x14ac:dyDescent="0.15">
      <c r="A558" t="s">
        <v>72</v>
      </c>
      <c r="B558" t="s">
        <v>10347</v>
      </c>
      <c r="C558" t="s">
        <v>74</v>
      </c>
      <c r="D558" t="s">
        <v>74</v>
      </c>
      <c r="E558" t="s">
        <v>74</v>
      </c>
      <c r="F558" t="s">
        <v>10348</v>
      </c>
      <c r="G558" t="s">
        <v>74</v>
      </c>
      <c r="H558" t="s">
        <v>74</v>
      </c>
      <c r="I558" t="s">
        <v>10349</v>
      </c>
      <c r="J558" t="s">
        <v>5770</v>
      </c>
      <c r="K558" t="s">
        <v>74</v>
      </c>
      <c r="L558" t="s">
        <v>74</v>
      </c>
      <c r="M558" t="s">
        <v>78</v>
      </c>
      <c r="N558" t="s">
        <v>79</v>
      </c>
      <c r="O558" t="s">
        <v>74</v>
      </c>
      <c r="P558" t="s">
        <v>74</v>
      </c>
      <c r="Q558" t="s">
        <v>74</v>
      </c>
      <c r="R558" t="s">
        <v>74</v>
      </c>
      <c r="S558" t="s">
        <v>74</v>
      </c>
      <c r="T558" t="s">
        <v>74</v>
      </c>
      <c r="U558" t="s">
        <v>10350</v>
      </c>
      <c r="V558" t="s">
        <v>10351</v>
      </c>
      <c r="W558" t="s">
        <v>10352</v>
      </c>
      <c r="X558" t="s">
        <v>10353</v>
      </c>
      <c r="Y558" t="s">
        <v>10354</v>
      </c>
      <c r="Z558" t="s">
        <v>10355</v>
      </c>
      <c r="AA558" t="s">
        <v>10356</v>
      </c>
      <c r="AB558" t="s">
        <v>10357</v>
      </c>
      <c r="AC558" t="s">
        <v>10358</v>
      </c>
      <c r="AD558" t="s">
        <v>10359</v>
      </c>
      <c r="AE558" t="s">
        <v>10360</v>
      </c>
      <c r="AF558" t="s">
        <v>74</v>
      </c>
      <c r="AG558">
        <v>59</v>
      </c>
      <c r="AH558">
        <v>44</v>
      </c>
      <c r="AI558">
        <v>50</v>
      </c>
      <c r="AJ558">
        <v>1</v>
      </c>
      <c r="AK558">
        <v>11</v>
      </c>
      <c r="AL558" t="s">
        <v>2588</v>
      </c>
      <c r="AM558" t="s">
        <v>2589</v>
      </c>
      <c r="AN558" t="s">
        <v>2590</v>
      </c>
      <c r="AO558" t="s">
        <v>5779</v>
      </c>
      <c r="AP558" t="s">
        <v>5780</v>
      </c>
      <c r="AQ558" t="s">
        <v>74</v>
      </c>
      <c r="AR558" t="s">
        <v>5781</v>
      </c>
      <c r="AS558" t="s">
        <v>5782</v>
      </c>
      <c r="AT558" t="s">
        <v>9572</v>
      </c>
      <c r="AU558">
        <v>2009</v>
      </c>
      <c r="AV558">
        <v>156</v>
      </c>
      <c r="AW558">
        <v>10</v>
      </c>
      <c r="AX558" t="s">
        <v>74</v>
      </c>
      <c r="AY558" t="s">
        <v>74</v>
      </c>
      <c r="AZ558" t="s">
        <v>74</v>
      </c>
      <c r="BA558" t="s">
        <v>74</v>
      </c>
      <c r="BB558">
        <v>1993</v>
      </c>
      <c r="BC558">
        <v>2000</v>
      </c>
      <c r="BD558" t="s">
        <v>74</v>
      </c>
      <c r="BE558" t="s">
        <v>10361</v>
      </c>
      <c r="BF558" t="str">
        <f>HYPERLINK("http://dx.doi.org/10.1007/s00227-009-1230-1","http://dx.doi.org/10.1007/s00227-009-1230-1")</f>
        <v>http://dx.doi.org/10.1007/s00227-009-1230-1</v>
      </c>
      <c r="BG558" t="s">
        <v>74</v>
      </c>
      <c r="BH558" t="s">
        <v>74</v>
      </c>
      <c r="BI558">
        <v>8</v>
      </c>
      <c r="BJ558" t="s">
        <v>1052</v>
      </c>
      <c r="BK558" t="s">
        <v>98</v>
      </c>
      <c r="BL558" t="s">
        <v>1052</v>
      </c>
      <c r="BM558" t="s">
        <v>10345</v>
      </c>
      <c r="BN558" t="s">
        <v>74</v>
      </c>
      <c r="BO558" t="s">
        <v>74</v>
      </c>
      <c r="BP558" t="s">
        <v>74</v>
      </c>
      <c r="BQ558" t="s">
        <v>74</v>
      </c>
      <c r="BR558" t="s">
        <v>101</v>
      </c>
      <c r="BS558" t="s">
        <v>10362</v>
      </c>
      <c r="BT558" t="str">
        <f>HYPERLINK("https%3A%2F%2Fwww.webofscience.com%2Fwos%2Fwoscc%2Ffull-record%2FWOS:000268880400003","View Full Record in Web of Science")</f>
        <v>View Full Record in Web of Science</v>
      </c>
    </row>
    <row r="559" spans="1:72" x14ac:dyDescent="0.15">
      <c r="A559" t="s">
        <v>72</v>
      </c>
      <c r="B559" t="s">
        <v>10363</v>
      </c>
      <c r="C559" t="s">
        <v>74</v>
      </c>
      <c r="D559" t="s">
        <v>74</v>
      </c>
      <c r="E559" t="s">
        <v>74</v>
      </c>
      <c r="F559" t="s">
        <v>10364</v>
      </c>
      <c r="G559" t="s">
        <v>74</v>
      </c>
      <c r="H559" t="s">
        <v>74</v>
      </c>
      <c r="I559" t="s">
        <v>10365</v>
      </c>
      <c r="J559" t="s">
        <v>5770</v>
      </c>
      <c r="K559" t="s">
        <v>74</v>
      </c>
      <c r="L559" t="s">
        <v>74</v>
      </c>
      <c r="M559" t="s">
        <v>78</v>
      </c>
      <c r="N559" t="s">
        <v>79</v>
      </c>
      <c r="O559" t="s">
        <v>74</v>
      </c>
      <c r="P559" t="s">
        <v>74</v>
      </c>
      <c r="Q559" t="s">
        <v>74</v>
      </c>
      <c r="R559" t="s">
        <v>74</v>
      </c>
      <c r="S559" t="s">
        <v>74</v>
      </c>
      <c r="T559" t="s">
        <v>74</v>
      </c>
      <c r="U559" t="s">
        <v>10366</v>
      </c>
      <c r="V559" t="s">
        <v>10367</v>
      </c>
      <c r="W559" t="s">
        <v>10368</v>
      </c>
      <c r="X559" t="s">
        <v>725</v>
      </c>
      <c r="Y559" t="s">
        <v>10369</v>
      </c>
      <c r="Z559" t="s">
        <v>10370</v>
      </c>
      <c r="AA559" t="s">
        <v>74</v>
      </c>
      <c r="AB559" t="s">
        <v>74</v>
      </c>
      <c r="AC559" t="s">
        <v>10371</v>
      </c>
      <c r="AD559" t="s">
        <v>10372</v>
      </c>
      <c r="AE559" t="s">
        <v>10373</v>
      </c>
      <c r="AF559" t="s">
        <v>74</v>
      </c>
      <c r="AG559">
        <v>69</v>
      </c>
      <c r="AH559">
        <v>45</v>
      </c>
      <c r="AI559">
        <v>48</v>
      </c>
      <c r="AJ559">
        <v>0</v>
      </c>
      <c r="AK559">
        <v>26</v>
      </c>
      <c r="AL559" t="s">
        <v>1850</v>
      </c>
      <c r="AM559" t="s">
        <v>684</v>
      </c>
      <c r="AN559" t="s">
        <v>2272</v>
      </c>
      <c r="AO559" t="s">
        <v>5779</v>
      </c>
      <c r="AP559" t="s">
        <v>74</v>
      </c>
      <c r="AQ559" t="s">
        <v>74</v>
      </c>
      <c r="AR559" t="s">
        <v>5781</v>
      </c>
      <c r="AS559" t="s">
        <v>5782</v>
      </c>
      <c r="AT559" t="s">
        <v>9572</v>
      </c>
      <c r="AU559">
        <v>2009</v>
      </c>
      <c r="AV559">
        <v>156</v>
      </c>
      <c r="AW559">
        <v>10</v>
      </c>
      <c r="AX559" t="s">
        <v>74</v>
      </c>
      <c r="AY559" t="s">
        <v>74</v>
      </c>
      <c r="AZ559" t="s">
        <v>74</v>
      </c>
      <c r="BA559" t="s">
        <v>74</v>
      </c>
      <c r="BB559">
        <v>2033</v>
      </c>
      <c r="BC559">
        <v>2047</v>
      </c>
      <c r="BD559" t="s">
        <v>74</v>
      </c>
      <c r="BE559" t="s">
        <v>10374</v>
      </c>
      <c r="BF559" t="str">
        <f>HYPERLINK("http://dx.doi.org/10.1007/s00227-009-1235-9","http://dx.doi.org/10.1007/s00227-009-1235-9")</f>
        <v>http://dx.doi.org/10.1007/s00227-009-1235-9</v>
      </c>
      <c r="BG559" t="s">
        <v>74</v>
      </c>
      <c r="BH559" t="s">
        <v>74</v>
      </c>
      <c r="BI559">
        <v>15</v>
      </c>
      <c r="BJ559" t="s">
        <v>1052</v>
      </c>
      <c r="BK559" t="s">
        <v>98</v>
      </c>
      <c r="BL559" t="s">
        <v>1052</v>
      </c>
      <c r="BM559" t="s">
        <v>10345</v>
      </c>
      <c r="BN559" t="s">
        <v>74</v>
      </c>
      <c r="BO559" t="s">
        <v>74</v>
      </c>
      <c r="BP559" t="s">
        <v>74</v>
      </c>
      <c r="BQ559" t="s">
        <v>74</v>
      </c>
      <c r="BR559" t="s">
        <v>101</v>
      </c>
      <c r="BS559" t="s">
        <v>10375</v>
      </c>
      <c r="BT559" t="str">
        <f>HYPERLINK("https%3A%2F%2Fwww.webofscience.com%2Fwos%2Fwoscc%2Ffull-record%2FWOS:000268880400007","View Full Record in Web of Science")</f>
        <v>View Full Record in Web of Science</v>
      </c>
    </row>
    <row r="560" spans="1:72" x14ac:dyDescent="0.15">
      <c r="A560" t="s">
        <v>72</v>
      </c>
      <c r="B560" t="s">
        <v>10376</v>
      </c>
      <c r="C560" t="s">
        <v>74</v>
      </c>
      <c r="D560" t="s">
        <v>74</v>
      </c>
      <c r="E560" t="s">
        <v>74</v>
      </c>
      <c r="F560" t="s">
        <v>10377</v>
      </c>
      <c r="G560" t="s">
        <v>74</v>
      </c>
      <c r="H560" t="s">
        <v>74</v>
      </c>
      <c r="I560" t="s">
        <v>10378</v>
      </c>
      <c r="J560" t="s">
        <v>10379</v>
      </c>
      <c r="K560" t="s">
        <v>74</v>
      </c>
      <c r="L560" t="s">
        <v>74</v>
      </c>
      <c r="M560" t="s">
        <v>78</v>
      </c>
      <c r="N560" t="s">
        <v>79</v>
      </c>
      <c r="O560" t="s">
        <v>74</v>
      </c>
      <c r="P560" t="s">
        <v>74</v>
      </c>
      <c r="Q560" t="s">
        <v>74</v>
      </c>
      <c r="R560" t="s">
        <v>74</v>
      </c>
      <c r="S560" t="s">
        <v>74</v>
      </c>
      <c r="T560" t="s">
        <v>10380</v>
      </c>
      <c r="U560" t="s">
        <v>10381</v>
      </c>
      <c r="V560" t="s">
        <v>10382</v>
      </c>
      <c r="W560" t="s">
        <v>10383</v>
      </c>
      <c r="X560" t="s">
        <v>1390</v>
      </c>
      <c r="Y560" t="s">
        <v>10384</v>
      </c>
      <c r="Z560" t="s">
        <v>10385</v>
      </c>
      <c r="AA560" t="s">
        <v>10386</v>
      </c>
      <c r="AB560" t="s">
        <v>74</v>
      </c>
      <c r="AC560" t="s">
        <v>74</v>
      </c>
      <c r="AD560" t="s">
        <v>74</v>
      </c>
      <c r="AE560" t="s">
        <v>74</v>
      </c>
      <c r="AF560" t="s">
        <v>74</v>
      </c>
      <c r="AG560">
        <v>47</v>
      </c>
      <c r="AH560">
        <v>12</v>
      </c>
      <c r="AI560">
        <v>16</v>
      </c>
      <c r="AJ560">
        <v>0</v>
      </c>
      <c r="AK560">
        <v>20</v>
      </c>
      <c r="AL560" t="s">
        <v>1184</v>
      </c>
      <c r="AM560" t="s">
        <v>1185</v>
      </c>
      <c r="AN560" t="s">
        <v>1186</v>
      </c>
      <c r="AO560" t="s">
        <v>10387</v>
      </c>
      <c r="AP560" t="s">
        <v>10388</v>
      </c>
      <c r="AQ560" t="s">
        <v>74</v>
      </c>
      <c r="AR560" t="s">
        <v>10389</v>
      </c>
      <c r="AS560" t="s">
        <v>10390</v>
      </c>
      <c r="AT560" t="s">
        <v>9572</v>
      </c>
      <c r="AU560">
        <v>2009</v>
      </c>
      <c r="AV560">
        <v>30</v>
      </c>
      <c r="AW560">
        <v>3</v>
      </c>
      <c r="AX560" t="s">
        <v>74</v>
      </c>
      <c r="AY560" t="s">
        <v>74</v>
      </c>
      <c r="AZ560" t="s">
        <v>74</v>
      </c>
      <c r="BA560" t="s">
        <v>74</v>
      </c>
      <c r="BB560">
        <v>301</v>
      </c>
      <c r="BC560">
        <v>312</v>
      </c>
      <c r="BD560" t="s">
        <v>74</v>
      </c>
      <c r="BE560" t="s">
        <v>10391</v>
      </c>
      <c r="BF560" t="str">
        <f>HYPERLINK("http://dx.doi.org/10.1111/j.1439-0485.2009.00284.x","http://dx.doi.org/10.1111/j.1439-0485.2009.00284.x")</f>
        <v>http://dx.doi.org/10.1111/j.1439-0485.2009.00284.x</v>
      </c>
      <c r="BG560" t="s">
        <v>74</v>
      </c>
      <c r="BH560" t="s">
        <v>74</v>
      </c>
      <c r="BI560">
        <v>12</v>
      </c>
      <c r="BJ560" t="s">
        <v>1052</v>
      </c>
      <c r="BK560" t="s">
        <v>98</v>
      </c>
      <c r="BL560" t="s">
        <v>1052</v>
      </c>
      <c r="BM560" t="s">
        <v>10392</v>
      </c>
      <c r="BN560" t="s">
        <v>74</v>
      </c>
      <c r="BO560" t="s">
        <v>74</v>
      </c>
      <c r="BP560" t="s">
        <v>74</v>
      </c>
      <c r="BQ560" t="s">
        <v>74</v>
      </c>
      <c r="BR560" t="s">
        <v>101</v>
      </c>
      <c r="BS560" t="s">
        <v>10393</v>
      </c>
      <c r="BT560" t="str">
        <f>HYPERLINK("https%3A%2F%2Fwww.webofscience.com%2Fwos%2Fwoscc%2Ffull-record%2FWOS:000268760000004","View Full Record in Web of Science")</f>
        <v>View Full Record in Web of Science</v>
      </c>
    </row>
    <row r="561" spans="1:72" x14ac:dyDescent="0.15">
      <c r="A561" t="s">
        <v>72</v>
      </c>
      <c r="B561" t="s">
        <v>10394</v>
      </c>
      <c r="C561" t="s">
        <v>74</v>
      </c>
      <c r="D561" t="s">
        <v>74</v>
      </c>
      <c r="E561" t="s">
        <v>74</v>
      </c>
      <c r="F561" t="s">
        <v>10395</v>
      </c>
      <c r="G561" t="s">
        <v>74</v>
      </c>
      <c r="H561" t="s">
        <v>74</v>
      </c>
      <c r="I561" t="s">
        <v>10396</v>
      </c>
      <c r="J561" t="s">
        <v>4127</v>
      </c>
      <c r="K561" t="s">
        <v>74</v>
      </c>
      <c r="L561" t="s">
        <v>74</v>
      </c>
      <c r="M561" t="s">
        <v>78</v>
      </c>
      <c r="N561" t="s">
        <v>79</v>
      </c>
      <c r="O561" t="s">
        <v>74</v>
      </c>
      <c r="P561" t="s">
        <v>74</v>
      </c>
      <c r="Q561" t="s">
        <v>74</v>
      </c>
      <c r="R561" t="s">
        <v>74</v>
      </c>
      <c r="S561" t="s">
        <v>74</v>
      </c>
      <c r="T561" t="s">
        <v>10397</v>
      </c>
      <c r="U561" t="s">
        <v>10398</v>
      </c>
      <c r="V561" t="s">
        <v>10399</v>
      </c>
      <c r="W561" t="s">
        <v>10400</v>
      </c>
      <c r="X561" t="s">
        <v>10401</v>
      </c>
      <c r="Y561" t="s">
        <v>10402</v>
      </c>
      <c r="Z561" t="s">
        <v>10403</v>
      </c>
      <c r="AA561" t="s">
        <v>10404</v>
      </c>
      <c r="AB561" t="s">
        <v>10405</v>
      </c>
      <c r="AC561" t="s">
        <v>10406</v>
      </c>
      <c r="AD561" t="s">
        <v>10407</v>
      </c>
      <c r="AE561" t="s">
        <v>10408</v>
      </c>
      <c r="AF561" t="s">
        <v>74</v>
      </c>
      <c r="AG561">
        <v>46</v>
      </c>
      <c r="AH561">
        <v>28</v>
      </c>
      <c r="AI561">
        <v>30</v>
      </c>
      <c r="AJ561">
        <v>0</v>
      </c>
      <c r="AK561">
        <v>18</v>
      </c>
      <c r="AL561" t="s">
        <v>305</v>
      </c>
      <c r="AM561" t="s">
        <v>281</v>
      </c>
      <c r="AN561" t="s">
        <v>306</v>
      </c>
      <c r="AO561" t="s">
        <v>4138</v>
      </c>
      <c r="AP561" t="s">
        <v>4139</v>
      </c>
      <c r="AQ561" t="s">
        <v>74</v>
      </c>
      <c r="AR561" t="s">
        <v>4140</v>
      </c>
      <c r="AS561" t="s">
        <v>4141</v>
      </c>
      <c r="AT561" t="s">
        <v>9657</v>
      </c>
      <c r="AU561">
        <v>2009</v>
      </c>
      <c r="AV561">
        <v>265</v>
      </c>
      <c r="AW561" t="s">
        <v>180</v>
      </c>
      <c r="AX561" t="s">
        <v>74</v>
      </c>
      <c r="AY561" t="s">
        <v>74</v>
      </c>
      <c r="AZ561" t="s">
        <v>74</v>
      </c>
      <c r="BA561" t="s">
        <v>74</v>
      </c>
      <c r="BB561">
        <v>1</v>
      </c>
      <c r="BC561">
        <v>18</v>
      </c>
      <c r="BD561" t="s">
        <v>74</v>
      </c>
      <c r="BE561" t="s">
        <v>10409</v>
      </c>
      <c r="BF561" t="str">
        <f>HYPERLINK("http://dx.doi.org/10.1016/j.margeo.2009.06.009","http://dx.doi.org/10.1016/j.margeo.2009.06.009")</f>
        <v>http://dx.doi.org/10.1016/j.margeo.2009.06.009</v>
      </c>
      <c r="BG561" t="s">
        <v>74</v>
      </c>
      <c r="BH561" t="s">
        <v>74</v>
      </c>
      <c r="BI561">
        <v>18</v>
      </c>
      <c r="BJ561" t="s">
        <v>4143</v>
      </c>
      <c r="BK561" t="s">
        <v>98</v>
      </c>
      <c r="BL561" t="s">
        <v>4144</v>
      </c>
      <c r="BM561" t="s">
        <v>10410</v>
      </c>
      <c r="BN561" t="s">
        <v>74</v>
      </c>
      <c r="BO561" t="s">
        <v>1119</v>
      </c>
      <c r="BP561" t="s">
        <v>74</v>
      </c>
      <c r="BQ561" t="s">
        <v>74</v>
      </c>
      <c r="BR561" t="s">
        <v>101</v>
      </c>
      <c r="BS561" t="s">
        <v>10411</v>
      </c>
      <c r="BT561" t="str">
        <f>HYPERLINK("https%3A%2F%2Fwww.webofscience.com%2Fwos%2Fwoscc%2Ffull-record%2FWOS:000269969300001","View Full Record in Web of Science")</f>
        <v>View Full Record in Web of Science</v>
      </c>
    </row>
    <row r="562" spans="1:72" x14ac:dyDescent="0.15">
      <c r="A562" t="s">
        <v>72</v>
      </c>
      <c r="B562" t="s">
        <v>10412</v>
      </c>
      <c r="C562" t="s">
        <v>74</v>
      </c>
      <c r="D562" t="s">
        <v>74</v>
      </c>
      <c r="E562" t="s">
        <v>74</v>
      </c>
      <c r="F562" t="s">
        <v>10413</v>
      </c>
      <c r="G562" t="s">
        <v>74</v>
      </c>
      <c r="H562" t="s">
        <v>74</v>
      </c>
      <c r="I562" t="s">
        <v>10414</v>
      </c>
      <c r="J562" t="s">
        <v>8199</v>
      </c>
      <c r="K562" t="s">
        <v>74</v>
      </c>
      <c r="L562" t="s">
        <v>74</v>
      </c>
      <c r="M562" t="s">
        <v>78</v>
      </c>
      <c r="N562" t="s">
        <v>297</v>
      </c>
      <c r="O562" t="s">
        <v>74</v>
      </c>
      <c r="P562" t="s">
        <v>74</v>
      </c>
      <c r="Q562" t="s">
        <v>74</v>
      </c>
      <c r="R562" t="s">
        <v>74</v>
      </c>
      <c r="S562" t="s">
        <v>74</v>
      </c>
      <c r="T562" t="s">
        <v>74</v>
      </c>
      <c r="U562" t="s">
        <v>10415</v>
      </c>
      <c r="V562" t="s">
        <v>10416</v>
      </c>
      <c r="W562" t="s">
        <v>10417</v>
      </c>
      <c r="X562" t="s">
        <v>10418</v>
      </c>
      <c r="Y562" t="s">
        <v>10419</v>
      </c>
      <c r="Z562" t="s">
        <v>10420</v>
      </c>
      <c r="AA562" t="s">
        <v>10421</v>
      </c>
      <c r="AB562" t="s">
        <v>10422</v>
      </c>
      <c r="AC562" t="s">
        <v>10423</v>
      </c>
      <c r="AD562" t="s">
        <v>10424</v>
      </c>
      <c r="AE562" t="s">
        <v>10425</v>
      </c>
      <c r="AF562" t="s">
        <v>74</v>
      </c>
      <c r="AG562">
        <v>145</v>
      </c>
      <c r="AH562">
        <v>86</v>
      </c>
      <c r="AI562">
        <v>101</v>
      </c>
      <c r="AJ562">
        <v>0</v>
      </c>
      <c r="AK562">
        <v>20</v>
      </c>
      <c r="AL562" t="s">
        <v>1184</v>
      </c>
      <c r="AM562" t="s">
        <v>1185</v>
      </c>
      <c r="AN562" t="s">
        <v>1186</v>
      </c>
      <c r="AO562" t="s">
        <v>8211</v>
      </c>
      <c r="AP562" t="s">
        <v>8212</v>
      </c>
      <c r="AQ562" t="s">
        <v>74</v>
      </c>
      <c r="AR562" t="s">
        <v>8213</v>
      </c>
      <c r="AS562" t="s">
        <v>8214</v>
      </c>
      <c r="AT562" t="s">
        <v>9572</v>
      </c>
      <c r="AU562">
        <v>2009</v>
      </c>
      <c r="AV562">
        <v>44</v>
      </c>
      <c r="AW562">
        <v>9</v>
      </c>
      <c r="AX562" t="s">
        <v>74</v>
      </c>
      <c r="AY562" t="s">
        <v>74</v>
      </c>
      <c r="AZ562" t="s">
        <v>74</v>
      </c>
      <c r="BA562" t="s">
        <v>74</v>
      </c>
      <c r="BB562">
        <v>1287</v>
      </c>
      <c r="BC562">
        <v>1322</v>
      </c>
      <c r="BD562" t="s">
        <v>74</v>
      </c>
      <c r="BE562" t="s">
        <v>10426</v>
      </c>
      <c r="BF562" t="str">
        <f>HYPERLINK("http://dx.doi.org/10.1111/j.1945-5100.2009.tb01223.x","http://dx.doi.org/10.1111/j.1945-5100.2009.tb01223.x")</f>
        <v>http://dx.doi.org/10.1111/j.1945-5100.2009.tb01223.x</v>
      </c>
      <c r="BG562" t="s">
        <v>74</v>
      </c>
      <c r="BH562" t="s">
        <v>74</v>
      </c>
      <c r="BI562">
        <v>36</v>
      </c>
      <c r="BJ562" t="s">
        <v>261</v>
      </c>
      <c r="BK562" t="s">
        <v>98</v>
      </c>
      <c r="BL562" t="s">
        <v>261</v>
      </c>
      <c r="BM562" t="s">
        <v>10427</v>
      </c>
      <c r="BN562" t="s">
        <v>74</v>
      </c>
      <c r="BO562" t="s">
        <v>74</v>
      </c>
      <c r="BP562" t="s">
        <v>74</v>
      </c>
      <c r="BQ562" t="s">
        <v>74</v>
      </c>
      <c r="BR562" t="s">
        <v>101</v>
      </c>
      <c r="BS562" t="s">
        <v>10428</v>
      </c>
      <c r="BT562" t="str">
        <f>HYPERLINK("https%3A%2F%2Fwww.webofscience.com%2Fwos%2Fwoscc%2Ffull-record%2FWOS:000271698600003","View Full Record in Web of Science")</f>
        <v>View Full Record in Web of Science</v>
      </c>
    </row>
    <row r="563" spans="1:72" x14ac:dyDescent="0.15">
      <c r="A563" t="s">
        <v>72</v>
      </c>
      <c r="B563" t="s">
        <v>10429</v>
      </c>
      <c r="C563" t="s">
        <v>74</v>
      </c>
      <c r="D563" t="s">
        <v>74</v>
      </c>
      <c r="E563" t="s">
        <v>74</v>
      </c>
      <c r="F563" t="s">
        <v>10430</v>
      </c>
      <c r="G563" t="s">
        <v>74</v>
      </c>
      <c r="H563" t="s">
        <v>74</v>
      </c>
      <c r="I563" t="s">
        <v>10431</v>
      </c>
      <c r="J563" t="s">
        <v>8199</v>
      </c>
      <c r="K563" t="s">
        <v>74</v>
      </c>
      <c r="L563" t="s">
        <v>74</v>
      </c>
      <c r="M563" t="s">
        <v>78</v>
      </c>
      <c r="N563" t="s">
        <v>79</v>
      </c>
      <c r="O563" t="s">
        <v>74</v>
      </c>
      <c r="P563" t="s">
        <v>74</v>
      </c>
      <c r="Q563" t="s">
        <v>74</v>
      </c>
      <c r="R563" t="s">
        <v>74</v>
      </c>
      <c r="S563" t="s">
        <v>74</v>
      </c>
      <c r="T563" t="s">
        <v>74</v>
      </c>
      <c r="U563" t="s">
        <v>74</v>
      </c>
      <c r="V563" t="s">
        <v>10432</v>
      </c>
      <c r="W563" t="s">
        <v>10433</v>
      </c>
      <c r="X563" t="s">
        <v>10434</v>
      </c>
      <c r="Y563" t="s">
        <v>10435</v>
      </c>
      <c r="Z563" t="s">
        <v>10436</v>
      </c>
      <c r="AA563" t="s">
        <v>10437</v>
      </c>
      <c r="AB563" t="s">
        <v>10438</v>
      </c>
      <c r="AC563" t="s">
        <v>74</v>
      </c>
      <c r="AD563" t="s">
        <v>74</v>
      </c>
      <c r="AE563" t="s">
        <v>74</v>
      </c>
      <c r="AF563" t="s">
        <v>74</v>
      </c>
      <c r="AG563">
        <v>0</v>
      </c>
      <c r="AH563">
        <v>30</v>
      </c>
      <c r="AI563">
        <v>34</v>
      </c>
      <c r="AJ563">
        <v>0</v>
      </c>
      <c r="AK563">
        <v>3</v>
      </c>
      <c r="AL563" t="s">
        <v>1184</v>
      </c>
      <c r="AM563" t="s">
        <v>1185</v>
      </c>
      <c r="AN563" t="s">
        <v>1186</v>
      </c>
      <c r="AO563" t="s">
        <v>8211</v>
      </c>
      <c r="AP563" t="s">
        <v>8212</v>
      </c>
      <c r="AQ563" t="s">
        <v>74</v>
      </c>
      <c r="AR563" t="s">
        <v>8213</v>
      </c>
      <c r="AS563" t="s">
        <v>8214</v>
      </c>
      <c r="AT563" t="s">
        <v>9572</v>
      </c>
      <c r="AU563">
        <v>2009</v>
      </c>
      <c r="AV563">
        <v>44</v>
      </c>
      <c r="AW563">
        <v>9</v>
      </c>
      <c r="AX563" t="s">
        <v>74</v>
      </c>
      <c r="AY563" t="s">
        <v>74</v>
      </c>
      <c r="AZ563" t="s">
        <v>74</v>
      </c>
      <c r="BA563" t="s">
        <v>74</v>
      </c>
      <c r="BB563">
        <v>1355</v>
      </c>
      <c r="BC563">
        <v>1397</v>
      </c>
      <c r="BD563" t="s">
        <v>74</v>
      </c>
      <c r="BE563" t="s">
        <v>10439</v>
      </c>
      <c r="BF563" t="str">
        <f>HYPERLINK("http://dx.doi.org/10.1111/j.1945-5100.2009.tb01227.x","http://dx.doi.org/10.1111/j.1945-5100.2009.tb01227.x")</f>
        <v>http://dx.doi.org/10.1111/j.1945-5100.2009.tb01227.x</v>
      </c>
      <c r="BG563" t="s">
        <v>74</v>
      </c>
      <c r="BH563" t="s">
        <v>74</v>
      </c>
      <c r="BI563">
        <v>43</v>
      </c>
      <c r="BJ563" t="s">
        <v>261</v>
      </c>
      <c r="BK563" t="s">
        <v>98</v>
      </c>
      <c r="BL563" t="s">
        <v>261</v>
      </c>
      <c r="BM563" t="s">
        <v>10427</v>
      </c>
      <c r="BN563" t="s">
        <v>74</v>
      </c>
      <c r="BO563" t="s">
        <v>263</v>
      </c>
      <c r="BP563" t="s">
        <v>74</v>
      </c>
      <c r="BQ563" t="s">
        <v>74</v>
      </c>
      <c r="BR563" t="s">
        <v>101</v>
      </c>
      <c r="BS563" t="s">
        <v>10440</v>
      </c>
      <c r="BT563" t="str">
        <f>HYPERLINK("https%3A%2F%2Fwww.webofscience.com%2Fwos%2Fwoscc%2Ffull-record%2FWOS:000271698600007","View Full Record in Web of Science")</f>
        <v>View Full Record in Web of Science</v>
      </c>
    </row>
    <row r="564" spans="1:72" x14ac:dyDescent="0.15">
      <c r="A564" t="s">
        <v>72</v>
      </c>
      <c r="B564" t="s">
        <v>10441</v>
      </c>
      <c r="C564" t="s">
        <v>74</v>
      </c>
      <c r="D564" t="s">
        <v>74</v>
      </c>
      <c r="E564" t="s">
        <v>74</v>
      </c>
      <c r="F564" t="s">
        <v>10442</v>
      </c>
      <c r="G564" t="s">
        <v>74</v>
      </c>
      <c r="H564" t="s">
        <v>74</v>
      </c>
      <c r="I564" t="s">
        <v>10443</v>
      </c>
      <c r="J564" t="s">
        <v>10444</v>
      </c>
      <c r="K564" t="s">
        <v>74</v>
      </c>
      <c r="L564" t="s">
        <v>74</v>
      </c>
      <c r="M564" t="s">
        <v>78</v>
      </c>
      <c r="N564" t="s">
        <v>79</v>
      </c>
      <c r="O564" t="s">
        <v>74</v>
      </c>
      <c r="P564" t="s">
        <v>74</v>
      </c>
      <c r="Q564" t="s">
        <v>74</v>
      </c>
      <c r="R564" t="s">
        <v>74</v>
      </c>
      <c r="S564" t="s">
        <v>74</v>
      </c>
      <c r="T564" t="s">
        <v>74</v>
      </c>
      <c r="U564" t="s">
        <v>10445</v>
      </c>
      <c r="V564" t="s">
        <v>10446</v>
      </c>
      <c r="W564" t="s">
        <v>10447</v>
      </c>
      <c r="X564" t="s">
        <v>10448</v>
      </c>
      <c r="Y564" t="s">
        <v>10449</v>
      </c>
      <c r="Z564" t="s">
        <v>10450</v>
      </c>
      <c r="AA564" t="s">
        <v>10451</v>
      </c>
      <c r="AB564" t="s">
        <v>10452</v>
      </c>
      <c r="AC564" t="s">
        <v>10453</v>
      </c>
      <c r="AD564" t="s">
        <v>10454</v>
      </c>
      <c r="AE564" t="s">
        <v>10455</v>
      </c>
      <c r="AF564" t="s">
        <v>74</v>
      </c>
      <c r="AG564">
        <v>48</v>
      </c>
      <c r="AH564">
        <v>12</v>
      </c>
      <c r="AI564">
        <v>14</v>
      </c>
      <c r="AJ564">
        <v>0</v>
      </c>
      <c r="AK564">
        <v>10</v>
      </c>
      <c r="AL564" t="s">
        <v>4448</v>
      </c>
      <c r="AM564" t="s">
        <v>4449</v>
      </c>
      <c r="AN564" t="s">
        <v>4450</v>
      </c>
      <c r="AO564" t="s">
        <v>10456</v>
      </c>
      <c r="AP564" t="s">
        <v>10457</v>
      </c>
      <c r="AQ564" t="s">
        <v>74</v>
      </c>
      <c r="AR564" t="s">
        <v>10458</v>
      </c>
      <c r="AS564" t="s">
        <v>10459</v>
      </c>
      <c r="AT564" t="s">
        <v>9572</v>
      </c>
      <c r="AU564">
        <v>2009</v>
      </c>
      <c r="AV564">
        <v>105</v>
      </c>
      <c r="AW564" t="s">
        <v>180</v>
      </c>
      <c r="AX564" t="s">
        <v>74</v>
      </c>
      <c r="AY564" t="s">
        <v>74</v>
      </c>
      <c r="AZ564" t="s">
        <v>74</v>
      </c>
      <c r="BA564" t="s">
        <v>74</v>
      </c>
      <c r="BB564">
        <v>55</v>
      </c>
      <c r="BC564">
        <v>67</v>
      </c>
      <c r="BD564" t="s">
        <v>74</v>
      </c>
      <c r="BE564" t="s">
        <v>10460</v>
      </c>
      <c r="BF564" t="str">
        <f>HYPERLINK("http://dx.doi.org/10.1007/s00703-009-0036-5","http://dx.doi.org/10.1007/s00703-009-0036-5")</f>
        <v>http://dx.doi.org/10.1007/s00703-009-0036-5</v>
      </c>
      <c r="BG564" t="s">
        <v>74</v>
      </c>
      <c r="BH564" t="s">
        <v>74</v>
      </c>
      <c r="BI564">
        <v>13</v>
      </c>
      <c r="BJ564" t="s">
        <v>413</v>
      </c>
      <c r="BK564" t="s">
        <v>98</v>
      </c>
      <c r="BL564" t="s">
        <v>413</v>
      </c>
      <c r="BM564" t="s">
        <v>10461</v>
      </c>
      <c r="BN564" t="s">
        <v>74</v>
      </c>
      <c r="BO564" t="s">
        <v>74</v>
      </c>
      <c r="BP564" t="s">
        <v>74</v>
      </c>
      <c r="BQ564" t="s">
        <v>74</v>
      </c>
      <c r="BR564" t="s">
        <v>101</v>
      </c>
      <c r="BS564" t="s">
        <v>10462</v>
      </c>
      <c r="BT564" t="str">
        <f>HYPERLINK("https%3A%2F%2Fwww.webofscience.com%2Fwos%2Fwoscc%2Ffull-record%2FWOS:000269534200005","View Full Record in Web of Science")</f>
        <v>View Full Record in Web of Science</v>
      </c>
    </row>
    <row r="565" spans="1:72" x14ac:dyDescent="0.15">
      <c r="A565" t="s">
        <v>72</v>
      </c>
      <c r="B565" t="s">
        <v>10463</v>
      </c>
      <c r="C565" t="s">
        <v>74</v>
      </c>
      <c r="D565" t="s">
        <v>74</v>
      </c>
      <c r="E565" t="s">
        <v>74</v>
      </c>
      <c r="F565" t="s">
        <v>10464</v>
      </c>
      <c r="G565" t="s">
        <v>74</v>
      </c>
      <c r="H565" t="s">
        <v>74</v>
      </c>
      <c r="I565" t="s">
        <v>10465</v>
      </c>
      <c r="J565" t="s">
        <v>9075</v>
      </c>
      <c r="K565" t="s">
        <v>74</v>
      </c>
      <c r="L565" t="s">
        <v>74</v>
      </c>
      <c r="M565" t="s">
        <v>78</v>
      </c>
      <c r="N565" t="s">
        <v>79</v>
      </c>
      <c r="O565" t="s">
        <v>74</v>
      </c>
      <c r="P565" t="s">
        <v>74</v>
      </c>
      <c r="Q565" t="s">
        <v>74</v>
      </c>
      <c r="R565" t="s">
        <v>74</v>
      </c>
      <c r="S565" t="s">
        <v>74</v>
      </c>
      <c r="T565" t="s">
        <v>10466</v>
      </c>
      <c r="U565" t="s">
        <v>74</v>
      </c>
      <c r="V565" t="s">
        <v>10467</v>
      </c>
      <c r="W565" t="s">
        <v>10468</v>
      </c>
      <c r="X565" t="s">
        <v>10469</v>
      </c>
      <c r="Y565" t="s">
        <v>10470</v>
      </c>
      <c r="Z565" t="s">
        <v>10471</v>
      </c>
      <c r="AA565" t="s">
        <v>10472</v>
      </c>
      <c r="AB565" t="s">
        <v>10473</v>
      </c>
      <c r="AC565" t="s">
        <v>10474</v>
      </c>
      <c r="AD565" t="s">
        <v>10475</v>
      </c>
      <c r="AE565" t="s">
        <v>10476</v>
      </c>
      <c r="AF565" t="s">
        <v>74</v>
      </c>
      <c r="AG565">
        <v>22</v>
      </c>
      <c r="AH565">
        <v>23</v>
      </c>
      <c r="AI565">
        <v>24</v>
      </c>
      <c r="AJ565">
        <v>0</v>
      </c>
      <c r="AK565">
        <v>4</v>
      </c>
      <c r="AL565" t="s">
        <v>2171</v>
      </c>
      <c r="AM565" t="s">
        <v>1895</v>
      </c>
      <c r="AN565" t="s">
        <v>2172</v>
      </c>
      <c r="AO565" t="s">
        <v>9088</v>
      </c>
      <c r="AP565" t="s">
        <v>10477</v>
      </c>
      <c r="AQ565" t="s">
        <v>74</v>
      </c>
      <c r="AR565" t="s">
        <v>9089</v>
      </c>
      <c r="AS565" t="s">
        <v>9090</v>
      </c>
      <c r="AT565" t="s">
        <v>9657</v>
      </c>
      <c r="AU565">
        <v>2009</v>
      </c>
      <c r="AV565">
        <v>398</v>
      </c>
      <c r="AW565">
        <v>1</v>
      </c>
      <c r="AX565" t="s">
        <v>74</v>
      </c>
      <c r="AY565" t="s">
        <v>74</v>
      </c>
      <c r="AZ565" t="s">
        <v>74</v>
      </c>
      <c r="BA565" t="s">
        <v>74</v>
      </c>
      <c r="BB565">
        <v>350</v>
      </c>
      <c r="BC565">
        <v>356</v>
      </c>
      <c r="BD565" t="s">
        <v>74</v>
      </c>
      <c r="BE565" t="s">
        <v>10478</v>
      </c>
      <c r="BF565" t="str">
        <f>HYPERLINK("http://dx.doi.org/10.1111/j.1365-2966.2009.15142.x","http://dx.doi.org/10.1111/j.1365-2966.2009.15142.x")</f>
        <v>http://dx.doi.org/10.1111/j.1365-2966.2009.15142.x</v>
      </c>
      <c r="BG565" t="s">
        <v>74</v>
      </c>
      <c r="BH565" t="s">
        <v>74</v>
      </c>
      <c r="BI565">
        <v>7</v>
      </c>
      <c r="BJ565" t="s">
        <v>1003</v>
      </c>
      <c r="BK565" t="s">
        <v>98</v>
      </c>
      <c r="BL565" t="s">
        <v>1003</v>
      </c>
      <c r="BM565" t="s">
        <v>10479</v>
      </c>
      <c r="BN565" t="s">
        <v>74</v>
      </c>
      <c r="BO565" t="s">
        <v>239</v>
      </c>
      <c r="BP565" t="s">
        <v>74</v>
      </c>
      <c r="BQ565" t="s">
        <v>74</v>
      </c>
      <c r="BR565" t="s">
        <v>101</v>
      </c>
      <c r="BS565" t="s">
        <v>10480</v>
      </c>
      <c r="BT565" t="str">
        <f>HYPERLINK("https%3A%2F%2Fwww.webofscience.com%2Fwos%2Fwoscc%2Ffull-record%2FWOS:000269136800046","View Full Record in Web of Science")</f>
        <v>View Full Record in Web of Science</v>
      </c>
    </row>
    <row r="566" spans="1:72" x14ac:dyDescent="0.15">
      <c r="A566" t="s">
        <v>72</v>
      </c>
      <c r="B566" t="s">
        <v>10481</v>
      </c>
      <c r="C566" t="s">
        <v>74</v>
      </c>
      <c r="D566" t="s">
        <v>74</v>
      </c>
      <c r="E566" t="s">
        <v>74</v>
      </c>
      <c r="F566" t="s">
        <v>10482</v>
      </c>
      <c r="G566" t="s">
        <v>74</v>
      </c>
      <c r="H566" t="s">
        <v>74</v>
      </c>
      <c r="I566" t="s">
        <v>10483</v>
      </c>
      <c r="J566" t="s">
        <v>10484</v>
      </c>
      <c r="K566" t="s">
        <v>74</v>
      </c>
      <c r="L566" t="s">
        <v>74</v>
      </c>
      <c r="M566" t="s">
        <v>78</v>
      </c>
      <c r="N566" t="s">
        <v>52</v>
      </c>
      <c r="O566" t="s">
        <v>74</v>
      </c>
      <c r="P566" t="s">
        <v>74</v>
      </c>
      <c r="Q566" t="s">
        <v>74</v>
      </c>
      <c r="R566" t="s">
        <v>74</v>
      </c>
      <c r="S566" t="s">
        <v>74</v>
      </c>
      <c r="T566" t="s">
        <v>74</v>
      </c>
      <c r="U566" t="s">
        <v>74</v>
      </c>
      <c r="V566" t="s">
        <v>74</v>
      </c>
      <c r="W566" t="s">
        <v>10485</v>
      </c>
      <c r="X566" t="s">
        <v>10486</v>
      </c>
      <c r="Y566" t="s">
        <v>74</v>
      </c>
      <c r="Z566" t="s">
        <v>74</v>
      </c>
      <c r="AA566" t="s">
        <v>74</v>
      </c>
      <c r="AB566" t="s">
        <v>74</v>
      </c>
      <c r="AC566" t="s">
        <v>74</v>
      </c>
      <c r="AD566" t="s">
        <v>74</v>
      </c>
      <c r="AE566" t="s">
        <v>74</v>
      </c>
      <c r="AF566" t="s">
        <v>74</v>
      </c>
      <c r="AG566">
        <v>0</v>
      </c>
      <c r="AH566">
        <v>0</v>
      </c>
      <c r="AI566">
        <v>1</v>
      </c>
      <c r="AJ566">
        <v>0</v>
      </c>
      <c r="AK566">
        <v>13</v>
      </c>
      <c r="AL566" t="s">
        <v>280</v>
      </c>
      <c r="AM566" t="s">
        <v>281</v>
      </c>
      <c r="AN566" t="s">
        <v>282</v>
      </c>
      <c r="AO566" t="s">
        <v>10487</v>
      </c>
      <c r="AP566" t="s">
        <v>74</v>
      </c>
      <c r="AQ566" t="s">
        <v>74</v>
      </c>
      <c r="AR566" t="s">
        <v>10488</v>
      </c>
      <c r="AS566" t="s">
        <v>10489</v>
      </c>
      <c r="AT566" t="s">
        <v>9572</v>
      </c>
      <c r="AU566">
        <v>2009</v>
      </c>
      <c r="AV566">
        <v>25</v>
      </c>
      <c r="AW566" t="s">
        <v>74</v>
      </c>
      <c r="AX566" t="s">
        <v>74</v>
      </c>
      <c r="AY566">
        <v>1</v>
      </c>
      <c r="AZ566" t="s">
        <v>74</v>
      </c>
      <c r="BA566" t="s">
        <v>74</v>
      </c>
      <c r="BB566" t="s">
        <v>10490</v>
      </c>
      <c r="BC566" t="s">
        <v>10490</v>
      </c>
      <c r="BD566" t="s">
        <v>74</v>
      </c>
      <c r="BE566" t="s">
        <v>10491</v>
      </c>
      <c r="BF566" t="str">
        <f>HYPERLINK("http://dx.doi.org/10.1016/j.nbt.2009.06.372","http://dx.doi.org/10.1016/j.nbt.2009.06.372")</f>
        <v>http://dx.doi.org/10.1016/j.nbt.2009.06.372</v>
      </c>
      <c r="BG566" t="s">
        <v>74</v>
      </c>
      <c r="BH566" t="s">
        <v>74</v>
      </c>
      <c r="BI566">
        <v>1</v>
      </c>
      <c r="BJ566" t="s">
        <v>10492</v>
      </c>
      <c r="BK566" t="s">
        <v>98</v>
      </c>
      <c r="BL566" t="s">
        <v>10493</v>
      </c>
      <c r="BM566" t="s">
        <v>10494</v>
      </c>
      <c r="BN566" t="s">
        <v>74</v>
      </c>
      <c r="BO566" t="s">
        <v>74</v>
      </c>
      <c r="BP566" t="s">
        <v>74</v>
      </c>
      <c r="BQ566" t="s">
        <v>74</v>
      </c>
      <c r="BR566" t="s">
        <v>101</v>
      </c>
      <c r="BS566" t="s">
        <v>10495</v>
      </c>
      <c r="BT566" t="str">
        <f>HYPERLINK("https%3A%2F%2Fwww.webofscience.com%2Fwos%2Fwoscc%2Ffull-record%2FWOS:000281760100226","View Full Record in Web of Science")</f>
        <v>View Full Record in Web of Science</v>
      </c>
    </row>
    <row r="567" spans="1:72" x14ac:dyDescent="0.15">
      <c r="A567" t="s">
        <v>72</v>
      </c>
      <c r="B567" t="s">
        <v>10496</v>
      </c>
      <c r="C567" t="s">
        <v>74</v>
      </c>
      <c r="D567" t="s">
        <v>74</v>
      </c>
      <c r="E567" t="s">
        <v>74</v>
      </c>
      <c r="F567" t="s">
        <v>10497</v>
      </c>
      <c r="G567" t="s">
        <v>74</v>
      </c>
      <c r="H567" t="s">
        <v>74</v>
      </c>
      <c r="I567" t="s">
        <v>10498</v>
      </c>
      <c r="J567" t="s">
        <v>10499</v>
      </c>
      <c r="K567" t="s">
        <v>74</v>
      </c>
      <c r="L567" t="s">
        <v>74</v>
      </c>
      <c r="M567" t="s">
        <v>78</v>
      </c>
      <c r="N567" t="s">
        <v>79</v>
      </c>
      <c r="O567" t="s">
        <v>74</v>
      </c>
      <c r="P567" t="s">
        <v>74</v>
      </c>
      <c r="Q567" t="s">
        <v>74</v>
      </c>
      <c r="R567" t="s">
        <v>74</v>
      </c>
      <c r="S567" t="s">
        <v>74</v>
      </c>
      <c r="T567" t="s">
        <v>10500</v>
      </c>
      <c r="U567" t="s">
        <v>10501</v>
      </c>
      <c r="V567" t="s">
        <v>10502</v>
      </c>
      <c r="W567" t="s">
        <v>10503</v>
      </c>
      <c r="X567" t="s">
        <v>74</v>
      </c>
      <c r="Y567" t="s">
        <v>10504</v>
      </c>
      <c r="Z567" t="s">
        <v>10505</v>
      </c>
      <c r="AA567" t="s">
        <v>74</v>
      </c>
      <c r="AB567" t="s">
        <v>74</v>
      </c>
      <c r="AC567" t="s">
        <v>10506</v>
      </c>
      <c r="AD567" t="s">
        <v>10506</v>
      </c>
      <c r="AE567" t="s">
        <v>10507</v>
      </c>
      <c r="AF567" t="s">
        <v>74</v>
      </c>
      <c r="AG567">
        <v>29</v>
      </c>
      <c r="AH567">
        <v>139</v>
      </c>
      <c r="AI567">
        <v>157</v>
      </c>
      <c r="AJ567">
        <v>0</v>
      </c>
      <c r="AK567">
        <v>28</v>
      </c>
      <c r="AL567" t="s">
        <v>1894</v>
      </c>
      <c r="AM567" t="s">
        <v>1895</v>
      </c>
      <c r="AN567" t="s">
        <v>1896</v>
      </c>
      <c r="AO567" t="s">
        <v>10508</v>
      </c>
      <c r="AP567" t="s">
        <v>74</v>
      </c>
      <c r="AQ567" t="s">
        <v>74</v>
      </c>
      <c r="AR567" t="s">
        <v>10509</v>
      </c>
      <c r="AS567" t="s">
        <v>10510</v>
      </c>
      <c r="AT567" t="s">
        <v>9572</v>
      </c>
      <c r="AU567">
        <v>2009</v>
      </c>
      <c r="AV567">
        <v>29</v>
      </c>
      <c r="AW567">
        <v>9</v>
      </c>
      <c r="AX567" t="s">
        <v>74</v>
      </c>
      <c r="AY567" t="s">
        <v>74</v>
      </c>
      <c r="AZ567" t="s">
        <v>74</v>
      </c>
      <c r="BA567" t="s">
        <v>74</v>
      </c>
      <c r="BB567">
        <v>609</v>
      </c>
      <c r="BC567">
        <v>615</v>
      </c>
      <c r="BD567" t="s">
        <v>74</v>
      </c>
      <c r="BE567" t="s">
        <v>10511</v>
      </c>
      <c r="BF567" t="str">
        <f>HYPERLINK("http://dx.doi.org/10.1016/j.nutres.2009.09.004","http://dx.doi.org/10.1016/j.nutres.2009.09.004")</f>
        <v>http://dx.doi.org/10.1016/j.nutres.2009.09.004</v>
      </c>
      <c r="BG567" t="s">
        <v>74</v>
      </c>
      <c r="BH567" t="s">
        <v>74</v>
      </c>
      <c r="BI567">
        <v>7</v>
      </c>
      <c r="BJ567" t="s">
        <v>10512</v>
      </c>
      <c r="BK567" t="s">
        <v>98</v>
      </c>
      <c r="BL567" t="s">
        <v>10512</v>
      </c>
      <c r="BM567" t="s">
        <v>10513</v>
      </c>
      <c r="BN567">
        <v>19854375</v>
      </c>
      <c r="BO567" t="s">
        <v>74</v>
      </c>
      <c r="BP567" t="s">
        <v>74</v>
      </c>
      <c r="BQ567" t="s">
        <v>74</v>
      </c>
      <c r="BR567" t="s">
        <v>101</v>
      </c>
      <c r="BS567" t="s">
        <v>10514</v>
      </c>
      <c r="BT567" t="str">
        <f>HYPERLINK("https%3A%2F%2Fwww.webofscience.com%2Fwos%2Fwoscc%2Ffull-record%2FWOS:000271487300001","View Full Record in Web of Science")</f>
        <v>View Full Record in Web of Science</v>
      </c>
    </row>
    <row r="568" spans="1:72" x14ac:dyDescent="0.15">
      <c r="A568" t="s">
        <v>72</v>
      </c>
      <c r="B568" t="s">
        <v>10515</v>
      </c>
      <c r="C568" t="s">
        <v>74</v>
      </c>
      <c r="D568" t="s">
        <v>74</v>
      </c>
      <c r="E568" t="s">
        <v>74</v>
      </c>
      <c r="F568" t="s">
        <v>10516</v>
      </c>
      <c r="G568" t="s">
        <v>74</v>
      </c>
      <c r="H568" t="s">
        <v>74</v>
      </c>
      <c r="I568" t="s">
        <v>10517</v>
      </c>
      <c r="J568" t="s">
        <v>10518</v>
      </c>
      <c r="K568" t="s">
        <v>74</v>
      </c>
      <c r="L568" t="s">
        <v>74</v>
      </c>
      <c r="M568" t="s">
        <v>78</v>
      </c>
      <c r="N568" t="s">
        <v>79</v>
      </c>
      <c r="O568" t="s">
        <v>74</v>
      </c>
      <c r="P568" t="s">
        <v>74</v>
      </c>
      <c r="Q568" t="s">
        <v>74</v>
      </c>
      <c r="R568" t="s">
        <v>74</v>
      </c>
      <c r="S568" t="s">
        <v>74</v>
      </c>
      <c r="T568" t="s">
        <v>10519</v>
      </c>
      <c r="U568" t="s">
        <v>10520</v>
      </c>
      <c r="V568" t="s">
        <v>10521</v>
      </c>
      <c r="W568" t="s">
        <v>10522</v>
      </c>
      <c r="X568" t="s">
        <v>10523</v>
      </c>
      <c r="Y568" t="s">
        <v>10524</v>
      </c>
      <c r="Z568" t="s">
        <v>10525</v>
      </c>
      <c r="AA568" t="s">
        <v>10526</v>
      </c>
      <c r="AB568" t="s">
        <v>10527</v>
      </c>
      <c r="AC568" t="s">
        <v>507</v>
      </c>
      <c r="AD568" t="s">
        <v>507</v>
      </c>
      <c r="AE568" t="s">
        <v>10528</v>
      </c>
      <c r="AF568" t="s">
        <v>74</v>
      </c>
      <c r="AG568">
        <v>29</v>
      </c>
      <c r="AH568">
        <v>15</v>
      </c>
      <c r="AI568">
        <v>15</v>
      </c>
      <c r="AJ568">
        <v>0</v>
      </c>
      <c r="AK568">
        <v>1</v>
      </c>
      <c r="AL568" t="s">
        <v>10529</v>
      </c>
      <c r="AM568" t="s">
        <v>433</v>
      </c>
      <c r="AN568" t="s">
        <v>10530</v>
      </c>
      <c r="AO568" t="s">
        <v>10531</v>
      </c>
      <c r="AP568" t="s">
        <v>10532</v>
      </c>
      <c r="AQ568" t="s">
        <v>74</v>
      </c>
      <c r="AR568" t="s">
        <v>10533</v>
      </c>
      <c r="AS568" t="s">
        <v>10534</v>
      </c>
      <c r="AT568" t="s">
        <v>9572</v>
      </c>
      <c r="AU568">
        <v>2009</v>
      </c>
      <c r="AV568">
        <v>20</v>
      </c>
      <c r="AW568">
        <v>9</v>
      </c>
      <c r="AX568" t="s">
        <v>74</v>
      </c>
      <c r="AY568" t="s">
        <v>74</v>
      </c>
      <c r="AZ568" t="s">
        <v>74</v>
      </c>
      <c r="BA568" t="s">
        <v>74</v>
      </c>
      <c r="BB568">
        <v>1523</v>
      </c>
      <c r="BC568">
        <v>1528</v>
      </c>
      <c r="BD568" t="s">
        <v>74</v>
      </c>
      <c r="BE568" t="s">
        <v>10535</v>
      </c>
      <c r="BF568" t="str">
        <f>HYPERLINK("http://dx.doi.org/10.1007/s00198-008-0830-9","http://dx.doi.org/10.1007/s00198-008-0830-9")</f>
        <v>http://dx.doi.org/10.1007/s00198-008-0830-9</v>
      </c>
      <c r="BG568" t="s">
        <v>74</v>
      </c>
      <c r="BH568" t="s">
        <v>74</v>
      </c>
      <c r="BI568">
        <v>6</v>
      </c>
      <c r="BJ568" t="s">
        <v>10536</v>
      </c>
      <c r="BK568" t="s">
        <v>98</v>
      </c>
      <c r="BL568" t="s">
        <v>10536</v>
      </c>
      <c r="BM568" t="s">
        <v>10537</v>
      </c>
      <c r="BN568">
        <v>19151911</v>
      </c>
      <c r="BO568" t="s">
        <v>74</v>
      </c>
      <c r="BP568" t="s">
        <v>74</v>
      </c>
      <c r="BQ568" t="s">
        <v>74</v>
      </c>
      <c r="BR568" t="s">
        <v>101</v>
      </c>
      <c r="BS568" t="s">
        <v>10538</v>
      </c>
      <c r="BT568" t="str">
        <f>HYPERLINK("https%3A%2F%2Fwww.webofscience.com%2Fwos%2Fwoscc%2Ffull-record%2FWOS:000269080100008","View Full Record in Web of Science")</f>
        <v>View Full Record in Web of Science</v>
      </c>
    </row>
    <row r="569" spans="1:72" x14ac:dyDescent="0.15">
      <c r="A569" t="s">
        <v>72</v>
      </c>
      <c r="B569" t="s">
        <v>10539</v>
      </c>
      <c r="C569" t="s">
        <v>74</v>
      </c>
      <c r="D569" t="s">
        <v>74</v>
      </c>
      <c r="E569" t="s">
        <v>74</v>
      </c>
      <c r="F569" t="s">
        <v>10540</v>
      </c>
      <c r="G569" t="s">
        <v>74</v>
      </c>
      <c r="H569" t="s">
        <v>74</v>
      </c>
      <c r="I569" t="s">
        <v>10541</v>
      </c>
      <c r="J569" t="s">
        <v>10542</v>
      </c>
      <c r="K569" t="s">
        <v>74</v>
      </c>
      <c r="L569" t="s">
        <v>74</v>
      </c>
      <c r="M569" t="s">
        <v>78</v>
      </c>
      <c r="N569" t="s">
        <v>79</v>
      </c>
      <c r="O569" t="s">
        <v>74</v>
      </c>
      <c r="P569" t="s">
        <v>74</v>
      </c>
      <c r="Q569" t="s">
        <v>74</v>
      </c>
      <c r="R569" t="s">
        <v>74</v>
      </c>
      <c r="S569" t="s">
        <v>74</v>
      </c>
      <c r="T569" t="s">
        <v>10543</v>
      </c>
      <c r="U569" t="s">
        <v>10544</v>
      </c>
      <c r="V569" t="s">
        <v>10545</v>
      </c>
      <c r="W569" t="s">
        <v>10546</v>
      </c>
      <c r="X569" t="s">
        <v>10547</v>
      </c>
      <c r="Y569" t="s">
        <v>10548</v>
      </c>
      <c r="Z569" t="s">
        <v>10549</v>
      </c>
      <c r="AA569" t="s">
        <v>74</v>
      </c>
      <c r="AB569" t="s">
        <v>74</v>
      </c>
      <c r="AC569" t="s">
        <v>74</v>
      </c>
      <c r="AD569" t="s">
        <v>74</v>
      </c>
      <c r="AE569" t="s">
        <v>74</v>
      </c>
      <c r="AF569" t="s">
        <v>74</v>
      </c>
      <c r="AG569">
        <v>69</v>
      </c>
      <c r="AH569">
        <v>6</v>
      </c>
      <c r="AI569">
        <v>7</v>
      </c>
      <c r="AJ569">
        <v>0</v>
      </c>
      <c r="AK569">
        <v>2</v>
      </c>
      <c r="AL569" t="s">
        <v>1184</v>
      </c>
      <c r="AM569" t="s">
        <v>1185</v>
      </c>
      <c r="AN569" t="s">
        <v>1186</v>
      </c>
      <c r="AO569" t="s">
        <v>10550</v>
      </c>
      <c r="AP569" t="s">
        <v>10551</v>
      </c>
      <c r="AQ569" t="s">
        <v>74</v>
      </c>
      <c r="AR569" t="s">
        <v>10542</v>
      </c>
      <c r="AS569" t="s">
        <v>2746</v>
      </c>
      <c r="AT569" t="s">
        <v>9572</v>
      </c>
      <c r="AU569">
        <v>2009</v>
      </c>
      <c r="AV569">
        <v>52</v>
      </c>
      <c r="AW569" t="s">
        <v>74</v>
      </c>
      <c r="AX569">
        <v>5</v>
      </c>
      <c r="AY569" t="s">
        <v>74</v>
      </c>
      <c r="AZ569" t="s">
        <v>74</v>
      </c>
      <c r="BA569" t="s">
        <v>74</v>
      </c>
      <c r="BB569">
        <v>963</v>
      </c>
      <c r="BC569">
        <v>989</v>
      </c>
      <c r="BD569" t="s">
        <v>74</v>
      </c>
      <c r="BE569" t="s">
        <v>10552</v>
      </c>
      <c r="BF569" t="str">
        <f>HYPERLINK("http://dx.doi.org/10.1111/j.1475-4983.2009.00891.x","http://dx.doi.org/10.1111/j.1475-4983.2009.00891.x")</f>
        <v>http://dx.doi.org/10.1111/j.1475-4983.2009.00891.x</v>
      </c>
      <c r="BG569" t="s">
        <v>74</v>
      </c>
      <c r="BH569" t="s">
        <v>74</v>
      </c>
      <c r="BI569">
        <v>27</v>
      </c>
      <c r="BJ569" t="s">
        <v>2746</v>
      </c>
      <c r="BK569" t="s">
        <v>98</v>
      </c>
      <c r="BL569" t="s">
        <v>2746</v>
      </c>
      <c r="BM569" t="s">
        <v>10553</v>
      </c>
      <c r="BN569" t="s">
        <v>74</v>
      </c>
      <c r="BO569" t="s">
        <v>263</v>
      </c>
      <c r="BP569" t="s">
        <v>74</v>
      </c>
      <c r="BQ569" t="s">
        <v>74</v>
      </c>
      <c r="BR569" t="s">
        <v>101</v>
      </c>
      <c r="BS569" t="s">
        <v>10554</v>
      </c>
      <c r="BT569" t="str">
        <f>HYPERLINK("https%3A%2F%2Fwww.webofscience.com%2Fwos%2Fwoscc%2Ffull-record%2FWOS:000269877700001","View Full Record in Web of Science")</f>
        <v>View Full Record in Web of Science</v>
      </c>
    </row>
    <row r="570" spans="1:72" x14ac:dyDescent="0.15">
      <c r="A570" t="s">
        <v>72</v>
      </c>
      <c r="B570" t="s">
        <v>10555</v>
      </c>
      <c r="C570" t="s">
        <v>74</v>
      </c>
      <c r="D570" t="s">
        <v>74</v>
      </c>
      <c r="E570" t="s">
        <v>74</v>
      </c>
      <c r="F570" t="s">
        <v>10556</v>
      </c>
      <c r="G570" t="s">
        <v>74</v>
      </c>
      <c r="H570" t="s">
        <v>74</v>
      </c>
      <c r="I570" t="s">
        <v>10557</v>
      </c>
      <c r="J570" t="s">
        <v>5866</v>
      </c>
      <c r="K570" t="s">
        <v>74</v>
      </c>
      <c r="L570" t="s">
        <v>74</v>
      </c>
      <c r="M570" t="s">
        <v>78</v>
      </c>
      <c r="N570" t="s">
        <v>79</v>
      </c>
      <c r="O570" t="s">
        <v>74</v>
      </c>
      <c r="P570" t="s">
        <v>74</v>
      </c>
      <c r="Q570" t="s">
        <v>74</v>
      </c>
      <c r="R570" t="s">
        <v>74</v>
      </c>
      <c r="S570" t="s">
        <v>74</v>
      </c>
      <c r="T570" t="s">
        <v>74</v>
      </c>
      <c r="U570" t="s">
        <v>10558</v>
      </c>
      <c r="V570" t="s">
        <v>10559</v>
      </c>
      <c r="W570" t="s">
        <v>10560</v>
      </c>
      <c r="X570" t="s">
        <v>10561</v>
      </c>
      <c r="Y570" t="s">
        <v>10562</v>
      </c>
      <c r="Z570" t="s">
        <v>10563</v>
      </c>
      <c r="AA570" t="s">
        <v>10564</v>
      </c>
      <c r="AB570" t="s">
        <v>10565</v>
      </c>
      <c r="AC570" t="s">
        <v>7254</v>
      </c>
      <c r="AD570" t="s">
        <v>7254</v>
      </c>
      <c r="AE570" t="s">
        <v>10566</v>
      </c>
      <c r="AF570" t="s">
        <v>74</v>
      </c>
      <c r="AG570">
        <v>31</v>
      </c>
      <c r="AH570">
        <v>19</v>
      </c>
      <c r="AI570">
        <v>19</v>
      </c>
      <c r="AJ570">
        <v>0</v>
      </c>
      <c r="AK570">
        <v>9</v>
      </c>
      <c r="AL570" t="s">
        <v>1184</v>
      </c>
      <c r="AM570" t="s">
        <v>1185</v>
      </c>
      <c r="AN570" t="s">
        <v>1186</v>
      </c>
      <c r="AO570" t="s">
        <v>5875</v>
      </c>
      <c r="AP570" t="s">
        <v>5876</v>
      </c>
      <c r="AQ570" t="s">
        <v>74</v>
      </c>
      <c r="AR570" t="s">
        <v>5877</v>
      </c>
      <c r="AS570" t="s">
        <v>5878</v>
      </c>
      <c r="AT570" t="s">
        <v>10567</v>
      </c>
      <c r="AU570">
        <v>2009</v>
      </c>
      <c r="AV570">
        <v>85</v>
      </c>
      <c r="AW570">
        <v>5</v>
      </c>
      <c r="AX570" t="s">
        <v>74</v>
      </c>
      <c r="AY570" t="s">
        <v>74</v>
      </c>
      <c r="AZ570" t="s">
        <v>74</v>
      </c>
      <c r="BA570" t="s">
        <v>74</v>
      </c>
      <c r="BB570">
        <v>1168</v>
      </c>
      <c r="BC570">
        <v>1176</v>
      </c>
      <c r="BD570" t="s">
        <v>74</v>
      </c>
      <c r="BE570" t="s">
        <v>10568</v>
      </c>
      <c r="BF570" t="str">
        <f>HYPERLINK("http://dx.doi.org/10.1111/j.1751-1097.2009.00566.x","http://dx.doi.org/10.1111/j.1751-1097.2009.00566.x")</f>
        <v>http://dx.doi.org/10.1111/j.1751-1097.2009.00566.x</v>
      </c>
      <c r="BG570" t="s">
        <v>74</v>
      </c>
      <c r="BH570" t="s">
        <v>74</v>
      </c>
      <c r="BI570">
        <v>9</v>
      </c>
      <c r="BJ570" t="s">
        <v>1548</v>
      </c>
      <c r="BK570" t="s">
        <v>98</v>
      </c>
      <c r="BL570" t="s">
        <v>1548</v>
      </c>
      <c r="BM570" t="s">
        <v>10569</v>
      </c>
      <c r="BN570">
        <v>19500294</v>
      </c>
      <c r="BO570" t="s">
        <v>74</v>
      </c>
      <c r="BP570" t="s">
        <v>74</v>
      </c>
      <c r="BQ570" t="s">
        <v>74</v>
      </c>
      <c r="BR570" t="s">
        <v>101</v>
      </c>
      <c r="BS570" t="s">
        <v>10570</v>
      </c>
      <c r="BT570" t="str">
        <f>HYPERLINK("https%3A%2F%2Fwww.webofscience.com%2Fwos%2Fwoscc%2Ffull-record%2FWOS:000269463700016","View Full Record in Web of Science")</f>
        <v>View Full Record in Web of Science</v>
      </c>
    </row>
    <row r="571" spans="1:72" x14ac:dyDescent="0.15">
      <c r="A571" t="s">
        <v>72</v>
      </c>
      <c r="B571" t="s">
        <v>10571</v>
      </c>
      <c r="C571" t="s">
        <v>74</v>
      </c>
      <c r="D571" t="s">
        <v>74</v>
      </c>
      <c r="E571" t="s">
        <v>74</v>
      </c>
      <c r="F571" t="s">
        <v>10572</v>
      </c>
      <c r="G571" t="s">
        <v>74</v>
      </c>
      <c r="H571" t="s">
        <v>74</v>
      </c>
      <c r="I571" t="s">
        <v>10573</v>
      </c>
      <c r="J571" t="s">
        <v>10574</v>
      </c>
      <c r="K571" t="s">
        <v>74</v>
      </c>
      <c r="L571" t="s">
        <v>74</v>
      </c>
      <c r="M571" t="s">
        <v>78</v>
      </c>
      <c r="N571" t="s">
        <v>79</v>
      </c>
      <c r="O571" t="s">
        <v>74</v>
      </c>
      <c r="P571" t="s">
        <v>74</v>
      </c>
      <c r="Q571" t="s">
        <v>74</v>
      </c>
      <c r="R571" t="s">
        <v>74</v>
      </c>
      <c r="S571" t="s">
        <v>74</v>
      </c>
      <c r="T571" t="s">
        <v>10575</v>
      </c>
      <c r="U571" t="s">
        <v>10576</v>
      </c>
      <c r="V571" t="s">
        <v>10577</v>
      </c>
      <c r="W571" t="s">
        <v>10578</v>
      </c>
      <c r="X571" t="s">
        <v>10579</v>
      </c>
      <c r="Y571" t="s">
        <v>10580</v>
      </c>
      <c r="Z571" t="s">
        <v>10581</v>
      </c>
      <c r="AA571" t="s">
        <v>10582</v>
      </c>
      <c r="AB571" t="s">
        <v>10583</v>
      </c>
      <c r="AC571" t="s">
        <v>10584</v>
      </c>
      <c r="AD571" t="s">
        <v>10584</v>
      </c>
      <c r="AE571" t="s">
        <v>10585</v>
      </c>
      <c r="AF571" t="s">
        <v>74</v>
      </c>
      <c r="AG571">
        <v>46</v>
      </c>
      <c r="AH571">
        <v>38</v>
      </c>
      <c r="AI571">
        <v>42</v>
      </c>
      <c r="AJ571">
        <v>0</v>
      </c>
      <c r="AK571">
        <v>28</v>
      </c>
      <c r="AL571" t="s">
        <v>1519</v>
      </c>
      <c r="AM571" t="s">
        <v>10586</v>
      </c>
      <c r="AN571" t="s">
        <v>10587</v>
      </c>
      <c r="AO571" t="s">
        <v>10588</v>
      </c>
      <c r="AP571" t="s">
        <v>10589</v>
      </c>
      <c r="AQ571" t="s">
        <v>74</v>
      </c>
      <c r="AR571" t="s">
        <v>10574</v>
      </c>
      <c r="AS571" t="s">
        <v>10590</v>
      </c>
      <c r="AT571" t="s">
        <v>9572</v>
      </c>
      <c r="AU571">
        <v>2009</v>
      </c>
      <c r="AV571">
        <v>47</v>
      </c>
      <c r="AW571">
        <v>3</v>
      </c>
      <c r="AX571" t="s">
        <v>74</v>
      </c>
      <c r="AY571" t="s">
        <v>74</v>
      </c>
      <c r="AZ571" t="s">
        <v>74</v>
      </c>
      <c r="BA571" t="s">
        <v>74</v>
      </c>
      <c r="BB571">
        <v>471</v>
      </c>
      <c r="BC571">
        <v>479</v>
      </c>
      <c r="BD571" t="s">
        <v>74</v>
      </c>
      <c r="BE571" t="s">
        <v>10591</v>
      </c>
      <c r="BF571" t="str">
        <f>HYPERLINK("http://dx.doi.org/10.1007/s11099-009-0071-y","http://dx.doi.org/10.1007/s11099-009-0071-y")</f>
        <v>http://dx.doi.org/10.1007/s11099-009-0071-y</v>
      </c>
      <c r="BG571" t="s">
        <v>74</v>
      </c>
      <c r="BH571" t="s">
        <v>74</v>
      </c>
      <c r="BI571">
        <v>9</v>
      </c>
      <c r="BJ571" t="s">
        <v>1527</v>
      </c>
      <c r="BK571" t="s">
        <v>98</v>
      </c>
      <c r="BL571" t="s">
        <v>1527</v>
      </c>
      <c r="BM571" t="s">
        <v>10592</v>
      </c>
      <c r="BN571" t="s">
        <v>74</v>
      </c>
      <c r="BO571" t="s">
        <v>4550</v>
      </c>
      <c r="BP571" t="s">
        <v>74</v>
      </c>
      <c r="BQ571" t="s">
        <v>74</v>
      </c>
      <c r="BR571" t="s">
        <v>101</v>
      </c>
      <c r="BS571" t="s">
        <v>10593</v>
      </c>
      <c r="BT571" t="str">
        <f>HYPERLINK("https%3A%2F%2Fwww.webofscience.com%2Fwos%2Fwoscc%2Ffull-record%2FWOS:000271672900021","View Full Record in Web of Science")</f>
        <v>View Full Record in Web of Science</v>
      </c>
    </row>
    <row r="572" spans="1:72" x14ac:dyDescent="0.15">
      <c r="A572" t="s">
        <v>72</v>
      </c>
      <c r="B572" t="s">
        <v>10594</v>
      </c>
      <c r="C572" t="s">
        <v>74</v>
      </c>
      <c r="D572" t="s">
        <v>74</v>
      </c>
      <c r="E572" t="s">
        <v>74</v>
      </c>
      <c r="F572" t="s">
        <v>10595</v>
      </c>
      <c r="G572" t="s">
        <v>74</v>
      </c>
      <c r="H572" t="s">
        <v>74</v>
      </c>
      <c r="I572" t="s">
        <v>10596</v>
      </c>
      <c r="J572" t="s">
        <v>10597</v>
      </c>
      <c r="K572" t="s">
        <v>74</v>
      </c>
      <c r="L572" t="s">
        <v>74</v>
      </c>
      <c r="M572" t="s">
        <v>78</v>
      </c>
      <c r="N572" t="s">
        <v>79</v>
      </c>
      <c r="O572" t="s">
        <v>74</v>
      </c>
      <c r="P572" t="s">
        <v>74</v>
      </c>
      <c r="Q572" t="s">
        <v>74</v>
      </c>
      <c r="R572" t="s">
        <v>74</v>
      </c>
      <c r="S572" t="s">
        <v>74</v>
      </c>
      <c r="T572" t="s">
        <v>10598</v>
      </c>
      <c r="U572" t="s">
        <v>10599</v>
      </c>
      <c r="V572" t="s">
        <v>10600</v>
      </c>
      <c r="W572" t="s">
        <v>10601</v>
      </c>
      <c r="X572" t="s">
        <v>1295</v>
      </c>
      <c r="Y572" t="s">
        <v>1626</v>
      </c>
      <c r="Z572" t="s">
        <v>1627</v>
      </c>
      <c r="AA572" t="s">
        <v>1298</v>
      </c>
      <c r="AB572" t="s">
        <v>1299</v>
      </c>
      <c r="AC572" t="s">
        <v>10602</v>
      </c>
      <c r="AD572" t="s">
        <v>10603</v>
      </c>
      <c r="AE572" t="s">
        <v>10604</v>
      </c>
      <c r="AF572" t="s">
        <v>74</v>
      </c>
      <c r="AG572">
        <v>71</v>
      </c>
      <c r="AH572">
        <v>42</v>
      </c>
      <c r="AI572">
        <v>48</v>
      </c>
      <c r="AJ572">
        <v>2</v>
      </c>
      <c r="AK572">
        <v>26</v>
      </c>
      <c r="AL572" t="s">
        <v>2614</v>
      </c>
      <c r="AM572" t="s">
        <v>2615</v>
      </c>
      <c r="AN572" t="s">
        <v>2910</v>
      </c>
      <c r="AO572" t="s">
        <v>10605</v>
      </c>
      <c r="AP572" t="s">
        <v>10606</v>
      </c>
      <c r="AQ572" t="s">
        <v>74</v>
      </c>
      <c r="AR572" t="s">
        <v>10597</v>
      </c>
      <c r="AS572" t="s">
        <v>10607</v>
      </c>
      <c r="AT572" t="s">
        <v>9572</v>
      </c>
      <c r="AU572">
        <v>2009</v>
      </c>
      <c r="AV572">
        <v>48</v>
      </c>
      <c r="AW572">
        <v>5</v>
      </c>
      <c r="AX572" t="s">
        <v>74</v>
      </c>
      <c r="AY572" t="s">
        <v>74</v>
      </c>
      <c r="AZ572" t="s">
        <v>74</v>
      </c>
      <c r="BA572" t="s">
        <v>74</v>
      </c>
      <c r="BB572">
        <v>324</v>
      </c>
      <c r="BC572">
        <v>334</v>
      </c>
      <c r="BD572" t="s">
        <v>74</v>
      </c>
      <c r="BE572" t="s">
        <v>10608</v>
      </c>
      <c r="BF572" t="str">
        <f>HYPERLINK("http://dx.doi.org/10.2216/08-79.1","http://dx.doi.org/10.2216/08-79.1")</f>
        <v>http://dx.doi.org/10.2216/08-79.1</v>
      </c>
      <c r="BG572" t="s">
        <v>74</v>
      </c>
      <c r="BH572" t="s">
        <v>74</v>
      </c>
      <c r="BI572">
        <v>11</v>
      </c>
      <c r="BJ572" t="s">
        <v>1586</v>
      </c>
      <c r="BK572" t="s">
        <v>98</v>
      </c>
      <c r="BL572" t="s">
        <v>1586</v>
      </c>
      <c r="BM572" t="s">
        <v>10609</v>
      </c>
      <c r="BN572" t="s">
        <v>74</v>
      </c>
      <c r="BO572" t="s">
        <v>74</v>
      </c>
      <c r="BP572" t="s">
        <v>74</v>
      </c>
      <c r="BQ572" t="s">
        <v>74</v>
      </c>
      <c r="BR572" t="s">
        <v>101</v>
      </c>
      <c r="BS572" t="s">
        <v>10610</v>
      </c>
      <c r="BT572" t="str">
        <f>HYPERLINK("https%3A%2F%2Fwww.webofscience.com%2Fwos%2Fwoscc%2Ffull-record%2FWOS:000270162900002","View Full Record in Web of Science")</f>
        <v>View Full Record in Web of Science</v>
      </c>
    </row>
    <row r="573" spans="1:72" x14ac:dyDescent="0.15">
      <c r="A573" t="s">
        <v>72</v>
      </c>
      <c r="B573" t="s">
        <v>10611</v>
      </c>
      <c r="C573" t="s">
        <v>74</v>
      </c>
      <c r="D573" t="s">
        <v>74</v>
      </c>
      <c r="E573" t="s">
        <v>74</v>
      </c>
      <c r="F573" t="s">
        <v>10612</v>
      </c>
      <c r="G573" t="s">
        <v>74</v>
      </c>
      <c r="H573" t="s">
        <v>74</v>
      </c>
      <c r="I573" t="s">
        <v>10613</v>
      </c>
      <c r="J573" t="s">
        <v>10614</v>
      </c>
      <c r="K573" t="s">
        <v>74</v>
      </c>
      <c r="L573" t="s">
        <v>74</v>
      </c>
      <c r="M573" t="s">
        <v>78</v>
      </c>
      <c r="N573" t="s">
        <v>79</v>
      </c>
      <c r="O573" t="s">
        <v>74</v>
      </c>
      <c r="P573" t="s">
        <v>74</v>
      </c>
      <c r="Q573" t="s">
        <v>74</v>
      </c>
      <c r="R573" t="s">
        <v>74</v>
      </c>
      <c r="S573" t="s">
        <v>74</v>
      </c>
      <c r="T573" t="s">
        <v>10615</v>
      </c>
      <c r="U573" t="s">
        <v>10616</v>
      </c>
      <c r="V573" t="s">
        <v>10617</v>
      </c>
      <c r="W573" t="s">
        <v>10618</v>
      </c>
      <c r="X573" t="s">
        <v>10619</v>
      </c>
      <c r="Y573" t="s">
        <v>10620</v>
      </c>
      <c r="Z573" t="s">
        <v>10621</v>
      </c>
      <c r="AA573" t="s">
        <v>10622</v>
      </c>
      <c r="AB573" t="s">
        <v>10623</v>
      </c>
      <c r="AC573" t="s">
        <v>10624</v>
      </c>
      <c r="AD573" t="s">
        <v>10625</v>
      </c>
      <c r="AE573" t="s">
        <v>10626</v>
      </c>
      <c r="AF573" t="s">
        <v>74</v>
      </c>
      <c r="AG573">
        <v>40</v>
      </c>
      <c r="AH573">
        <v>23</v>
      </c>
      <c r="AI573">
        <v>24</v>
      </c>
      <c r="AJ573">
        <v>0</v>
      </c>
      <c r="AK573">
        <v>15</v>
      </c>
      <c r="AL573" t="s">
        <v>1184</v>
      </c>
      <c r="AM573" t="s">
        <v>1185</v>
      </c>
      <c r="AN573" t="s">
        <v>1186</v>
      </c>
      <c r="AO573" t="s">
        <v>10627</v>
      </c>
      <c r="AP573" t="s">
        <v>10628</v>
      </c>
      <c r="AQ573" t="s">
        <v>74</v>
      </c>
      <c r="AR573" t="s">
        <v>10629</v>
      </c>
      <c r="AS573" t="s">
        <v>10630</v>
      </c>
      <c r="AT573" t="s">
        <v>9572</v>
      </c>
      <c r="AU573">
        <v>2009</v>
      </c>
      <c r="AV573">
        <v>57</v>
      </c>
      <c r="AW573">
        <v>3</v>
      </c>
      <c r="AX573" t="s">
        <v>74</v>
      </c>
      <c r="AY573" t="s">
        <v>74</v>
      </c>
      <c r="AZ573" t="s">
        <v>74</v>
      </c>
      <c r="BA573" t="s">
        <v>74</v>
      </c>
      <c r="BB573">
        <v>186</v>
      </c>
      <c r="BC573">
        <v>193</v>
      </c>
      <c r="BD573" t="s">
        <v>74</v>
      </c>
      <c r="BE573" t="s">
        <v>10631</v>
      </c>
      <c r="BF573" t="str">
        <f>HYPERLINK("http://dx.doi.org/10.1111/j.1440-1835.2009.00538.x","http://dx.doi.org/10.1111/j.1440-1835.2009.00538.x")</f>
        <v>http://dx.doi.org/10.1111/j.1440-1835.2009.00538.x</v>
      </c>
      <c r="BG573" t="s">
        <v>74</v>
      </c>
      <c r="BH573" t="s">
        <v>74</v>
      </c>
      <c r="BI573">
        <v>8</v>
      </c>
      <c r="BJ573" t="s">
        <v>1052</v>
      </c>
      <c r="BK573" t="s">
        <v>98</v>
      </c>
      <c r="BL573" t="s">
        <v>1052</v>
      </c>
      <c r="BM573" t="s">
        <v>10632</v>
      </c>
      <c r="BN573" t="s">
        <v>74</v>
      </c>
      <c r="BO573" t="s">
        <v>74</v>
      </c>
      <c r="BP573" t="s">
        <v>74</v>
      </c>
      <c r="BQ573" t="s">
        <v>74</v>
      </c>
      <c r="BR573" t="s">
        <v>101</v>
      </c>
      <c r="BS573" t="s">
        <v>10633</v>
      </c>
      <c r="BT573" t="str">
        <f>HYPERLINK("https%3A%2F%2Fwww.webofscience.com%2Fwos%2Fwoscc%2Ffull-record%2FWOS:000269191300005","View Full Record in Web of Science")</f>
        <v>View Full Record in Web of Science</v>
      </c>
    </row>
    <row r="574" spans="1:72" x14ac:dyDescent="0.15">
      <c r="A574" t="s">
        <v>72</v>
      </c>
      <c r="B574" t="s">
        <v>10634</v>
      </c>
      <c r="C574" t="s">
        <v>74</v>
      </c>
      <c r="D574" t="s">
        <v>74</v>
      </c>
      <c r="E574" t="s">
        <v>74</v>
      </c>
      <c r="F574" t="s">
        <v>10635</v>
      </c>
      <c r="G574" t="s">
        <v>74</v>
      </c>
      <c r="H574" t="s">
        <v>74</v>
      </c>
      <c r="I574" t="s">
        <v>10636</v>
      </c>
      <c r="J574" t="s">
        <v>3020</v>
      </c>
      <c r="K574" t="s">
        <v>74</v>
      </c>
      <c r="L574" t="s">
        <v>74</v>
      </c>
      <c r="M574" t="s">
        <v>78</v>
      </c>
      <c r="N574" t="s">
        <v>79</v>
      </c>
      <c r="O574" t="s">
        <v>74</v>
      </c>
      <c r="P574" t="s">
        <v>74</v>
      </c>
      <c r="Q574" t="s">
        <v>74</v>
      </c>
      <c r="R574" t="s">
        <v>74</v>
      </c>
      <c r="S574" t="s">
        <v>74</v>
      </c>
      <c r="T574" t="s">
        <v>10637</v>
      </c>
      <c r="U574" t="s">
        <v>10638</v>
      </c>
      <c r="V574" t="s">
        <v>10639</v>
      </c>
      <c r="W574" t="s">
        <v>10640</v>
      </c>
      <c r="X574" t="s">
        <v>10641</v>
      </c>
      <c r="Y574" t="s">
        <v>10642</v>
      </c>
      <c r="Z574" t="s">
        <v>10643</v>
      </c>
      <c r="AA574" t="s">
        <v>3028</v>
      </c>
      <c r="AB574" t="s">
        <v>10644</v>
      </c>
      <c r="AC574" t="s">
        <v>10645</v>
      </c>
      <c r="AD574" t="s">
        <v>10646</v>
      </c>
      <c r="AE574" t="s">
        <v>10647</v>
      </c>
      <c r="AF574" t="s">
        <v>74</v>
      </c>
      <c r="AG574">
        <v>73</v>
      </c>
      <c r="AH574">
        <v>15</v>
      </c>
      <c r="AI574">
        <v>15</v>
      </c>
      <c r="AJ574">
        <v>0</v>
      </c>
      <c r="AK574">
        <v>24</v>
      </c>
      <c r="AL574" t="s">
        <v>2045</v>
      </c>
      <c r="AM574" t="s">
        <v>2046</v>
      </c>
      <c r="AN574" t="s">
        <v>2047</v>
      </c>
      <c r="AO574" t="s">
        <v>3034</v>
      </c>
      <c r="AP574" t="s">
        <v>74</v>
      </c>
      <c r="AQ574" t="s">
        <v>74</v>
      </c>
      <c r="AR574" t="s">
        <v>3035</v>
      </c>
      <c r="AS574" t="s">
        <v>3036</v>
      </c>
      <c r="AT574" t="s">
        <v>9572</v>
      </c>
      <c r="AU574">
        <v>2009</v>
      </c>
      <c r="AV574">
        <v>34</v>
      </c>
      <c r="AW574">
        <v>3</v>
      </c>
      <c r="AX574" t="s">
        <v>74</v>
      </c>
      <c r="AY574" t="s">
        <v>74</v>
      </c>
      <c r="AZ574" t="s">
        <v>74</v>
      </c>
      <c r="BA574" t="s">
        <v>74</v>
      </c>
      <c r="BB574">
        <v>284</v>
      </c>
      <c r="BC574">
        <v>291</v>
      </c>
      <c r="BD574" t="s">
        <v>74</v>
      </c>
      <c r="BE574" t="s">
        <v>10648</v>
      </c>
      <c r="BF574" t="str">
        <f>HYPERLINK("http://dx.doi.org/10.1111/j.1365-3032.2009.00689.x","http://dx.doi.org/10.1111/j.1365-3032.2009.00689.x")</f>
        <v>http://dx.doi.org/10.1111/j.1365-3032.2009.00689.x</v>
      </c>
      <c r="BG574" t="s">
        <v>74</v>
      </c>
      <c r="BH574" t="s">
        <v>74</v>
      </c>
      <c r="BI574">
        <v>8</v>
      </c>
      <c r="BJ574" t="s">
        <v>3038</v>
      </c>
      <c r="BK574" t="s">
        <v>98</v>
      </c>
      <c r="BL574" t="s">
        <v>3038</v>
      </c>
      <c r="BM574" t="s">
        <v>10649</v>
      </c>
      <c r="BN574" t="s">
        <v>74</v>
      </c>
      <c r="BO574" t="s">
        <v>74</v>
      </c>
      <c r="BP574" t="s">
        <v>74</v>
      </c>
      <c r="BQ574" t="s">
        <v>74</v>
      </c>
      <c r="BR574" t="s">
        <v>101</v>
      </c>
      <c r="BS574" t="s">
        <v>10650</v>
      </c>
      <c r="BT574" t="str">
        <f>HYPERLINK("https%3A%2F%2Fwww.webofscience.com%2Fwos%2Fwoscc%2Ffull-record%2FWOS:000269058600013","View Full Record in Web of Science")</f>
        <v>View Full Record in Web of Science</v>
      </c>
    </row>
    <row r="575" spans="1:72" x14ac:dyDescent="0.15">
      <c r="A575" t="s">
        <v>72</v>
      </c>
      <c r="B575" t="s">
        <v>10651</v>
      </c>
      <c r="C575" t="s">
        <v>74</v>
      </c>
      <c r="D575" t="s">
        <v>74</v>
      </c>
      <c r="E575" t="s">
        <v>74</v>
      </c>
      <c r="F575" t="s">
        <v>10652</v>
      </c>
      <c r="G575" t="s">
        <v>74</v>
      </c>
      <c r="H575" t="s">
        <v>74</v>
      </c>
      <c r="I575" t="s">
        <v>10653</v>
      </c>
      <c r="J575" t="s">
        <v>3098</v>
      </c>
      <c r="K575" t="s">
        <v>74</v>
      </c>
      <c r="L575" t="s">
        <v>74</v>
      </c>
      <c r="M575" t="s">
        <v>78</v>
      </c>
      <c r="N575" t="s">
        <v>79</v>
      </c>
      <c r="O575" t="s">
        <v>74</v>
      </c>
      <c r="P575" t="s">
        <v>74</v>
      </c>
      <c r="Q575" t="s">
        <v>74</v>
      </c>
      <c r="R575" t="s">
        <v>74</v>
      </c>
      <c r="S575" t="s">
        <v>74</v>
      </c>
      <c r="T575" t="s">
        <v>10654</v>
      </c>
      <c r="U575" t="s">
        <v>10655</v>
      </c>
      <c r="V575" t="s">
        <v>10656</v>
      </c>
      <c r="W575" t="s">
        <v>10657</v>
      </c>
      <c r="X575" t="s">
        <v>10658</v>
      </c>
      <c r="Y575" t="s">
        <v>7556</v>
      </c>
      <c r="Z575" t="s">
        <v>7557</v>
      </c>
      <c r="AA575" t="s">
        <v>74</v>
      </c>
      <c r="AB575" t="s">
        <v>10659</v>
      </c>
      <c r="AC575" t="s">
        <v>10660</v>
      </c>
      <c r="AD575" t="s">
        <v>10661</v>
      </c>
      <c r="AE575" t="s">
        <v>10662</v>
      </c>
      <c r="AF575" t="s">
        <v>74</v>
      </c>
      <c r="AG575">
        <v>19</v>
      </c>
      <c r="AH575">
        <v>15</v>
      </c>
      <c r="AI575">
        <v>15</v>
      </c>
      <c r="AJ575">
        <v>0</v>
      </c>
      <c r="AK575">
        <v>3</v>
      </c>
      <c r="AL575" t="s">
        <v>1850</v>
      </c>
      <c r="AM575" t="s">
        <v>684</v>
      </c>
      <c r="AN575" t="s">
        <v>3108</v>
      </c>
      <c r="AO575" t="s">
        <v>3109</v>
      </c>
      <c r="AP575" t="s">
        <v>3110</v>
      </c>
      <c r="AQ575" t="s">
        <v>74</v>
      </c>
      <c r="AR575" t="s">
        <v>3111</v>
      </c>
      <c r="AS575" t="s">
        <v>3112</v>
      </c>
      <c r="AT575" t="s">
        <v>9572</v>
      </c>
      <c r="AU575">
        <v>2009</v>
      </c>
      <c r="AV575">
        <v>32</v>
      </c>
      <c r="AW575">
        <v>9</v>
      </c>
      <c r="AX575" t="s">
        <v>74</v>
      </c>
      <c r="AY575" t="s">
        <v>74</v>
      </c>
      <c r="AZ575" t="s">
        <v>74</v>
      </c>
      <c r="BA575" t="s">
        <v>74</v>
      </c>
      <c r="BB575">
        <v>1251</v>
      </c>
      <c r="BC575">
        <v>1259</v>
      </c>
      <c r="BD575" t="s">
        <v>74</v>
      </c>
      <c r="BE575" t="s">
        <v>10663</v>
      </c>
      <c r="BF575" t="str">
        <f>HYPERLINK("http://dx.doi.org/10.1007/s00300-009-0621-6","http://dx.doi.org/10.1007/s00300-009-0621-6")</f>
        <v>http://dx.doi.org/10.1007/s00300-009-0621-6</v>
      </c>
      <c r="BG575" t="s">
        <v>74</v>
      </c>
      <c r="BH575" t="s">
        <v>74</v>
      </c>
      <c r="BI575">
        <v>9</v>
      </c>
      <c r="BJ575" t="s">
        <v>3114</v>
      </c>
      <c r="BK575" t="s">
        <v>98</v>
      </c>
      <c r="BL575" t="s">
        <v>3115</v>
      </c>
      <c r="BM575" t="s">
        <v>10664</v>
      </c>
      <c r="BN575" t="s">
        <v>74</v>
      </c>
      <c r="BO575" t="s">
        <v>74</v>
      </c>
      <c r="BP575" t="s">
        <v>74</v>
      </c>
      <c r="BQ575" t="s">
        <v>74</v>
      </c>
      <c r="BR575" t="s">
        <v>101</v>
      </c>
      <c r="BS575" t="s">
        <v>10665</v>
      </c>
      <c r="BT575" t="str">
        <f>HYPERLINK("https%3A%2F%2Fwww.webofscience.com%2Fwos%2Fwoscc%2Ffull-record%2FWOS:000269915100001","View Full Record in Web of Science")</f>
        <v>View Full Record in Web of Science</v>
      </c>
    </row>
    <row r="576" spans="1:72" x14ac:dyDescent="0.15">
      <c r="A576" t="s">
        <v>72</v>
      </c>
      <c r="B576" t="s">
        <v>10666</v>
      </c>
      <c r="C576" t="s">
        <v>74</v>
      </c>
      <c r="D576" t="s">
        <v>74</v>
      </c>
      <c r="E576" t="s">
        <v>74</v>
      </c>
      <c r="F576" t="s">
        <v>10667</v>
      </c>
      <c r="G576" t="s">
        <v>74</v>
      </c>
      <c r="H576" t="s">
        <v>74</v>
      </c>
      <c r="I576" t="s">
        <v>10668</v>
      </c>
      <c r="J576" t="s">
        <v>3098</v>
      </c>
      <c r="K576" t="s">
        <v>74</v>
      </c>
      <c r="L576" t="s">
        <v>74</v>
      </c>
      <c r="M576" t="s">
        <v>78</v>
      </c>
      <c r="N576" t="s">
        <v>79</v>
      </c>
      <c r="O576" t="s">
        <v>74</v>
      </c>
      <c r="P576" t="s">
        <v>74</v>
      </c>
      <c r="Q576" t="s">
        <v>74</v>
      </c>
      <c r="R576" t="s">
        <v>74</v>
      </c>
      <c r="S576" t="s">
        <v>74</v>
      </c>
      <c r="T576" t="s">
        <v>10669</v>
      </c>
      <c r="U576" t="s">
        <v>74</v>
      </c>
      <c r="V576" t="s">
        <v>10670</v>
      </c>
      <c r="W576" t="s">
        <v>10671</v>
      </c>
      <c r="X576" t="s">
        <v>10672</v>
      </c>
      <c r="Y576" t="s">
        <v>10673</v>
      </c>
      <c r="Z576" t="s">
        <v>10674</v>
      </c>
      <c r="AA576" t="s">
        <v>74</v>
      </c>
      <c r="AB576" t="s">
        <v>74</v>
      </c>
      <c r="AC576" t="s">
        <v>74</v>
      </c>
      <c r="AD576" t="s">
        <v>74</v>
      </c>
      <c r="AE576" t="s">
        <v>74</v>
      </c>
      <c r="AF576" t="s">
        <v>74</v>
      </c>
      <c r="AG576">
        <v>25</v>
      </c>
      <c r="AH576">
        <v>16</v>
      </c>
      <c r="AI576">
        <v>19</v>
      </c>
      <c r="AJ576">
        <v>1</v>
      </c>
      <c r="AK576">
        <v>17</v>
      </c>
      <c r="AL576" t="s">
        <v>1850</v>
      </c>
      <c r="AM576" t="s">
        <v>684</v>
      </c>
      <c r="AN576" t="s">
        <v>2272</v>
      </c>
      <c r="AO576" t="s">
        <v>3109</v>
      </c>
      <c r="AP576" t="s">
        <v>3110</v>
      </c>
      <c r="AQ576" t="s">
        <v>74</v>
      </c>
      <c r="AR576" t="s">
        <v>3111</v>
      </c>
      <c r="AS576" t="s">
        <v>3112</v>
      </c>
      <c r="AT576" t="s">
        <v>9572</v>
      </c>
      <c r="AU576">
        <v>2009</v>
      </c>
      <c r="AV576">
        <v>32</v>
      </c>
      <c r="AW576">
        <v>9</v>
      </c>
      <c r="AX576" t="s">
        <v>74</v>
      </c>
      <c r="AY576" t="s">
        <v>74</v>
      </c>
      <c r="AZ576" t="s">
        <v>74</v>
      </c>
      <c r="BA576" t="s">
        <v>74</v>
      </c>
      <c r="BB576">
        <v>1287</v>
      </c>
      <c r="BC576">
        <v>1291</v>
      </c>
      <c r="BD576" t="s">
        <v>74</v>
      </c>
      <c r="BE576" t="s">
        <v>10675</v>
      </c>
      <c r="BF576" t="str">
        <f>HYPERLINK("http://dx.doi.org/10.1007/s00300-009-0625-2","http://dx.doi.org/10.1007/s00300-009-0625-2")</f>
        <v>http://dx.doi.org/10.1007/s00300-009-0625-2</v>
      </c>
      <c r="BG576" t="s">
        <v>74</v>
      </c>
      <c r="BH576" t="s">
        <v>74</v>
      </c>
      <c r="BI576">
        <v>5</v>
      </c>
      <c r="BJ576" t="s">
        <v>3114</v>
      </c>
      <c r="BK576" t="s">
        <v>98</v>
      </c>
      <c r="BL576" t="s">
        <v>3115</v>
      </c>
      <c r="BM576" t="s">
        <v>10664</v>
      </c>
      <c r="BN576" t="s">
        <v>74</v>
      </c>
      <c r="BO576" t="s">
        <v>74</v>
      </c>
      <c r="BP576" t="s">
        <v>74</v>
      </c>
      <c r="BQ576" t="s">
        <v>74</v>
      </c>
      <c r="BR576" t="s">
        <v>101</v>
      </c>
      <c r="BS576" t="s">
        <v>10676</v>
      </c>
      <c r="BT576" t="str">
        <f>HYPERLINK("https%3A%2F%2Fwww.webofscience.com%2Fwos%2Fwoscc%2Ffull-record%2FWOS:000269915100004","View Full Record in Web of Science")</f>
        <v>View Full Record in Web of Science</v>
      </c>
    </row>
    <row r="577" spans="1:72" x14ac:dyDescent="0.15">
      <c r="A577" t="s">
        <v>72</v>
      </c>
      <c r="B577" t="s">
        <v>10677</v>
      </c>
      <c r="C577" t="s">
        <v>74</v>
      </c>
      <c r="D577" t="s">
        <v>74</v>
      </c>
      <c r="E577" t="s">
        <v>74</v>
      </c>
      <c r="F577" t="s">
        <v>10678</v>
      </c>
      <c r="G577" t="s">
        <v>74</v>
      </c>
      <c r="H577" t="s">
        <v>74</v>
      </c>
      <c r="I577" t="s">
        <v>10679</v>
      </c>
      <c r="J577" t="s">
        <v>3098</v>
      </c>
      <c r="K577" t="s">
        <v>74</v>
      </c>
      <c r="L577" t="s">
        <v>74</v>
      </c>
      <c r="M577" t="s">
        <v>78</v>
      </c>
      <c r="N577" t="s">
        <v>79</v>
      </c>
      <c r="O577" t="s">
        <v>74</v>
      </c>
      <c r="P577" t="s">
        <v>74</v>
      </c>
      <c r="Q577" t="s">
        <v>74</v>
      </c>
      <c r="R577" t="s">
        <v>74</v>
      </c>
      <c r="S577" t="s">
        <v>74</v>
      </c>
      <c r="T577" t="s">
        <v>10680</v>
      </c>
      <c r="U577" t="s">
        <v>10681</v>
      </c>
      <c r="V577" t="s">
        <v>10682</v>
      </c>
      <c r="W577" t="s">
        <v>10683</v>
      </c>
      <c r="X577" t="s">
        <v>10684</v>
      </c>
      <c r="Y577" t="s">
        <v>10685</v>
      </c>
      <c r="Z577" t="s">
        <v>10686</v>
      </c>
      <c r="AA577" t="s">
        <v>10687</v>
      </c>
      <c r="AB577" t="s">
        <v>10688</v>
      </c>
      <c r="AC577" t="s">
        <v>10689</v>
      </c>
      <c r="AD577" t="s">
        <v>10690</v>
      </c>
      <c r="AE577" t="s">
        <v>10691</v>
      </c>
      <c r="AF577" t="s">
        <v>74</v>
      </c>
      <c r="AG577">
        <v>72</v>
      </c>
      <c r="AH577">
        <v>8</v>
      </c>
      <c r="AI577">
        <v>11</v>
      </c>
      <c r="AJ577">
        <v>0</v>
      </c>
      <c r="AK577">
        <v>33</v>
      </c>
      <c r="AL577" t="s">
        <v>1850</v>
      </c>
      <c r="AM577" t="s">
        <v>684</v>
      </c>
      <c r="AN577" t="s">
        <v>3108</v>
      </c>
      <c r="AO577" t="s">
        <v>3109</v>
      </c>
      <c r="AP577" t="s">
        <v>3110</v>
      </c>
      <c r="AQ577" t="s">
        <v>74</v>
      </c>
      <c r="AR577" t="s">
        <v>3111</v>
      </c>
      <c r="AS577" t="s">
        <v>3112</v>
      </c>
      <c r="AT577" t="s">
        <v>9572</v>
      </c>
      <c r="AU577">
        <v>2009</v>
      </c>
      <c r="AV577">
        <v>32</v>
      </c>
      <c r="AW577">
        <v>9</v>
      </c>
      <c r="AX577" t="s">
        <v>74</v>
      </c>
      <c r="AY577" t="s">
        <v>74</v>
      </c>
      <c r="AZ577" t="s">
        <v>74</v>
      </c>
      <c r="BA577" t="s">
        <v>74</v>
      </c>
      <c r="BB577">
        <v>1305</v>
      </c>
      <c r="BC577">
        <v>1314</v>
      </c>
      <c r="BD577" t="s">
        <v>74</v>
      </c>
      <c r="BE577" t="s">
        <v>10692</v>
      </c>
      <c r="BF577" t="str">
        <f>HYPERLINK("http://dx.doi.org/10.1007/s00300-009-0627-0","http://dx.doi.org/10.1007/s00300-009-0627-0")</f>
        <v>http://dx.doi.org/10.1007/s00300-009-0627-0</v>
      </c>
      <c r="BG577" t="s">
        <v>74</v>
      </c>
      <c r="BH577" t="s">
        <v>74</v>
      </c>
      <c r="BI577">
        <v>10</v>
      </c>
      <c r="BJ577" t="s">
        <v>3114</v>
      </c>
      <c r="BK577" t="s">
        <v>98</v>
      </c>
      <c r="BL577" t="s">
        <v>3115</v>
      </c>
      <c r="BM577" t="s">
        <v>10664</v>
      </c>
      <c r="BN577" t="s">
        <v>74</v>
      </c>
      <c r="BO577" t="s">
        <v>74</v>
      </c>
      <c r="BP577" t="s">
        <v>74</v>
      </c>
      <c r="BQ577" t="s">
        <v>74</v>
      </c>
      <c r="BR577" t="s">
        <v>101</v>
      </c>
      <c r="BS577" t="s">
        <v>10693</v>
      </c>
      <c r="BT577" t="str">
        <f>HYPERLINK("https%3A%2F%2Fwww.webofscience.com%2Fwos%2Fwoscc%2Ffull-record%2FWOS:000269915100006","View Full Record in Web of Science")</f>
        <v>View Full Record in Web of Science</v>
      </c>
    </row>
    <row r="578" spans="1:72" x14ac:dyDescent="0.15">
      <c r="A578" t="s">
        <v>72</v>
      </c>
      <c r="B578" t="s">
        <v>10694</v>
      </c>
      <c r="C578" t="s">
        <v>74</v>
      </c>
      <c r="D578" t="s">
        <v>74</v>
      </c>
      <c r="E578" t="s">
        <v>74</v>
      </c>
      <c r="F578" t="s">
        <v>10695</v>
      </c>
      <c r="G578" t="s">
        <v>74</v>
      </c>
      <c r="H578" t="s">
        <v>74</v>
      </c>
      <c r="I578" t="s">
        <v>10696</v>
      </c>
      <c r="J578" t="s">
        <v>3098</v>
      </c>
      <c r="K578" t="s">
        <v>74</v>
      </c>
      <c r="L578" t="s">
        <v>74</v>
      </c>
      <c r="M578" t="s">
        <v>78</v>
      </c>
      <c r="N578" t="s">
        <v>79</v>
      </c>
      <c r="O578" t="s">
        <v>74</v>
      </c>
      <c r="P578" t="s">
        <v>74</v>
      </c>
      <c r="Q578" t="s">
        <v>74</v>
      </c>
      <c r="R578" t="s">
        <v>74</v>
      </c>
      <c r="S578" t="s">
        <v>74</v>
      </c>
      <c r="T578" t="s">
        <v>10697</v>
      </c>
      <c r="U578" t="s">
        <v>10698</v>
      </c>
      <c r="V578" t="s">
        <v>10699</v>
      </c>
      <c r="W578" t="s">
        <v>10700</v>
      </c>
      <c r="X578" t="s">
        <v>991</v>
      </c>
      <c r="Y578" t="s">
        <v>10701</v>
      </c>
      <c r="Z578" t="s">
        <v>10702</v>
      </c>
      <c r="AA578" t="s">
        <v>74</v>
      </c>
      <c r="AB578" t="s">
        <v>74</v>
      </c>
      <c r="AC578" t="s">
        <v>10703</v>
      </c>
      <c r="AD578" t="s">
        <v>1629</v>
      </c>
      <c r="AE578" t="s">
        <v>10704</v>
      </c>
      <c r="AF578" t="s">
        <v>74</v>
      </c>
      <c r="AG578">
        <v>36</v>
      </c>
      <c r="AH578">
        <v>13</v>
      </c>
      <c r="AI578">
        <v>15</v>
      </c>
      <c r="AJ578">
        <v>0</v>
      </c>
      <c r="AK578">
        <v>13</v>
      </c>
      <c r="AL578" t="s">
        <v>1850</v>
      </c>
      <c r="AM578" t="s">
        <v>684</v>
      </c>
      <c r="AN578" t="s">
        <v>3108</v>
      </c>
      <c r="AO578" t="s">
        <v>3109</v>
      </c>
      <c r="AP578" t="s">
        <v>3110</v>
      </c>
      <c r="AQ578" t="s">
        <v>74</v>
      </c>
      <c r="AR578" t="s">
        <v>3111</v>
      </c>
      <c r="AS578" t="s">
        <v>3112</v>
      </c>
      <c r="AT578" t="s">
        <v>9572</v>
      </c>
      <c r="AU578">
        <v>2009</v>
      </c>
      <c r="AV578">
        <v>32</v>
      </c>
      <c r="AW578">
        <v>9</v>
      </c>
      <c r="AX578" t="s">
        <v>74</v>
      </c>
      <c r="AY578" t="s">
        <v>74</v>
      </c>
      <c r="AZ578" t="s">
        <v>74</v>
      </c>
      <c r="BA578" t="s">
        <v>74</v>
      </c>
      <c r="BB578">
        <v>1323</v>
      </c>
      <c r="BC578">
        <v>1330</v>
      </c>
      <c r="BD578" t="s">
        <v>74</v>
      </c>
      <c r="BE578" t="s">
        <v>10705</v>
      </c>
      <c r="BF578" t="str">
        <f>HYPERLINK("http://dx.doi.org/10.1007/s00300-009-0629-y","http://dx.doi.org/10.1007/s00300-009-0629-y")</f>
        <v>http://dx.doi.org/10.1007/s00300-009-0629-y</v>
      </c>
      <c r="BG578" t="s">
        <v>74</v>
      </c>
      <c r="BH578" t="s">
        <v>74</v>
      </c>
      <c r="BI578">
        <v>8</v>
      </c>
      <c r="BJ578" t="s">
        <v>3114</v>
      </c>
      <c r="BK578" t="s">
        <v>98</v>
      </c>
      <c r="BL578" t="s">
        <v>3115</v>
      </c>
      <c r="BM578" t="s">
        <v>10664</v>
      </c>
      <c r="BN578" t="s">
        <v>74</v>
      </c>
      <c r="BO578" t="s">
        <v>74</v>
      </c>
      <c r="BP578" t="s">
        <v>74</v>
      </c>
      <c r="BQ578" t="s">
        <v>74</v>
      </c>
      <c r="BR578" t="s">
        <v>101</v>
      </c>
      <c r="BS578" t="s">
        <v>10706</v>
      </c>
      <c r="BT578" t="str">
        <f>HYPERLINK("https%3A%2F%2Fwww.webofscience.com%2Fwos%2Fwoscc%2Ffull-record%2FWOS:000269915100008","View Full Record in Web of Science")</f>
        <v>View Full Record in Web of Science</v>
      </c>
    </row>
    <row r="579" spans="1:72" x14ac:dyDescent="0.15">
      <c r="A579" t="s">
        <v>72</v>
      </c>
      <c r="B579" t="s">
        <v>10707</v>
      </c>
      <c r="C579" t="s">
        <v>74</v>
      </c>
      <c r="D579" t="s">
        <v>74</v>
      </c>
      <c r="E579" t="s">
        <v>74</v>
      </c>
      <c r="F579" t="s">
        <v>10708</v>
      </c>
      <c r="G579" t="s">
        <v>74</v>
      </c>
      <c r="H579" t="s">
        <v>74</v>
      </c>
      <c r="I579" t="s">
        <v>10709</v>
      </c>
      <c r="J579" t="s">
        <v>3098</v>
      </c>
      <c r="K579" t="s">
        <v>74</v>
      </c>
      <c r="L579" t="s">
        <v>74</v>
      </c>
      <c r="M579" t="s">
        <v>78</v>
      </c>
      <c r="N579" t="s">
        <v>79</v>
      </c>
      <c r="O579" t="s">
        <v>74</v>
      </c>
      <c r="P579" t="s">
        <v>74</v>
      </c>
      <c r="Q579" t="s">
        <v>74</v>
      </c>
      <c r="R579" t="s">
        <v>74</v>
      </c>
      <c r="S579" t="s">
        <v>74</v>
      </c>
      <c r="T579" t="s">
        <v>10710</v>
      </c>
      <c r="U579" t="s">
        <v>10711</v>
      </c>
      <c r="V579" t="s">
        <v>10712</v>
      </c>
      <c r="W579" t="s">
        <v>10713</v>
      </c>
      <c r="X579" t="s">
        <v>10714</v>
      </c>
      <c r="Y579" t="s">
        <v>10715</v>
      </c>
      <c r="Z579" t="s">
        <v>10716</v>
      </c>
      <c r="AA579" t="s">
        <v>10717</v>
      </c>
      <c r="AB579" t="s">
        <v>10718</v>
      </c>
      <c r="AC579" t="s">
        <v>10719</v>
      </c>
      <c r="AD579" t="s">
        <v>10720</v>
      </c>
      <c r="AE579" t="s">
        <v>10721</v>
      </c>
      <c r="AF579" t="s">
        <v>74</v>
      </c>
      <c r="AG579">
        <v>87</v>
      </c>
      <c r="AH579">
        <v>3</v>
      </c>
      <c r="AI579">
        <v>3</v>
      </c>
      <c r="AJ579">
        <v>0</v>
      </c>
      <c r="AK579">
        <v>13</v>
      </c>
      <c r="AL579" t="s">
        <v>1850</v>
      </c>
      <c r="AM579" t="s">
        <v>684</v>
      </c>
      <c r="AN579" t="s">
        <v>3108</v>
      </c>
      <c r="AO579" t="s">
        <v>3109</v>
      </c>
      <c r="AP579" t="s">
        <v>3110</v>
      </c>
      <c r="AQ579" t="s">
        <v>74</v>
      </c>
      <c r="AR579" t="s">
        <v>3111</v>
      </c>
      <c r="AS579" t="s">
        <v>3112</v>
      </c>
      <c r="AT579" t="s">
        <v>9572</v>
      </c>
      <c r="AU579">
        <v>2009</v>
      </c>
      <c r="AV579">
        <v>32</v>
      </c>
      <c r="AW579">
        <v>9</v>
      </c>
      <c r="AX579" t="s">
        <v>74</v>
      </c>
      <c r="AY579" t="s">
        <v>74</v>
      </c>
      <c r="AZ579" t="s">
        <v>74</v>
      </c>
      <c r="BA579" t="s">
        <v>74</v>
      </c>
      <c r="BB579">
        <v>1331</v>
      </c>
      <c r="BC579">
        <v>1343</v>
      </c>
      <c r="BD579" t="s">
        <v>74</v>
      </c>
      <c r="BE579" t="s">
        <v>10722</v>
      </c>
      <c r="BF579" t="str">
        <f>HYPERLINK("http://dx.doi.org/10.1007/s00300-009-0630-5","http://dx.doi.org/10.1007/s00300-009-0630-5")</f>
        <v>http://dx.doi.org/10.1007/s00300-009-0630-5</v>
      </c>
      <c r="BG579" t="s">
        <v>74</v>
      </c>
      <c r="BH579" t="s">
        <v>74</v>
      </c>
      <c r="BI579">
        <v>13</v>
      </c>
      <c r="BJ579" t="s">
        <v>3114</v>
      </c>
      <c r="BK579" t="s">
        <v>98</v>
      </c>
      <c r="BL579" t="s">
        <v>3115</v>
      </c>
      <c r="BM579" t="s">
        <v>10664</v>
      </c>
      <c r="BN579" t="s">
        <v>74</v>
      </c>
      <c r="BO579" t="s">
        <v>74</v>
      </c>
      <c r="BP579" t="s">
        <v>74</v>
      </c>
      <c r="BQ579" t="s">
        <v>74</v>
      </c>
      <c r="BR579" t="s">
        <v>101</v>
      </c>
      <c r="BS579" t="s">
        <v>10723</v>
      </c>
      <c r="BT579" t="str">
        <f>HYPERLINK("https%3A%2F%2Fwww.webofscience.com%2Fwos%2Fwoscc%2Ffull-record%2FWOS:000269915100009","View Full Record in Web of Science")</f>
        <v>View Full Record in Web of Science</v>
      </c>
    </row>
    <row r="580" spans="1:72" x14ac:dyDescent="0.15">
      <c r="A580" t="s">
        <v>72</v>
      </c>
      <c r="B580" t="s">
        <v>10724</v>
      </c>
      <c r="C580" t="s">
        <v>74</v>
      </c>
      <c r="D580" t="s">
        <v>74</v>
      </c>
      <c r="E580" t="s">
        <v>74</v>
      </c>
      <c r="F580" t="s">
        <v>10725</v>
      </c>
      <c r="G580" t="s">
        <v>74</v>
      </c>
      <c r="H580" t="s">
        <v>74</v>
      </c>
      <c r="I580" t="s">
        <v>10726</v>
      </c>
      <c r="J580" t="s">
        <v>3098</v>
      </c>
      <c r="K580" t="s">
        <v>74</v>
      </c>
      <c r="L580" t="s">
        <v>74</v>
      </c>
      <c r="M580" t="s">
        <v>78</v>
      </c>
      <c r="N580" t="s">
        <v>79</v>
      </c>
      <c r="O580" t="s">
        <v>74</v>
      </c>
      <c r="P580" t="s">
        <v>74</v>
      </c>
      <c r="Q580" t="s">
        <v>74</v>
      </c>
      <c r="R580" t="s">
        <v>74</v>
      </c>
      <c r="S580" t="s">
        <v>74</v>
      </c>
      <c r="T580" t="s">
        <v>10727</v>
      </c>
      <c r="U580" t="s">
        <v>10728</v>
      </c>
      <c r="V580" t="s">
        <v>10729</v>
      </c>
      <c r="W580" t="s">
        <v>10730</v>
      </c>
      <c r="X580" t="s">
        <v>1390</v>
      </c>
      <c r="Y580" t="s">
        <v>10384</v>
      </c>
      <c r="Z580" t="s">
        <v>10731</v>
      </c>
      <c r="AA580" t="s">
        <v>10386</v>
      </c>
      <c r="AB580" t="s">
        <v>10732</v>
      </c>
      <c r="AC580" t="s">
        <v>74</v>
      </c>
      <c r="AD580" t="s">
        <v>74</v>
      </c>
      <c r="AE580" t="s">
        <v>74</v>
      </c>
      <c r="AF580" t="s">
        <v>74</v>
      </c>
      <c r="AG580">
        <v>55</v>
      </c>
      <c r="AH580">
        <v>20</v>
      </c>
      <c r="AI580">
        <v>21</v>
      </c>
      <c r="AJ580">
        <v>0</v>
      </c>
      <c r="AK580">
        <v>13</v>
      </c>
      <c r="AL580" t="s">
        <v>1850</v>
      </c>
      <c r="AM580" t="s">
        <v>684</v>
      </c>
      <c r="AN580" t="s">
        <v>2272</v>
      </c>
      <c r="AO580" t="s">
        <v>3109</v>
      </c>
      <c r="AP580" t="s">
        <v>74</v>
      </c>
      <c r="AQ580" t="s">
        <v>74</v>
      </c>
      <c r="AR580" t="s">
        <v>3111</v>
      </c>
      <c r="AS580" t="s">
        <v>3112</v>
      </c>
      <c r="AT580" t="s">
        <v>9572</v>
      </c>
      <c r="AU580">
        <v>2009</v>
      </c>
      <c r="AV580">
        <v>32</v>
      </c>
      <c r="AW580">
        <v>9</v>
      </c>
      <c r="AX580" t="s">
        <v>74</v>
      </c>
      <c r="AY580" t="s">
        <v>74</v>
      </c>
      <c r="AZ580" t="s">
        <v>74</v>
      </c>
      <c r="BA580" t="s">
        <v>74</v>
      </c>
      <c r="BB580">
        <v>1359</v>
      </c>
      <c r="BC580">
        <v>1376</v>
      </c>
      <c r="BD580" t="s">
        <v>74</v>
      </c>
      <c r="BE580" t="s">
        <v>10733</v>
      </c>
      <c r="BF580" t="str">
        <f>HYPERLINK("http://dx.doi.org/10.1007/s00300-009-0632-3","http://dx.doi.org/10.1007/s00300-009-0632-3")</f>
        <v>http://dx.doi.org/10.1007/s00300-009-0632-3</v>
      </c>
      <c r="BG580" t="s">
        <v>74</v>
      </c>
      <c r="BH580" t="s">
        <v>74</v>
      </c>
      <c r="BI580">
        <v>18</v>
      </c>
      <c r="BJ580" t="s">
        <v>3114</v>
      </c>
      <c r="BK580" t="s">
        <v>98</v>
      </c>
      <c r="BL580" t="s">
        <v>3115</v>
      </c>
      <c r="BM580" t="s">
        <v>10664</v>
      </c>
      <c r="BN580" t="s">
        <v>74</v>
      </c>
      <c r="BO580" t="s">
        <v>1119</v>
      </c>
      <c r="BP580" t="s">
        <v>74</v>
      </c>
      <c r="BQ580" t="s">
        <v>74</v>
      </c>
      <c r="BR580" t="s">
        <v>101</v>
      </c>
      <c r="BS580" t="s">
        <v>10734</v>
      </c>
      <c r="BT580" t="str">
        <f>HYPERLINK("https%3A%2F%2Fwww.webofscience.com%2Fwos%2Fwoscc%2Ffull-record%2FWOS:000269915100011","View Full Record in Web of Science")</f>
        <v>View Full Record in Web of Science</v>
      </c>
    </row>
    <row r="581" spans="1:72" x14ac:dyDescent="0.15">
      <c r="A581" t="s">
        <v>72</v>
      </c>
      <c r="B581" t="s">
        <v>10735</v>
      </c>
      <c r="C581" t="s">
        <v>74</v>
      </c>
      <c r="D581" t="s">
        <v>74</v>
      </c>
      <c r="E581" t="s">
        <v>74</v>
      </c>
      <c r="F581" t="s">
        <v>10736</v>
      </c>
      <c r="G581" t="s">
        <v>74</v>
      </c>
      <c r="H581" t="s">
        <v>74</v>
      </c>
      <c r="I581" t="s">
        <v>10737</v>
      </c>
      <c r="J581" t="s">
        <v>3098</v>
      </c>
      <c r="K581" t="s">
        <v>74</v>
      </c>
      <c r="L581" t="s">
        <v>74</v>
      </c>
      <c r="M581" t="s">
        <v>78</v>
      </c>
      <c r="N581" t="s">
        <v>79</v>
      </c>
      <c r="O581" t="s">
        <v>74</v>
      </c>
      <c r="P581" t="s">
        <v>74</v>
      </c>
      <c r="Q581" t="s">
        <v>74</v>
      </c>
      <c r="R581" t="s">
        <v>74</v>
      </c>
      <c r="S581" t="s">
        <v>74</v>
      </c>
      <c r="T581" t="s">
        <v>10738</v>
      </c>
      <c r="U581" t="s">
        <v>10739</v>
      </c>
      <c r="V581" t="s">
        <v>10740</v>
      </c>
      <c r="W581" t="s">
        <v>10741</v>
      </c>
      <c r="X581" t="s">
        <v>10742</v>
      </c>
      <c r="Y581" t="s">
        <v>10743</v>
      </c>
      <c r="Z581" t="s">
        <v>10744</v>
      </c>
      <c r="AA581" t="s">
        <v>10745</v>
      </c>
      <c r="AB581" t="s">
        <v>10746</v>
      </c>
      <c r="AC581" t="s">
        <v>74</v>
      </c>
      <c r="AD581" t="s">
        <v>74</v>
      </c>
      <c r="AE581" t="s">
        <v>74</v>
      </c>
      <c r="AF581" t="s">
        <v>74</v>
      </c>
      <c r="AG581">
        <v>37</v>
      </c>
      <c r="AH581">
        <v>8</v>
      </c>
      <c r="AI581">
        <v>8</v>
      </c>
      <c r="AJ581">
        <v>0</v>
      </c>
      <c r="AK581">
        <v>9</v>
      </c>
      <c r="AL581" t="s">
        <v>1850</v>
      </c>
      <c r="AM581" t="s">
        <v>684</v>
      </c>
      <c r="AN581" t="s">
        <v>3108</v>
      </c>
      <c r="AO581" t="s">
        <v>3109</v>
      </c>
      <c r="AP581" t="s">
        <v>3110</v>
      </c>
      <c r="AQ581" t="s">
        <v>74</v>
      </c>
      <c r="AR581" t="s">
        <v>3111</v>
      </c>
      <c r="AS581" t="s">
        <v>3112</v>
      </c>
      <c r="AT581" t="s">
        <v>9572</v>
      </c>
      <c r="AU581">
        <v>2009</v>
      </c>
      <c r="AV581">
        <v>32</v>
      </c>
      <c r="AW581">
        <v>9</v>
      </c>
      <c r="AX581" t="s">
        <v>74</v>
      </c>
      <c r="AY581" t="s">
        <v>74</v>
      </c>
      <c r="AZ581" t="s">
        <v>74</v>
      </c>
      <c r="BA581" t="s">
        <v>74</v>
      </c>
      <c r="BB581">
        <v>1389</v>
      </c>
      <c r="BC581">
        <v>1397</v>
      </c>
      <c r="BD581" t="s">
        <v>74</v>
      </c>
      <c r="BE581" t="s">
        <v>10747</v>
      </c>
      <c r="BF581" t="str">
        <f>HYPERLINK("http://dx.doi.org/10.1007/s00300-009-0635-0","http://dx.doi.org/10.1007/s00300-009-0635-0")</f>
        <v>http://dx.doi.org/10.1007/s00300-009-0635-0</v>
      </c>
      <c r="BG581" t="s">
        <v>74</v>
      </c>
      <c r="BH581" t="s">
        <v>74</v>
      </c>
      <c r="BI581">
        <v>9</v>
      </c>
      <c r="BJ581" t="s">
        <v>3114</v>
      </c>
      <c r="BK581" t="s">
        <v>98</v>
      </c>
      <c r="BL581" t="s">
        <v>3115</v>
      </c>
      <c r="BM581" t="s">
        <v>10664</v>
      </c>
      <c r="BN581" t="s">
        <v>74</v>
      </c>
      <c r="BO581" t="s">
        <v>74</v>
      </c>
      <c r="BP581" t="s">
        <v>74</v>
      </c>
      <c r="BQ581" t="s">
        <v>74</v>
      </c>
      <c r="BR581" t="s">
        <v>101</v>
      </c>
      <c r="BS581" t="s">
        <v>10748</v>
      </c>
      <c r="BT581" t="str">
        <f>HYPERLINK("https%3A%2F%2Fwww.webofscience.com%2Fwos%2Fwoscc%2Ffull-record%2FWOS:000269915100013","View Full Record in Web of Science")</f>
        <v>View Full Record in Web of Science</v>
      </c>
    </row>
    <row r="582" spans="1:72" x14ac:dyDescent="0.15">
      <c r="A582" t="s">
        <v>72</v>
      </c>
      <c r="B582" t="s">
        <v>10749</v>
      </c>
      <c r="C582" t="s">
        <v>74</v>
      </c>
      <c r="D582" t="s">
        <v>74</v>
      </c>
      <c r="E582" t="s">
        <v>74</v>
      </c>
      <c r="F582" t="s">
        <v>10750</v>
      </c>
      <c r="G582" t="s">
        <v>74</v>
      </c>
      <c r="H582" t="s">
        <v>74</v>
      </c>
      <c r="I582" t="s">
        <v>10751</v>
      </c>
      <c r="J582" t="s">
        <v>6030</v>
      </c>
      <c r="K582" t="s">
        <v>74</v>
      </c>
      <c r="L582" t="s">
        <v>74</v>
      </c>
      <c r="M582" t="s">
        <v>78</v>
      </c>
      <c r="N582" t="s">
        <v>79</v>
      </c>
      <c r="O582" t="s">
        <v>74</v>
      </c>
      <c r="P582" t="s">
        <v>74</v>
      </c>
      <c r="Q582" t="s">
        <v>74</v>
      </c>
      <c r="R582" t="s">
        <v>74</v>
      </c>
      <c r="S582" t="s">
        <v>74</v>
      </c>
      <c r="T582" t="s">
        <v>10752</v>
      </c>
      <c r="U582" t="s">
        <v>10753</v>
      </c>
      <c r="V582" t="s">
        <v>10754</v>
      </c>
      <c r="W582" t="s">
        <v>10755</v>
      </c>
      <c r="X582" t="s">
        <v>838</v>
      </c>
      <c r="Y582" t="s">
        <v>10756</v>
      </c>
      <c r="Z582" t="s">
        <v>10757</v>
      </c>
      <c r="AA582" t="s">
        <v>10758</v>
      </c>
      <c r="AB582" t="s">
        <v>10759</v>
      </c>
      <c r="AC582" t="s">
        <v>10760</v>
      </c>
      <c r="AD582" t="s">
        <v>10761</v>
      </c>
      <c r="AE582" t="s">
        <v>10762</v>
      </c>
      <c r="AF582" t="s">
        <v>74</v>
      </c>
      <c r="AG582">
        <v>83</v>
      </c>
      <c r="AH582">
        <v>11</v>
      </c>
      <c r="AI582">
        <v>11</v>
      </c>
      <c r="AJ582">
        <v>0</v>
      </c>
      <c r="AK582">
        <v>3</v>
      </c>
      <c r="AL582" t="s">
        <v>305</v>
      </c>
      <c r="AM582" t="s">
        <v>281</v>
      </c>
      <c r="AN582" t="s">
        <v>306</v>
      </c>
      <c r="AO582" t="s">
        <v>6043</v>
      </c>
      <c r="AP582" t="s">
        <v>6044</v>
      </c>
      <c r="AQ582" t="s">
        <v>74</v>
      </c>
      <c r="AR582" t="s">
        <v>6045</v>
      </c>
      <c r="AS582" t="s">
        <v>6046</v>
      </c>
      <c r="AT582" t="s">
        <v>9572</v>
      </c>
      <c r="AU582">
        <v>2009</v>
      </c>
      <c r="AV582">
        <v>3</v>
      </c>
      <c r="AW582">
        <v>2</v>
      </c>
      <c r="AX582" t="s">
        <v>74</v>
      </c>
      <c r="AY582" t="s">
        <v>74</v>
      </c>
      <c r="AZ582" t="s">
        <v>74</v>
      </c>
      <c r="BA582" t="s">
        <v>74</v>
      </c>
      <c r="BB582">
        <v>83</v>
      </c>
      <c r="BC582">
        <v>99</v>
      </c>
      <c r="BD582" t="s">
        <v>74</v>
      </c>
      <c r="BE582" t="s">
        <v>10763</v>
      </c>
      <c r="BF582" t="str">
        <f>HYPERLINK("http://dx.doi.org/10.1016/j.polar.2009.06.001","http://dx.doi.org/10.1016/j.polar.2009.06.001")</f>
        <v>http://dx.doi.org/10.1016/j.polar.2009.06.001</v>
      </c>
      <c r="BG582" t="s">
        <v>74</v>
      </c>
      <c r="BH582" t="s">
        <v>74</v>
      </c>
      <c r="BI582">
        <v>17</v>
      </c>
      <c r="BJ582" t="s">
        <v>6048</v>
      </c>
      <c r="BK582" t="s">
        <v>98</v>
      </c>
      <c r="BL582" t="s">
        <v>4308</v>
      </c>
      <c r="BM582" t="s">
        <v>10764</v>
      </c>
      <c r="BN582" t="s">
        <v>74</v>
      </c>
      <c r="BO582" t="s">
        <v>74</v>
      </c>
      <c r="BP582" t="s">
        <v>74</v>
      </c>
      <c r="BQ582" t="s">
        <v>74</v>
      </c>
      <c r="BR582" t="s">
        <v>101</v>
      </c>
      <c r="BS582" t="s">
        <v>10765</v>
      </c>
      <c r="BT582" t="str">
        <f>HYPERLINK("https%3A%2F%2Fwww.webofscience.com%2Fwos%2Fwoscc%2Ffull-record%2FWOS:000209028500001","View Full Record in Web of Science")</f>
        <v>View Full Record in Web of Science</v>
      </c>
    </row>
    <row r="583" spans="1:72" x14ac:dyDescent="0.15">
      <c r="A583" t="s">
        <v>72</v>
      </c>
      <c r="B583" t="s">
        <v>10766</v>
      </c>
      <c r="C583" t="s">
        <v>74</v>
      </c>
      <c r="D583" t="s">
        <v>74</v>
      </c>
      <c r="E583" t="s">
        <v>74</v>
      </c>
      <c r="F583" t="s">
        <v>10767</v>
      </c>
      <c r="G583" t="s">
        <v>74</v>
      </c>
      <c r="H583" t="s">
        <v>74</v>
      </c>
      <c r="I583" t="s">
        <v>10768</v>
      </c>
      <c r="J583" t="s">
        <v>6030</v>
      </c>
      <c r="K583" t="s">
        <v>74</v>
      </c>
      <c r="L583" t="s">
        <v>74</v>
      </c>
      <c r="M583" t="s">
        <v>78</v>
      </c>
      <c r="N583" t="s">
        <v>79</v>
      </c>
      <c r="O583" t="s">
        <v>74</v>
      </c>
      <c r="P583" t="s">
        <v>74</v>
      </c>
      <c r="Q583" t="s">
        <v>74</v>
      </c>
      <c r="R583" t="s">
        <v>74</v>
      </c>
      <c r="S583" t="s">
        <v>74</v>
      </c>
      <c r="T583" t="s">
        <v>10769</v>
      </c>
      <c r="U583" t="s">
        <v>74</v>
      </c>
      <c r="V583" t="s">
        <v>10770</v>
      </c>
      <c r="W583" t="s">
        <v>10771</v>
      </c>
      <c r="X583" t="s">
        <v>10772</v>
      </c>
      <c r="Y583" t="s">
        <v>10773</v>
      </c>
      <c r="Z583" t="s">
        <v>74</v>
      </c>
      <c r="AA583" t="s">
        <v>10774</v>
      </c>
      <c r="AB583" t="s">
        <v>10775</v>
      </c>
      <c r="AC583" t="s">
        <v>10776</v>
      </c>
      <c r="AD583" t="s">
        <v>10777</v>
      </c>
      <c r="AE583" t="s">
        <v>10778</v>
      </c>
      <c r="AF583" t="s">
        <v>74</v>
      </c>
      <c r="AG583">
        <v>17</v>
      </c>
      <c r="AH583">
        <v>40</v>
      </c>
      <c r="AI583">
        <v>41</v>
      </c>
      <c r="AJ583">
        <v>0</v>
      </c>
      <c r="AK583">
        <v>3</v>
      </c>
      <c r="AL583" t="s">
        <v>280</v>
      </c>
      <c r="AM583" t="s">
        <v>281</v>
      </c>
      <c r="AN583" t="s">
        <v>282</v>
      </c>
      <c r="AO583" t="s">
        <v>6043</v>
      </c>
      <c r="AP583" t="s">
        <v>6044</v>
      </c>
      <c r="AQ583" t="s">
        <v>74</v>
      </c>
      <c r="AR583" t="s">
        <v>6045</v>
      </c>
      <c r="AS583" t="s">
        <v>6046</v>
      </c>
      <c r="AT583" t="s">
        <v>9572</v>
      </c>
      <c r="AU583">
        <v>2009</v>
      </c>
      <c r="AV583">
        <v>3</v>
      </c>
      <c r="AW583">
        <v>2</v>
      </c>
      <c r="AX583" t="s">
        <v>74</v>
      </c>
      <c r="AY583" t="s">
        <v>74</v>
      </c>
      <c r="AZ583" t="s">
        <v>74</v>
      </c>
      <c r="BA583" t="s">
        <v>74</v>
      </c>
      <c r="BB583">
        <v>100</v>
      </c>
      <c r="BC583">
        <v>109</v>
      </c>
      <c r="BD583" t="s">
        <v>74</v>
      </c>
      <c r="BE583" t="s">
        <v>10779</v>
      </c>
      <c r="BF583" t="str">
        <f>HYPERLINK("http://dx.doi.org/10.1016/j.polar.2009.06.003","http://dx.doi.org/10.1016/j.polar.2009.06.003")</f>
        <v>http://dx.doi.org/10.1016/j.polar.2009.06.003</v>
      </c>
      <c r="BG583" t="s">
        <v>74</v>
      </c>
      <c r="BH583" t="s">
        <v>74</v>
      </c>
      <c r="BI583">
        <v>10</v>
      </c>
      <c r="BJ583" t="s">
        <v>6048</v>
      </c>
      <c r="BK583" t="s">
        <v>98</v>
      </c>
      <c r="BL583" t="s">
        <v>4308</v>
      </c>
      <c r="BM583" t="s">
        <v>10764</v>
      </c>
      <c r="BN583" t="s">
        <v>74</v>
      </c>
      <c r="BO583" t="s">
        <v>3064</v>
      </c>
      <c r="BP583" t="s">
        <v>74</v>
      </c>
      <c r="BQ583" t="s">
        <v>74</v>
      </c>
      <c r="BR583" t="s">
        <v>101</v>
      </c>
      <c r="BS583" t="s">
        <v>10780</v>
      </c>
      <c r="BT583" t="str">
        <f>HYPERLINK("https%3A%2F%2Fwww.webofscience.com%2Fwos%2Fwoscc%2Ffull-record%2FWOS:000209028500002","View Full Record in Web of Science")</f>
        <v>View Full Record in Web of Science</v>
      </c>
    </row>
    <row r="584" spans="1:72" x14ac:dyDescent="0.15">
      <c r="A584" t="s">
        <v>72</v>
      </c>
      <c r="B584" t="s">
        <v>10781</v>
      </c>
      <c r="C584" t="s">
        <v>74</v>
      </c>
      <c r="D584" t="s">
        <v>74</v>
      </c>
      <c r="E584" t="s">
        <v>74</v>
      </c>
      <c r="F584" t="s">
        <v>10782</v>
      </c>
      <c r="G584" t="s">
        <v>74</v>
      </c>
      <c r="H584" t="s">
        <v>74</v>
      </c>
      <c r="I584" t="s">
        <v>10783</v>
      </c>
      <c r="J584" t="s">
        <v>10784</v>
      </c>
      <c r="K584" t="s">
        <v>74</v>
      </c>
      <c r="L584" t="s">
        <v>74</v>
      </c>
      <c r="M584" t="s">
        <v>78</v>
      </c>
      <c r="N584" t="s">
        <v>79</v>
      </c>
      <c r="O584" t="s">
        <v>74</v>
      </c>
      <c r="P584" t="s">
        <v>74</v>
      </c>
      <c r="Q584" t="s">
        <v>74</v>
      </c>
      <c r="R584" t="s">
        <v>74</v>
      </c>
      <c r="S584" t="s">
        <v>74</v>
      </c>
      <c r="T584" t="s">
        <v>10785</v>
      </c>
      <c r="U584" t="s">
        <v>10786</v>
      </c>
      <c r="V584" t="s">
        <v>10787</v>
      </c>
      <c r="W584" t="s">
        <v>10788</v>
      </c>
      <c r="X584" t="s">
        <v>10789</v>
      </c>
      <c r="Y584" t="s">
        <v>10790</v>
      </c>
      <c r="Z584" t="s">
        <v>10791</v>
      </c>
      <c r="AA584" t="s">
        <v>10792</v>
      </c>
      <c r="AB584" t="s">
        <v>10793</v>
      </c>
      <c r="AC584" t="s">
        <v>10794</v>
      </c>
      <c r="AD584" t="s">
        <v>10795</v>
      </c>
      <c r="AE584" t="s">
        <v>10796</v>
      </c>
      <c r="AF584" t="s">
        <v>74</v>
      </c>
      <c r="AG584">
        <v>44</v>
      </c>
      <c r="AH584">
        <v>9</v>
      </c>
      <c r="AI584">
        <v>10</v>
      </c>
      <c r="AJ584">
        <v>0</v>
      </c>
      <c r="AK584">
        <v>7</v>
      </c>
      <c r="AL584" t="s">
        <v>1978</v>
      </c>
      <c r="AM584" t="s">
        <v>1895</v>
      </c>
      <c r="AN584" t="s">
        <v>1979</v>
      </c>
      <c r="AO584" t="s">
        <v>10797</v>
      </c>
      <c r="AP584" t="s">
        <v>10798</v>
      </c>
      <c r="AQ584" t="s">
        <v>74</v>
      </c>
      <c r="AR584" t="s">
        <v>10799</v>
      </c>
      <c r="AS584" t="s">
        <v>10800</v>
      </c>
      <c r="AT584" t="s">
        <v>9572</v>
      </c>
      <c r="AU584">
        <v>2009</v>
      </c>
      <c r="AV584">
        <v>44</v>
      </c>
      <c r="AW584">
        <v>9</v>
      </c>
      <c r="AX584" t="s">
        <v>74</v>
      </c>
      <c r="AY584" t="s">
        <v>74</v>
      </c>
      <c r="AZ584" t="s">
        <v>74</v>
      </c>
      <c r="BA584" t="s">
        <v>74</v>
      </c>
      <c r="BB584">
        <v>969</v>
      </c>
      <c r="BC584">
        <v>974</v>
      </c>
      <c r="BD584" t="s">
        <v>74</v>
      </c>
      <c r="BE584" t="s">
        <v>10801</v>
      </c>
      <c r="BF584" t="str">
        <f>HYPERLINK("http://dx.doi.org/10.1016/j.procbio.2009.04.021","http://dx.doi.org/10.1016/j.procbio.2009.04.021")</f>
        <v>http://dx.doi.org/10.1016/j.procbio.2009.04.021</v>
      </c>
      <c r="BG584" t="s">
        <v>74</v>
      </c>
      <c r="BH584" t="s">
        <v>74</v>
      </c>
      <c r="BI584">
        <v>6</v>
      </c>
      <c r="BJ584" t="s">
        <v>10802</v>
      </c>
      <c r="BK584" t="s">
        <v>98</v>
      </c>
      <c r="BL584" t="s">
        <v>10803</v>
      </c>
      <c r="BM584" t="s">
        <v>10804</v>
      </c>
      <c r="BN584" t="s">
        <v>74</v>
      </c>
      <c r="BO584" t="s">
        <v>74</v>
      </c>
      <c r="BP584" t="s">
        <v>74</v>
      </c>
      <c r="BQ584" t="s">
        <v>74</v>
      </c>
      <c r="BR584" t="s">
        <v>101</v>
      </c>
      <c r="BS584" t="s">
        <v>10805</v>
      </c>
      <c r="BT584" t="str">
        <f>HYPERLINK("https%3A%2F%2Fwww.webofscience.com%2Fwos%2Fwoscc%2Ffull-record%2FWOS:000268918300004","View Full Record in Web of Science")</f>
        <v>View Full Record in Web of Science</v>
      </c>
    </row>
    <row r="585" spans="1:72" x14ac:dyDescent="0.15">
      <c r="A585" t="s">
        <v>72</v>
      </c>
      <c r="B585" t="s">
        <v>10806</v>
      </c>
      <c r="C585" t="s">
        <v>74</v>
      </c>
      <c r="D585" t="s">
        <v>74</v>
      </c>
      <c r="E585" t="s">
        <v>74</v>
      </c>
      <c r="F585" t="s">
        <v>10807</v>
      </c>
      <c r="G585" t="s">
        <v>74</v>
      </c>
      <c r="H585" t="s">
        <v>74</v>
      </c>
      <c r="I585" t="s">
        <v>10808</v>
      </c>
      <c r="J585" t="s">
        <v>8581</v>
      </c>
      <c r="K585" t="s">
        <v>74</v>
      </c>
      <c r="L585" t="s">
        <v>74</v>
      </c>
      <c r="M585" t="s">
        <v>78</v>
      </c>
      <c r="N585" t="s">
        <v>297</v>
      </c>
      <c r="O585" t="s">
        <v>74</v>
      </c>
      <c r="P585" t="s">
        <v>74</v>
      </c>
      <c r="Q585" t="s">
        <v>74</v>
      </c>
      <c r="R585" t="s">
        <v>74</v>
      </c>
      <c r="S585" t="s">
        <v>74</v>
      </c>
      <c r="T585" t="s">
        <v>74</v>
      </c>
      <c r="U585" t="s">
        <v>10809</v>
      </c>
      <c r="V585" t="s">
        <v>10810</v>
      </c>
      <c r="W585" t="s">
        <v>10811</v>
      </c>
      <c r="X585" t="s">
        <v>10812</v>
      </c>
      <c r="Y585" t="s">
        <v>10813</v>
      </c>
      <c r="Z585" t="s">
        <v>10814</v>
      </c>
      <c r="AA585" t="s">
        <v>10815</v>
      </c>
      <c r="AB585" t="s">
        <v>10816</v>
      </c>
      <c r="AC585" t="s">
        <v>74</v>
      </c>
      <c r="AD585" t="s">
        <v>74</v>
      </c>
      <c r="AE585" t="s">
        <v>74</v>
      </c>
      <c r="AF585" t="s">
        <v>74</v>
      </c>
      <c r="AG585">
        <v>133</v>
      </c>
      <c r="AH585">
        <v>52</v>
      </c>
      <c r="AI585">
        <v>62</v>
      </c>
      <c r="AJ585">
        <v>0</v>
      </c>
      <c r="AK585">
        <v>33</v>
      </c>
      <c r="AL585" t="s">
        <v>1894</v>
      </c>
      <c r="AM585" t="s">
        <v>1895</v>
      </c>
      <c r="AN585" t="s">
        <v>1896</v>
      </c>
      <c r="AO585" t="s">
        <v>8588</v>
      </c>
      <c r="AP585" t="s">
        <v>74</v>
      </c>
      <c r="AQ585" t="s">
        <v>74</v>
      </c>
      <c r="AR585" t="s">
        <v>8589</v>
      </c>
      <c r="AS585" t="s">
        <v>8590</v>
      </c>
      <c r="AT585" t="s">
        <v>9572</v>
      </c>
      <c r="AU585">
        <v>2009</v>
      </c>
      <c r="AV585">
        <v>82</v>
      </c>
      <c r="AW585">
        <v>4</v>
      </c>
      <c r="AX585" t="s">
        <v>74</v>
      </c>
      <c r="AY585" t="s">
        <v>74</v>
      </c>
      <c r="AZ585" t="s">
        <v>74</v>
      </c>
      <c r="BA585" t="s">
        <v>74</v>
      </c>
      <c r="BB585">
        <v>281</v>
      </c>
      <c r="BC585">
        <v>325</v>
      </c>
      <c r="BD585" t="s">
        <v>74</v>
      </c>
      <c r="BE585" t="s">
        <v>10817</v>
      </c>
      <c r="BF585" t="str">
        <f>HYPERLINK("http://dx.doi.org/10.1016/j.pocean.2009.08.002","http://dx.doi.org/10.1016/j.pocean.2009.08.002")</f>
        <v>http://dx.doi.org/10.1016/j.pocean.2009.08.002</v>
      </c>
      <c r="BG585" t="s">
        <v>74</v>
      </c>
      <c r="BH585" t="s">
        <v>74</v>
      </c>
      <c r="BI585">
        <v>45</v>
      </c>
      <c r="BJ585" t="s">
        <v>806</v>
      </c>
      <c r="BK585" t="s">
        <v>98</v>
      </c>
      <c r="BL585" t="s">
        <v>806</v>
      </c>
      <c r="BM585" t="s">
        <v>10818</v>
      </c>
      <c r="BN585" t="s">
        <v>74</v>
      </c>
      <c r="BO585" t="s">
        <v>1119</v>
      </c>
      <c r="BP585" t="s">
        <v>74</v>
      </c>
      <c r="BQ585" t="s">
        <v>74</v>
      </c>
      <c r="BR585" t="s">
        <v>101</v>
      </c>
      <c r="BS585" t="s">
        <v>10819</v>
      </c>
      <c r="BT585" t="str">
        <f>HYPERLINK("https%3A%2F%2Fwww.webofscience.com%2Fwos%2Fwoscc%2Ffull-record%2FWOS:000272428200005","View Full Record in Web of Science")</f>
        <v>View Full Record in Web of Science</v>
      </c>
    </row>
    <row r="586" spans="1:72" x14ac:dyDescent="0.15">
      <c r="A586" t="s">
        <v>72</v>
      </c>
      <c r="B586" t="s">
        <v>10820</v>
      </c>
      <c r="C586" t="s">
        <v>74</v>
      </c>
      <c r="D586" t="s">
        <v>74</v>
      </c>
      <c r="E586" t="s">
        <v>74</v>
      </c>
      <c r="F586" t="s">
        <v>10821</v>
      </c>
      <c r="G586" t="s">
        <v>74</v>
      </c>
      <c r="H586" t="s">
        <v>74</v>
      </c>
      <c r="I586" t="s">
        <v>10822</v>
      </c>
      <c r="J586" t="s">
        <v>10823</v>
      </c>
      <c r="K586" t="s">
        <v>74</v>
      </c>
      <c r="L586" t="s">
        <v>74</v>
      </c>
      <c r="M586" t="s">
        <v>78</v>
      </c>
      <c r="N586" t="s">
        <v>52</v>
      </c>
      <c r="O586" t="s">
        <v>10824</v>
      </c>
      <c r="P586" t="s">
        <v>10825</v>
      </c>
      <c r="Q586" t="s">
        <v>8813</v>
      </c>
      <c r="R586" t="s">
        <v>74</v>
      </c>
      <c r="S586" t="s">
        <v>74</v>
      </c>
      <c r="T586" t="s">
        <v>10826</v>
      </c>
      <c r="U586" t="s">
        <v>74</v>
      </c>
      <c r="V586" t="s">
        <v>74</v>
      </c>
      <c r="W586" t="s">
        <v>10827</v>
      </c>
      <c r="X586" t="s">
        <v>10828</v>
      </c>
      <c r="Y586" t="s">
        <v>74</v>
      </c>
      <c r="Z586" t="s">
        <v>74</v>
      </c>
      <c r="AA586" t="s">
        <v>10829</v>
      </c>
      <c r="AB586" t="s">
        <v>10830</v>
      </c>
      <c r="AC586" t="s">
        <v>74</v>
      </c>
      <c r="AD586" t="s">
        <v>74</v>
      </c>
      <c r="AE586" t="s">
        <v>74</v>
      </c>
      <c r="AF586" t="s">
        <v>74</v>
      </c>
      <c r="AG586">
        <v>0</v>
      </c>
      <c r="AH586">
        <v>0</v>
      </c>
      <c r="AI586">
        <v>0</v>
      </c>
      <c r="AJ586">
        <v>0</v>
      </c>
      <c r="AK586">
        <v>7</v>
      </c>
      <c r="AL586" t="s">
        <v>3033</v>
      </c>
      <c r="AM586" t="s">
        <v>2046</v>
      </c>
      <c r="AN586" t="s">
        <v>2047</v>
      </c>
      <c r="AO586" t="s">
        <v>10831</v>
      </c>
      <c r="AP586" t="s">
        <v>74</v>
      </c>
      <c r="AQ586" t="s">
        <v>74</v>
      </c>
      <c r="AR586" t="s">
        <v>10823</v>
      </c>
      <c r="AS586" t="s">
        <v>10832</v>
      </c>
      <c r="AT586" t="s">
        <v>9572</v>
      </c>
      <c r="AU586">
        <v>2009</v>
      </c>
      <c r="AV586">
        <v>46</v>
      </c>
      <c r="AW586" t="s">
        <v>74</v>
      </c>
      <c r="AX586" t="s">
        <v>74</v>
      </c>
      <c r="AY586">
        <v>1</v>
      </c>
      <c r="AZ586" t="s">
        <v>74</v>
      </c>
      <c r="BA586" t="s">
        <v>74</v>
      </c>
      <c r="BB586" t="s">
        <v>10833</v>
      </c>
      <c r="BC586" t="s">
        <v>10833</v>
      </c>
      <c r="BD586" t="s">
        <v>74</v>
      </c>
      <c r="BE586" t="s">
        <v>74</v>
      </c>
      <c r="BF586" t="s">
        <v>74</v>
      </c>
      <c r="BG586" t="s">
        <v>74</v>
      </c>
      <c r="BH586" t="s">
        <v>74</v>
      </c>
      <c r="BI586">
        <v>1</v>
      </c>
      <c r="BJ586" t="s">
        <v>10834</v>
      </c>
      <c r="BK586" t="s">
        <v>10835</v>
      </c>
      <c r="BL586" t="s">
        <v>10836</v>
      </c>
      <c r="BM586" t="s">
        <v>10837</v>
      </c>
      <c r="BN586" t="s">
        <v>74</v>
      </c>
      <c r="BO586" t="s">
        <v>74</v>
      </c>
      <c r="BP586" t="s">
        <v>74</v>
      </c>
      <c r="BQ586" t="s">
        <v>74</v>
      </c>
      <c r="BR586" t="s">
        <v>101</v>
      </c>
      <c r="BS586" t="s">
        <v>10838</v>
      </c>
      <c r="BT586" t="str">
        <f>HYPERLINK("https%3A%2F%2Fwww.webofscience.com%2Fwos%2Fwoscc%2Ffull-record%2FWOS:000269744700580","View Full Record in Web of Science")</f>
        <v>View Full Record in Web of Science</v>
      </c>
    </row>
    <row r="587" spans="1:72" x14ac:dyDescent="0.15">
      <c r="A587" t="s">
        <v>72</v>
      </c>
      <c r="B587" t="s">
        <v>10839</v>
      </c>
      <c r="C587" t="s">
        <v>74</v>
      </c>
      <c r="D587" t="s">
        <v>74</v>
      </c>
      <c r="E587" t="s">
        <v>74</v>
      </c>
      <c r="F587" t="s">
        <v>10840</v>
      </c>
      <c r="G587" t="s">
        <v>74</v>
      </c>
      <c r="H587" t="s">
        <v>74</v>
      </c>
      <c r="I587" t="s">
        <v>10841</v>
      </c>
      <c r="J587" t="s">
        <v>10842</v>
      </c>
      <c r="K587" t="s">
        <v>74</v>
      </c>
      <c r="L587" t="s">
        <v>74</v>
      </c>
      <c r="M587" t="s">
        <v>78</v>
      </c>
      <c r="N587" t="s">
        <v>79</v>
      </c>
      <c r="O587" t="s">
        <v>74</v>
      </c>
      <c r="P587" t="s">
        <v>74</v>
      </c>
      <c r="Q587" t="s">
        <v>74</v>
      </c>
      <c r="R587" t="s">
        <v>74</v>
      </c>
      <c r="S587" t="s">
        <v>74</v>
      </c>
      <c r="T587" t="s">
        <v>74</v>
      </c>
      <c r="U587" t="s">
        <v>10843</v>
      </c>
      <c r="V587" t="s">
        <v>10844</v>
      </c>
      <c r="W587" t="s">
        <v>10845</v>
      </c>
      <c r="X587" t="s">
        <v>10846</v>
      </c>
      <c r="Y587" t="s">
        <v>10847</v>
      </c>
      <c r="Z587" t="s">
        <v>10848</v>
      </c>
      <c r="AA587" t="s">
        <v>10849</v>
      </c>
      <c r="AB587" t="s">
        <v>10850</v>
      </c>
      <c r="AC587" t="s">
        <v>10851</v>
      </c>
      <c r="AD587" t="s">
        <v>10852</v>
      </c>
      <c r="AE587" t="s">
        <v>74</v>
      </c>
      <c r="AF587" t="s">
        <v>74</v>
      </c>
      <c r="AG587">
        <v>33</v>
      </c>
      <c r="AH587">
        <v>71</v>
      </c>
      <c r="AI587">
        <v>75</v>
      </c>
      <c r="AJ587">
        <v>0</v>
      </c>
      <c r="AK587">
        <v>4</v>
      </c>
      <c r="AL587" t="s">
        <v>3084</v>
      </c>
      <c r="AM587" t="s">
        <v>3085</v>
      </c>
      <c r="AN587" t="s">
        <v>3086</v>
      </c>
      <c r="AO587" t="s">
        <v>10853</v>
      </c>
      <c r="AP587" t="s">
        <v>10854</v>
      </c>
      <c r="AQ587" t="s">
        <v>74</v>
      </c>
      <c r="AR587" t="s">
        <v>10855</v>
      </c>
      <c r="AS587" t="s">
        <v>10856</v>
      </c>
      <c r="AT587" t="s">
        <v>9572</v>
      </c>
      <c r="AU587">
        <v>2009</v>
      </c>
      <c r="AV587">
        <v>121</v>
      </c>
      <c r="AW587">
        <v>883</v>
      </c>
      <c r="AX587" t="s">
        <v>74</v>
      </c>
      <c r="AY587" t="s">
        <v>74</v>
      </c>
      <c r="AZ587" t="s">
        <v>74</v>
      </c>
      <c r="BA587" t="s">
        <v>74</v>
      </c>
      <c r="BB587">
        <v>976</v>
      </c>
      <c r="BC587">
        <v>992</v>
      </c>
      <c r="BD587" t="s">
        <v>74</v>
      </c>
      <c r="BE587" t="s">
        <v>10857</v>
      </c>
      <c r="BF587" t="str">
        <f>HYPERLINK("http://dx.doi.org/10.1086/605780","http://dx.doi.org/10.1086/605780")</f>
        <v>http://dx.doi.org/10.1086/605780</v>
      </c>
      <c r="BG587" t="s">
        <v>74</v>
      </c>
      <c r="BH587" t="s">
        <v>74</v>
      </c>
      <c r="BI587">
        <v>17</v>
      </c>
      <c r="BJ587" t="s">
        <v>1003</v>
      </c>
      <c r="BK587" t="s">
        <v>98</v>
      </c>
      <c r="BL587" t="s">
        <v>1003</v>
      </c>
      <c r="BM587" t="s">
        <v>10858</v>
      </c>
      <c r="BN587" t="s">
        <v>74</v>
      </c>
      <c r="BO587" t="s">
        <v>1119</v>
      </c>
      <c r="BP587" t="s">
        <v>74</v>
      </c>
      <c r="BQ587" t="s">
        <v>74</v>
      </c>
      <c r="BR587" t="s">
        <v>101</v>
      </c>
      <c r="BS587" t="s">
        <v>10859</v>
      </c>
      <c r="BT587" t="str">
        <f>HYPERLINK("https%3A%2F%2Fwww.webofscience.com%2Fwos%2Fwoscc%2Ffull-record%2FWOS:000269232300005","View Full Record in Web of Science")</f>
        <v>View Full Record in Web of Science</v>
      </c>
    </row>
    <row r="588" spans="1:72" x14ac:dyDescent="0.15">
      <c r="A588" t="s">
        <v>72</v>
      </c>
      <c r="B588" t="s">
        <v>10860</v>
      </c>
      <c r="C588" t="s">
        <v>74</v>
      </c>
      <c r="D588" t="s">
        <v>74</v>
      </c>
      <c r="E588" t="s">
        <v>74</v>
      </c>
      <c r="F588" t="s">
        <v>10861</v>
      </c>
      <c r="G588" t="s">
        <v>74</v>
      </c>
      <c r="H588" t="s">
        <v>74</v>
      </c>
      <c r="I588" t="s">
        <v>10862</v>
      </c>
      <c r="J588" t="s">
        <v>3295</v>
      </c>
      <c r="K588" t="s">
        <v>74</v>
      </c>
      <c r="L588" t="s">
        <v>74</v>
      </c>
      <c r="M588" t="s">
        <v>78</v>
      </c>
      <c r="N588" t="s">
        <v>297</v>
      </c>
      <c r="O588" t="s">
        <v>74</v>
      </c>
      <c r="P588" t="s">
        <v>74</v>
      </c>
      <c r="Q588" t="s">
        <v>74</v>
      </c>
      <c r="R588" t="s">
        <v>74</v>
      </c>
      <c r="S588" t="s">
        <v>74</v>
      </c>
      <c r="T588" t="s">
        <v>74</v>
      </c>
      <c r="U588" t="s">
        <v>10863</v>
      </c>
      <c r="V588" t="s">
        <v>10864</v>
      </c>
      <c r="W588" t="s">
        <v>10865</v>
      </c>
      <c r="X588" t="s">
        <v>10866</v>
      </c>
      <c r="Y588" t="s">
        <v>10867</v>
      </c>
      <c r="Z588" t="s">
        <v>10868</v>
      </c>
      <c r="AA588" t="s">
        <v>74</v>
      </c>
      <c r="AB588" t="s">
        <v>74</v>
      </c>
      <c r="AC588" t="s">
        <v>10869</v>
      </c>
      <c r="AD588" t="s">
        <v>10870</v>
      </c>
      <c r="AE588" t="s">
        <v>10871</v>
      </c>
      <c r="AF588" t="s">
        <v>74</v>
      </c>
      <c r="AG588">
        <v>144</v>
      </c>
      <c r="AH588">
        <v>17</v>
      </c>
      <c r="AI588">
        <v>18</v>
      </c>
      <c r="AJ588">
        <v>0</v>
      </c>
      <c r="AK588">
        <v>16</v>
      </c>
      <c r="AL588" t="s">
        <v>1894</v>
      </c>
      <c r="AM588" t="s">
        <v>1895</v>
      </c>
      <c r="AN588" t="s">
        <v>1896</v>
      </c>
      <c r="AO588" t="s">
        <v>3307</v>
      </c>
      <c r="AP588" t="s">
        <v>74</v>
      </c>
      <c r="AQ588" t="s">
        <v>74</v>
      </c>
      <c r="AR588" t="s">
        <v>3308</v>
      </c>
      <c r="AS588" t="s">
        <v>3309</v>
      </c>
      <c r="AT588" t="s">
        <v>9572</v>
      </c>
      <c r="AU588">
        <v>2009</v>
      </c>
      <c r="AV588">
        <v>28</v>
      </c>
      <c r="AW588" t="s">
        <v>9826</v>
      </c>
      <c r="AX588" t="s">
        <v>74</v>
      </c>
      <c r="AY588" t="s">
        <v>74</v>
      </c>
      <c r="AZ588" t="s">
        <v>74</v>
      </c>
      <c r="BA588" t="s">
        <v>74</v>
      </c>
      <c r="BB588">
        <v>1831</v>
      </c>
      <c r="BC588">
        <v>1849</v>
      </c>
      <c r="BD588" t="s">
        <v>74</v>
      </c>
      <c r="BE588" t="s">
        <v>10872</v>
      </c>
      <c r="BF588" t="str">
        <f>HYPERLINK("http://dx.doi.org/10.1016/j.quascirev.2009.06.004","http://dx.doi.org/10.1016/j.quascirev.2009.06.004")</f>
        <v>http://dx.doi.org/10.1016/j.quascirev.2009.06.004</v>
      </c>
      <c r="BG588" t="s">
        <v>74</v>
      </c>
      <c r="BH588" t="s">
        <v>74</v>
      </c>
      <c r="BI588">
        <v>19</v>
      </c>
      <c r="BJ588" t="s">
        <v>2121</v>
      </c>
      <c r="BK588" t="s">
        <v>98</v>
      </c>
      <c r="BL588" t="s">
        <v>2122</v>
      </c>
      <c r="BM588" t="s">
        <v>10873</v>
      </c>
      <c r="BN588" t="s">
        <v>74</v>
      </c>
      <c r="BO588" t="s">
        <v>765</v>
      </c>
      <c r="BP588" t="s">
        <v>74</v>
      </c>
      <c r="BQ588" t="s">
        <v>74</v>
      </c>
      <c r="BR588" t="s">
        <v>101</v>
      </c>
      <c r="BS588" t="s">
        <v>10874</v>
      </c>
      <c r="BT588" t="str">
        <f>HYPERLINK("https%3A%2F%2Fwww.webofscience.com%2Fwos%2Fwoscc%2Ffull-record%2FWOS:000269276300004","View Full Record in Web of Science")</f>
        <v>View Full Record in Web of Science</v>
      </c>
    </row>
    <row r="589" spans="1:72" x14ac:dyDescent="0.15">
      <c r="A589" t="s">
        <v>72</v>
      </c>
      <c r="B589" t="s">
        <v>10875</v>
      </c>
      <c r="C589" t="s">
        <v>74</v>
      </c>
      <c r="D589" t="s">
        <v>74</v>
      </c>
      <c r="E589" t="s">
        <v>74</v>
      </c>
      <c r="F589" t="s">
        <v>10876</v>
      </c>
      <c r="G589" t="s">
        <v>74</v>
      </c>
      <c r="H589" t="s">
        <v>74</v>
      </c>
      <c r="I589" t="s">
        <v>10877</v>
      </c>
      <c r="J589" t="s">
        <v>3507</v>
      </c>
      <c r="K589" t="s">
        <v>74</v>
      </c>
      <c r="L589" t="s">
        <v>74</v>
      </c>
      <c r="M589" t="s">
        <v>78</v>
      </c>
      <c r="N589" t="s">
        <v>79</v>
      </c>
      <c r="O589" t="s">
        <v>74</v>
      </c>
      <c r="P589" t="s">
        <v>74</v>
      </c>
      <c r="Q589" t="s">
        <v>74</v>
      </c>
      <c r="R589" t="s">
        <v>74</v>
      </c>
      <c r="S589" t="s">
        <v>74</v>
      </c>
      <c r="T589" t="s">
        <v>10878</v>
      </c>
      <c r="U589" t="s">
        <v>10879</v>
      </c>
      <c r="V589" t="s">
        <v>10880</v>
      </c>
      <c r="W589" t="s">
        <v>10881</v>
      </c>
      <c r="X589" t="s">
        <v>10882</v>
      </c>
      <c r="Y589" t="s">
        <v>10883</v>
      </c>
      <c r="Z589" t="s">
        <v>10884</v>
      </c>
      <c r="AA589" t="s">
        <v>74</v>
      </c>
      <c r="AB589" t="s">
        <v>10885</v>
      </c>
      <c r="AC589" t="s">
        <v>10886</v>
      </c>
      <c r="AD589" t="s">
        <v>10887</v>
      </c>
      <c r="AE589" t="s">
        <v>10888</v>
      </c>
      <c r="AF589" t="s">
        <v>74</v>
      </c>
      <c r="AG589">
        <v>66</v>
      </c>
      <c r="AH589">
        <v>39</v>
      </c>
      <c r="AI589">
        <v>43</v>
      </c>
      <c r="AJ589">
        <v>0</v>
      </c>
      <c r="AK589">
        <v>3</v>
      </c>
      <c r="AL589" t="s">
        <v>305</v>
      </c>
      <c r="AM589" t="s">
        <v>281</v>
      </c>
      <c r="AN589" t="s">
        <v>306</v>
      </c>
      <c r="AO589" t="s">
        <v>3518</v>
      </c>
      <c r="AP589" t="s">
        <v>3519</v>
      </c>
      <c r="AQ589" t="s">
        <v>74</v>
      </c>
      <c r="AR589" t="s">
        <v>3520</v>
      </c>
      <c r="AS589" t="s">
        <v>3521</v>
      </c>
      <c r="AT589" t="s">
        <v>9572</v>
      </c>
      <c r="AU589">
        <v>2009</v>
      </c>
      <c r="AV589">
        <v>156</v>
      </c>
      <c r="AW589" t="s">
        <v>288</v>
      </c>
      <c r="AX589" t="s">
        <v>74</v>
      </c>
      <c r="AY589" t="s">
        <v>74</v>
      </c>
      <c r="AZ589" t="s">
        <v>74</v>
      </c>
      <c r="BA589" t="s">
        <v>74</v>
      </c>
      <c r="BB589">
        <v>436</v>
      </c>
      <c r="BC589">
        <v>448</v>
      </c>
      <c r="BD589" t="s">
        <v>74</v>
      </c>
      <c r="BE589" t="s">
        <v>10889</v>
      </c>
      <c r="BF589" t="str">
        <f>HYPERLINK("http://dx.doi.org/10.1016/j.revpalbo.2009.04.009","http://dx.doi.org/10.1016/j.revpalbo.2009.04.009")</f>
        <v>http://dx.doi.org/10.1016/j.revpalbo.2009.04.009</v>
      </c>
      <c r="BG589" t="s">
        <v>74</v>
      </c>
      <c r="BH589" t="s">
        <v>74</v>
      </c>
      <c r="BI589">
        <v>13</v>
      </c>
      <c r="BJ589" t="s">
        <v>3523</v>
      </c>
      <c r="BK589" t="s">
        <v>98</v>
      </c>
      <c r="BL589" t="s">
        <v>3523</v>
      </c>
      <c r="BM589" t="s">
        <v>10890</v>
      </c>
      <c r="BN589" t="s">
        <v>74</v>
      </c>
      <c r="BO589" t="s">
        <v>1381</v>
      </c>
      <c r="BP589" t="s">
        <v>74</v>
      </c>
      <c r="BQ589" t="s">
        <v>74</v>
      </c>
      <c r="BR589" t="s">
        <v>101</v>
      </c>
      <c r="BS589" t="s">
        <v>10891</v>
      </c>
      <c r="BT589" t="str">
        <f>HYPERLINK("https%3A%2F%2Fwww.webofscience.com%2Fwos%2Fwoscc%2Ffull-record%2FWOS:000271335300015","View Full Record in Web of Science")</f>
        <v>View Full Record in Web of Science</v>
      </c>
    </row>
    <row r="590" spans="1:72" x14ac:dyDescent="0.15">
      <c r="A590" t="s">
        <v>72</v>
      </c>
      <c r="B590" t="s">
        <v>10892</v>
      </c>
      <c r="C590" t="s">
        <v>74</v>
      </c>
      <c r="D590" t="s">
        <v>74</v>
      </c>
      <c r="E590" t="s">
        <v>74</v>
      </c>
      <c r="F590" t="s">
        <v>10893</v>
      </c>
      <c r="G590" t="s">
        <v>74</v>
      </c>
      <c r="H590" t="s">
        <v>74</v>
      </c>
      <c r="I590" t="s">
        <v>10894</v>
      </c>
      <c r="J590" t="s">
        <v>10895</v>
      </c>
      <c r="K590" t="s">
        <v>74</v>
      </c>
      <c r="L590" t="s">
        <v>74</v>
      </c>
      <c r="M590" t="s">
        <v>78</v>
      </c>
      <c r="N590" t="s">
        <v>79</v>
      </c>
      <c r="O590" t="s">
        <v>74</v>
      </c>
      <c r="P590" t="s">
        <v>74</v>
      </c>
      <c r="Q590" t="s">
        <v>74</v>
      </c>
      <c r="R590" t="s">
        <v>74</v>
      </c>
      <c r="S590" t="s">
        <v>74</v>
      </c>
      <c r="T590" t="s">
        <v>74</v>
      </c>
      <c r="U590" t="s">
        <v>74</v>
      </c>
      <c r="V590" t="s">
        <v>10896</v>
      </c>
      <c r="W590" t="s">
        <v>10897</v>
      </c>
      <c r="X590" t="s">
        <v>10898</v>
      </c>
      <c r="Y590" t="s">
        <v>10899</v>
      </c>
      <c r="Z590" t="s">
        <v>74</v>
      </c>
      <c r="AA590" t="s">
        <v>74</v>
      </c>
      <c r="AB590" t="s">
        <v>74</v>
      </c>
      <c r="AC590" t="s">
        <v>10900</v>
      </c>
      <c r="AD590" t="s">
        <v>2800</v>
      </c>
      <c r="AE590" t="s">
        <v>10901</v>
      </c>
      <c r="AF590" t="s">
        <v>74</v>
      </c>
      <c r="AG590">
        <v>12</v>
      </c>
      <c r="AH590">
        <v>3</v>
      </c>
      <c r="AI590">
        <v>3</v>
      </c>
      <c r="AJ590">
        <v>2</v>
      </c>
      <c r="AK590">
        <v>8</v>
      </c>
      <c r="AL590" t="s">
        <v>10902</v>
      </c>
      <c r="AM590" t="s">
        <v>684</v>
      </c>
      <c r="AN590" t="s">
        <v>10903</v>
      </c>
      <c r="AO590" t="s">
        <v>10904</v>
      </c>
      <c r="AP590" t="s">
        <v>74</v>
      </c>
      <c r="AQ590" t="s">
        <v>74</v>
      </c>
      <c r="AR590" t="s">
        <v>10905</v>
      </c>
      <c r="AS590" t="s">
        <v>10906</v>
      </c>
      <c r="AT590" t="s">
        <v>9572</v>
      </c>
      <c r="AU590">
        <v>2009</v>
      </c>
      <c r="AV590">
        <v>34</v>
      </c>
      <c r="AW590">
        <v>9</v>
      </c>
      <c r="AX590" t="s">
        <v>74</v>
      </c>
      <c r="AY590" t="s">
        <v>74</v>
      </c>
      <c r="AZ590" t="s">
        <v>74</v>
      </c>
      <c r="BA590" t="s">
        <v>74</v>
      </c>
      <c r="BB590">
        <v>613</v>
      </c>
      <c r="BC590">
        <v>617</v>
      </c>
      <c r="BD590" t="s">
        <v>74</v>
      </c>
      <c r="BE590" t="s">
        <v>10907</v>
      </c>
      <c r="BF590" t="str">
        <f>HYPERLINK("http://dx.doi.org/10.3103/S1068373909090064","http://dx.doi.org/10.3103/S1068373909090064")</f>
        <v>http://dx.doi.org/10.3103/S1068373909090064</v>
      </c>
      <c r="BG590" t="s">
        <v>74</v>
      </c>
      <c r="BH590" t="s">
        <v>74</v>
      </c>
      <c r="BI590">
        <v>5</v>
      </c>
      <c r="BJ590" t="s">
        <v>413</v>
      </c>
      <c r="BK590" t="s">
        <v>98</v>
      </c>
      <c r="BL590" t="s">
        <v>413</v>
      </c>
      <c r="BM590" t="s">
        <v>10908</v>
      </c>
      <c r="BN590" t="s">
        <v>74</v>
      </c>
      <c r="BO590" t="s">
        <v>74</v>
      </c>
      <c r="BP590" t="s">
        <v>74</v>
      </c>
      <c r="BQ590" t="s">
        <v>74</v>
      </c>
      <c r="BR590" t="s">
        <v>101</v>
      </c>
      <c r="BS590" t="s">
        <v>10909</v>
      </c>
      <c r="BT590" t="str">
        <f>HYPERLINK("https%3A%2F%2Fwww.webofscience.com%2Fwos%2Fwoscc%2Ffull-record%2FWOS:000272431000006","View Full Record in Web of Science")</f>
        <v>View Full Record in Web of Science</v>
      </c>
    </row>
    <row r="591" spans="1:72" x14ac:dyDescent="0.15">
      <c r="A591" t="s">
        <v>72</v>
      </c>
      <c r="B591" t="s">
        <v>10910</v>
      </c>
      <c r="C591" t="s">
        <v>74</v>
      </c>
      <c r="D591" t="s">
        <v>74</v>
      </c>
      <c r="E591" t="s">
        <v>74</v>
      </c>
      <c r="F591" t="s">
        <v>10911</v>
      </c>
      <c r="G591" t="s">
        <v>74</v>
      </c>
      <c r="H591" t="s">
        <v>74</v>
      </c>
      <c r="I591" t="s">
        <v>10912</v>
      </c>
      <c r="J591" t="s">
        <v>8751</v>
      </c>
      <c r="K591" t="s">
        <v>74</v>
      </c>
      <c r="L591" t="s">
        <v>74</v>
      </c>
      <c r="M591" t="s">
        <v>78</v>
      </c>
      <c r="N591" t="s">
        <v>79</v>
      </c>
      <c r="O591" t="s">
        <v>74</v>
      </c>
      <c r="P591" t="s">
        <v>74</v>
      </c>
      <c r="Q591" t="s">
        <v>74</v>
      </c>
      <c r="R591" t="s">
        <v>74</v>
      </c>
      <c r="S591" t="s">
        <v>74</v>
      </c>
      <c r="T591" t="s">
        <v>10913</v>
      </c>
      <c r="U591" t="s">
        <v>10914</v>
      </c>
      <c r="V591" t="s">
        <v>10915</v>
      </c>
      <c r="W591" t="s">
        <v>10916</v>
      </c>
      <c r="X591" t="s">
        <v>10917</v>
      </c>
      <c r="Y591" t="s">
        <v>10918</v>
      </c>
      <c r="Z591" t="s">
        <v>10919</v>
      </c>
      <c r="AA591" t="s">
        <v>74</v>
      </c>
      <c r="AB591" t="s">
        <v>74</v>
      </c>
      <c r="AC591" t="s">
        <v>10920</v>
      </c>
      <c r="AD591" t="s">
        <v>10921</v>
      </c>
      <c r="AE591" t="s">
        <v>10922</v>
      </c>
      <c r="AF591" t="s">
        <v>74</v>
      </c>
      <c r="AG591">
        <v>45</v>
      </c>
      <c r="AH591">
        <v>2</v>
      </c>
      <c r="AI591">
        <v>3</v>
      </c>
      <c r="AJ591">
        <v>0</v>
      </c>
      <c r="AK591">
        <v>27</v>
      </c>
      <c r="AL591" t="s">
        <v>1764</v>
      </c>
      <c r="AM591" t="s">
        <v>1765</v>
      </c>
      <c r="AN591" t="s">
        <v>1766</v>
      </c>
      <c r="AO591" t="s">
        <v>8763</v>
      </c>
      <c r="AP591" t="s">
        <v>74</v>
      </c>
      <c r="AQ591" t="s">
        <v>74</v>
      </c>
      <c r="AR591" t="s">
        <v>8764</v>
      </c>
      <c r="AS591" t="s">
        <v>8765</v>
      </c>
      <c r="AT591" t="s">
        <v>9572</v>
      </c>
      <c r="AU591">
        <v>2009</v>
      </c>
      <c r="AV591">
        <v>52</v>
      </c>
      <c r="AW591">
        <v>9</v>
      </c>
      <c r="AX591" t="s">
        <v>74</v>
      </c>
      <c r="AY591" t="s">
        <v>74</v>
      </c>
      <c r="AZ591" t="s">
        <v>74</v>
      </c>
      <c r="BA591" t="s">
        <v>74</v>
      </c>
      <c r="BB591">
        <v>1426</v>
      </c>
      <c r="BC591">
        <v>1435</v>
      </c>
      <c r="BD591" t="s">
        <v>74</v>
      </c>
      <c r="BE591" t="s">
        <v>10923</v>
      </c>
      <c r="BF591" t="str">
        <f>HYPERLINK("http://dx.doi.org/10.1007/s11430-009-0141-9","http://dx.doi.org/10.1007/s11430-009-0141-9")</f>
        <v>http://dx.doi.org/10.1007/s11430-009-0141-9</v>
      </c>
      <c r="BG591" t="s">
        <v>74</v>
      </c>
      <c r="BH591" t="s">
        <v>74</v>
      </c>
      <c r="BI591">
        <v>10</v>
      </c>
      <c r="BJ591" t="s">
        <v>464</v>
      </c>
      <c r="BK591" t="s">
        <v>98</v>
      </c>
      <c r="BL591" t="s">
        <v>465</v>
      </c>
      <c r="BM591" t="s">
        <v>10924</v>
      </c>
      <c r="BN591" t="s">
        <v>74</v>
      </c>
      <c r="BO591" t="s">
        <v>74</v>
      </c>
      <c r="BP591" t="s">
        <v>74</v>
      </c>
      <c r="BQ591" t="s">
        <v>74</v>
      </c>
      <c r="BR591" t="s">
        <v>101</v>
      </c>
      <c r="BS591" t="s">
        <v>10925</v>
      </c>
      <c r="BT591" t="str">
        <f>HYPERLINK("https%3A%2F%2Fwww.webofscience.com%2Fwos%2Fwoscc%2Ffull-record%2FWOS:000269974200014","View Full Record in Web of Science")</f>
        <v>View Full Record in Web of Science</v>
      </c>
    </row>
    <row r="592" spans="1:72" x14ac:dyDescent="0.15">
      <c r="A592" t="s">
        <v>72</v>
      </c>
      <c r="B592" t="s">
        <v>10926</v>
      </c>
      <c r="C592" t="s">
        <v>74</v>
      </c>
      <c r="D592" t="s">
        <v>74</v>
      </c>
      <c r="E592" t="s">
        <v>74</v>
      </c>
      <c r="F592" t="s">
        <v>10927</v>
      </c>
      <c r="G592" t="s">
        <v>74</v>
      </c>
      <c r="H592" t="s">
        <v>74</v>
      </c>
      <c r="I592" t="s">
        <v>10928</v>
      </c>
      <c r="J592" t="s">
        <v>10929</v>
      </c>
      <c r="K592" t="s">
        <v>74</v>
      </c>
      <c r="L592" t="s">
        <v>74</v>
      </c>
      <c r="M592" t="s">
        <v>78</v>
      </c>
      <c r="N592" t="s">
        <v>79</v>
      </c>
      <c r="O592" t="s">
        <v>74</v>
      </c>
      <c r="P592" t="s">
        <v>74</v>
      </c>
      <c r="Q592" t="s">
        <v>74</v>
      </c>
      <c r="R592" t="s">
        <v>74</v>
      </c>
      <c r="S592" t="s">
        <v>74</v>
      </c>
      <c r="T592" t="s">
        <v>10930</v>
      </c>
      <c r="U592" t="s">
        <v>10931</v>
      </c>
      <c r="V592" t="s">
        <v>10932</v>
      </c>
      <c r="W592" t="s">
        <v>10933</v>
      </c>
      <c r="X592" t="s">
        <v>10934</v>
      </c>
      <c r="Y592" t="s">
        <v>10935</v>
      </c>
      <c r="Z592" t="s">
        <v>10936</v>
      </c>
      <c r="AA592" t="s">
        <v>74</v>
      </c>
      <c r="AB592" t="s">
        <v>74</v>
      </c>
      <c r="AC592" t="s">
        <v>10937</v>
      </c>
      <c r="AD592" t="s">
        <v>10938</v>
      </c>
      <c r="AE592" t="s">
        <v>10939</v>
      </c>
      <c r="AF592" t="s">
        <v>74</v>
      </c>
      <c r="AG592">
        <v>33</v>
      </c>
      <c r="AH592">
        <v>6</v>
      </c>
      <c r="AI592">
        <v>7</v>
      </c>
      <c r="AJ592">
        <v>1</v>
      </c>
      <c r="AK592">
        <v>15</v>
      </c>
      <c r="AL592" t="s">
        <v>10940</v>
      </c>
      <c r="AM592" t="s">
        <v>10941</v>
      </c>
      <c r="AN592" t="s">
        <v>10942</v>
      </c>
      <c r="AO592" t="s">
        <v>10943</v>
      </c>
      <c r="AP592" t="s">
        <v>74</v>
      </c>
      <c r="AQ592" t="s">
        <v>74</v>
      </c>
      <c r="AR592" t="s">
        <v>10929</v>
      </c>
      <c r="AS592" t="s">
        <v>10944</v>
      </c>
      <c r="AT592" t="s">
        <v>9572</v>
      </c>
      <c r="AU592">
        <v>2009</v>
      </c>
      <c r="AV592">
        <v>35</v>
      </c>
      <c r="AW592">
        <v>3</v>
      </c>
      <c r="AX592" t="s">
        <v>74</v>
      </c>
      <c r="AY592" t="s">
        <v>74</v>
      </c>
      <c r="AZ592" t="s">
        <v>74</v>
      </c>
      <c r="BA592" t="s">
        <v>74</v>
      </c>
      <c r="BB592">
        <v>215</v>
      </c>
      <c r="BC592">
        <v>219</v>
      </c>
      <c r="BD592" t="s">
        <v>74</v>
      </c>
      <c r="BE592" t="s">
        <v>10945</v>
      </c>
      <c r="BF592" t="str">
        <f>HYPERLINK("http://dx.doi.org/10.2306/scienceasia1513-1874.2009.35.215","http://dx.doi.org/10.2306/scienceasia1513-1874.2009.35.215")</f>
        <v>http://dx.doi.org/10.2306/scienceasia1513-1874.2009.35.215</v>
      </c>
      <c r="BG592" t="s">
        <v>74</v>
      </c>
      <c r="BH592" t="s">
        <v>74</v>
      </c>
      <c r="BI592">
        <v>5</v>
      </c>
      <c r="BJ592" t="s">
        <v>388</v>
      </c>
      <c r="BK592" t="s">
        <v>98</v>
      </c>
      <c r="BL592" t="s">
        <v>389</v>
      </c>
      <c r="BM592" t="s">
        <v>10946</v>
      </c>
      <c r="BN592" t="s">
        <v>74</v>
      </c>
      <c r="BO592" t="s">
        <v>263</v>
      </c>
      <c r="BP592" t="s">
        <v>74</v>
      </c>
      <c r="BQ592" t="s">
        <v>74</v>
      </c>
      <c r="BR592" t="s">
        <v>101</v>
      </c>
      <c r="BS592" t="s">
        <v>10947</v>
      </c>
      <c r="BT592" t="str">
        <f>HYPERLINK("https%3A%2F%2Fwww.webofscience.com%2Fwos%2Fwoscc%2Ffull-record%2FWOS:000270654800001","View Full Record in Web of Science")</f>
        <v>View Full Record in Web of Science</v>
      </c>
    </row>
    <row r="593" spans="1:72" x14ac:dyDescent="0.15">
      <c r="A593" t="s">
        <v>72</v>
      </c>
      <c r="B593" t="s">
        <v>10948</v>
      </c>
      <c r="C593" t="s">
        <v>74</v>
      </c>
      <c r="D593" t="s">
        <v>74</v>
      </c>
      <c r="E593" t="s">
        <v>74</v>
      </c>
      <c r="F593" t="s">
        <v>10949</v>
      </c>
      <c r="G593" t="s">
        <v>74</v>
      </c>
      <c r="H593" t="s">
        <v>74</v>
      </c>
      <c r="I593" t="s">
        <v>10950</v>
      </c>
      <c r="J593" t="s">
        <v>10951</v>
      </c>
      <c r="K593" t="s">
        <v>74</v>
      </c>
      <c r="L593" t="s">
        <v>74</v>
      </c>
      <c r="M593" t="s">
        <v>78</v>
      </c>
      <c r="N593" t="s">
        <v>79</v>
      </c>
      <c r="O593" t="s">
        <v>74</v>
      </c>
      <c r="P593" t="s">
        <v>74</v>
      </c>
      <c r="Q593" t="s">
        <v>74</v>
      </c>
      <c r="R593" t="s">
        <v>74</v>
      </c>
      <c r="S593" t="s">
        <v>74</v>
      </c>
      <c r="T593" t="s">
        <v>10952</v>
      </c>
      <c r="U593" t="s">
        <v>10953</v>
      </c>
      <c r="V593" t="s">
        <v>10954</v>
      </c>
      <c r="W593" t="s">
        <v>10955</v>
      </c>
      <c r="X593" t="s">
        <v>1157</v>
      </c>
      <c r="Y593" t="s">
        <v>10956</v>
      </c>
      <c r="Z593" t="s">
        <v>10957</v>
      </c>
      <c r="AA593" t="s">
        <v>10958</v>
      </c>
      <c r="AB593" t="s">
        <v>10959</v>
      </c>
      <c r="AC593" t="s">
        <v>74</v>
      </c>
      <c r="AD593" t="s">
        <v>74</v>
      </c>
      <c r="AE593" t="s">
        <v>74</v>
      </c>
      <c r="AF593" t="s">
        <v>74</v>
      </c>
      <c r="AG593">
        <v>25</v>
      </c>
      <c r="AH593">
        <v>18</v>
      </c>
      <c r="AI593">
        <v>22</v>
      </c>
      <c r="AJ593">
        <v>0</v>
      </c>
      <c r="AK593">
        <v>3</v>
      </c>
      <c r="AL593" t="s">
        <v>10960</v>
      </c>
      <c r="AM593" t="s">
        <v>8740</v>
      </c>
      <c r="AN593" t="s">
        <v>10961</v>
      </c>
      <c r="AO593" t="s">
        <v>10962</v>
      </c>
      <c r="AP593" t="s">
        <v>10963</v>
      </c>
      <c r="AQ593" t="s">
        <v>74</v>
      </c>
      <c r="AR593" t="s">
        <v>10964</v>
      </c>
      <c r="AS593" t="s">
        <v>10965</v>
      </c>
      <c r="AT593" t="s">
        <v>9572</v>
      </c>
      <c r="AU593">
        <v>2009</v>
      </c>
      <c r="AV593">
        <v>73</v>
      </c>
      <c r="AW593">
        <v>3</v>
      </c>
      <c r="AX593" t="s">
        <v>74</v>
      </c>
      <c r="AY593" t="s">
        <v>74</v>
      </c>
      <c r="AZ593" t="s">
        <v>74</v>
      </c>
      <c r="BA593" t="s">
        <v>74</v>
      </c>
      <c r="BB593">
        <v>541</v>
      </c>
      <c r="BC593">
        <v>550</v>
      </c>
      <c r="BD593" t="s">
        <v>74</v>
      </c>
      <c r="BE593" t="s">
        <v>10966</v>
      </c>
      <c r="BF593" t="str">
        <f>HYPERLINK("http://dx.doi.org/10.3989/scimar.2009.73n3541","http://dx.doi.org/10.3989/scimar.2009.73n3541")</f>
        <v>http://dx.doi.org/10.3989/scimar.2009.73n3541</v>
      </c>
      <c r="BG593" t="s">
        <v>74</v>
      </c>
      <c r="BH593" t="s">
        <v>74</v>
      </c>
      <c r="BI593">
        <v>10</v>
      </c>
      <c r="BJ593" t="s">
        <v>1052</v>
      </c>
      <c r="BK593" t="s">
        <v>98</v>
      </c>
      <c r="BL593" t="s">
        <v>1052</v>
      </c>
      <c r="BM593" t="s">
        <v>10967</v>
      </c>
      <c r="BN593" t="s">
        <v>74</v>
      </c>
      <c r="BO593" t="s">
        <v>10968</v>
      </c>
      <c r="BP593" t="s">
        <v>74</v>
      </c>
      <c r="BQ593" t="s">
        <v>74</v>
      </c>
      <c r="BR593" t="s">
        <v>101</v>
      </c>
      <c r="BS593" t="s">
        <v>10969</v>
      </c>
      <c r="BT593" t="str">
        <f>HYPERLINK("https%3A%2F%2Fwww.webofscience.com%2Fwos%2Fwoscc%2Ffull-record%2FWOS:000269965600012","View Full Record in Web of Science")</f>
        <v>View Full Record in Web of Science</v>
      </c>
    </row>
    <row r="594" spans="1:72" x14ac:dyDescent="0.15">
      <c r="A594" t="s">
        <v>72</v>
      </c>
      <c r="B594" t="s">
        <v>10970</v>
      </c>
      <c r="C594" t="s">
        <v>74</v>
      </c>
      <c r="D594" t="s">
        <v>74</v>
      </c>
      <c r="E594" t="s">
        <v>74</v>
      </c>
      <c r="F594" t="s">
        <v>10971</v>
      </c>
      <c r="G594" t="s">
        <v>74</v>
      </c>
      <c r="H594" t="s">
        <v>74</v>
      </c>
      <c r="I594" t="s">
        <v>10972</v>
      </c>
      <c r="J594" t="s">
        <v>10973</v>
      </c>
      <c r="K594" t="s">
        <v>74</v>
      </c>
      <c r="L594" t="s">
        <v>74</v>
      </c>
      <c r="M594" t="s">
        <v>1754</v>
      </c>
      <c r="N594" t="s">
        <v>79</v>
      </c>
      <c r="O594" t="s">
        <v>74</v>
      </c>
      <c r="P594" t="s">
        <v>74</v>
      </c>
      <c r="Q594" t="s">
        <v>74</v>
      </c>
      <c r="R594" t="s">
        <v>74</v>
      </c>
      <c r="S594" t="s">
        <v>74</v>
      </c>
      <c r="T594" t="s">
        <v>10974</v>
      </c>
      <c r="U594" t="s">
        <v>10975</v>
      </c>
      <c r="V594" t="s">
        <v>10976</v>
      </c>
      <c r="W594" t="s">
        <v>10977</v>
      </c>
      <c r="X594" t="s">
        <v>10978</v>
      </c>
      <c r="Y594" t="s">
        <v>10979</v>
      </c>
      <c r="Z594" t="s">
        <v>10980</v>
      </c>
      <c r="AA594" t="s">
        <v>74</v>
      </c>
      <c r="AB594" t="s">
        <v>74</v>
      </c>
      <c r="AC594" t="s">
        <v>74</v>
      </c>
      <c r="AD594" t="s">
        <v>74</v>
      </c>
      <c r="AE594" t="s">
        <v>74</v>
      </c>
      <c r="AF594" t="s">
        <v>74</v>
      </c>
      <c r="AG594">
        <v>16</v>
      </c>
      <c r="AH594">
        <v>1</v>
      </c>
      <c r="AI594">
        <v>4</v>
      </c>
      <c r="AJ594">
        <v>0</v>
      </c>
      <c r="AK594">
        <v>20</v>
      </c>
      <c r="AL594" t="s">
        <v>10981</v>
      </c>
      <c r="AM594" t="s">
        <v>1765</v>
      </c>
      <c r="AN594" t="s">
        <v>10982</v>
      </c>
      <c r="AO594" t="s">
        <v>10983</v>
      </c>
      <c r="AP594" t="s">
        <v>74</v>
      </c>
      <c r="AQ594" t="s">
        <v>74</v>
      </c>
      <c r="AR594" t="s">
        <v>10984</v>
      </c>
      <c r="AS594" t="s">
        <v>10985</v>
      </c>
      <c r="AT594" t="s">
        <v>9572</v>
      </c>
      <c r="AU594">
        <v>2009</v>
      </c>
      <c r="AV594">
        <v>29</v>
      </c>
      <c r="AW594">
        <v>9</v>
      </c>
      <c r="AX594" t="s">
        <v>74</v>
      </c>
      <c r="AY594" t="s">
        <v>74</v>
      </c>
      <c r="AZ594" t="s">
        <v>74</v>
      </c>
      <c r="BA594" t="s">
        <v>74</v>
      </c>
      <c r="BB594">
        <v>2405</v>
      </c>
      <c r="BC594">
        <v>2408</v>
      </c>
      <c r="BD594" t="s">
        <v>74</v>
      </c>
      <c r="BE594" t="s">
        <v>10986</v>
      </c>
      <c r="BF594" t="str">
        <f>HYPERLINK("http://dx.doi.org/10.3964/j.issn.1000-0593(2009)09-2405-04","http://dx.doi.org/10.3964/j.issn.1000-0593(2009)09-2405-04")</f>
        <v>http://dx.doi.org/10.3964/j.issn.1000-0593(2009)09-2405-04</v>
      </c>
      <c r="BG594" t="s">
        <v>74</v>
      </c>
      <c r="BH594" t="s">
        <v>74</v>
      </c>
      <c r="BI594">
        <v>4</v>
      </c>
      <c r="BJ594" t="s">
        <v>8825</v>
      </c>
      <c r="BK594" t="s">
        <v>98</v>
      </c>
      <c r="BL594" t="s">
        <v>8825</v>
      </c>
      <c r="BM594" t="s">
        <v>10987</v>
      </c>
      <c r="BN594">
        <v>19950639</v>
      </c>
      <c r="BO594" t="s">
        <v>74</v>
      </c>
      <c r="BP594" t="s">
        <v>74</v>
      </c>
      <c r="BQ594" t="s">
        <v>74</v>
      </c>
      <c r="BR594" t="s">
        <v>101</v>
      </c>
      <c r="BS594" t="s">
        <v>10988</v>
      </c>
      <c r="BT594" t="str">
        <f>HYPERLINK("https%3A%2F%2Fwww.webofscience.com%2Fwos%2Fwoscc%2Ffull-record%2FWOS:000270709100024","View Full Record in Web of Science")</f>
        <v>View Full Record in Web of Science</v>
      </c>
    </row>
    <row r="595" spans="1:72" x14ac:dyDescent="0.15">
      <c r="A595" t="s">
        <v>72</v>
      </c>
      <c r="B595" t="s">
        <v>10989</v>
      </c>
      <c r="C595" t="s">
        <v>74</v>
      </c>
      <c r="D595" t="s">
        <v>74</v>
      </c>
      <c r="E595" t="s">
        <v>74</v>
      </c>
      <c r="F595" t="s">
        <v>10990</v>
      </c>
      <c r="G595" t="s">
        <v>74</v>
      </c>
      <c r="H595" t="s">
        <v>74</v>
      </c>
      <c r="I595" t="s">
        <v>10991</v>
      </c>
      <c r="J595" t="s">
        <v>10992</v>
      </c>
      <c r="K595" t="s">
        <v>74</v>
      </c>
      <c r="L595" t="s">
        <v>74</v>
      </c>
      <c r="M595" t="s">
        <v>78</v>
      </c>
      <c r="N595" t="s">
        <v>79</v>
      </c>
      <c r="O595" t="s">
        <v>74</v>
      </c>
      <c r="P595" t="s">
        <v>74</v>
      </c>
      <c r="Q595" t="s">
        <v>74</v>
      </c>
      <c r="R595" t="s">
        <v>74</v>
      </c>
      <c r="S595" t="s">
        <v>74</v>
      </c>
      <c r="T595" t="s">
        <v>10993</v>
      </c>
      <c r="U595" t="s">
        <v>10994</v>
      </c>
      <c r="V595" t="s">
        <v>10995</v>
      </c>
      <c r="W595" t="s">
        <v>10996</v>
      </c>
      <c r="X595" t="s">
        <v>10997</v>
      </c>
      <c r="Y595" t="s">
        <v>10998</v>
      </c>
      <c r="Z595" t="s">
        <v>10999</v>
      </c>
      <c r="AA595" t="s">
        <v>11000</v>
      </c>
      <c r="AB595" t="s">
        <v>11001</v>
      </c>
      <c r="AC595" t="s">
        <v>11002</v>
      </c>
      <c r="AD595" t="s">
        <v>11003</v>
      </c>
      <c r="AE595" t="s">
        <v>11004</v>
      </c>
      <c r="AF595" t="s">
        <v>74</v>
      </c>
      <c r="AG595">
        <v>24</v>
      </c>
      <c r="AH595">
        <v>10</v>
      </c>
      <c r="AI595">
        <v>14</v>
      </c>
      <c r="AJ595">
        <v>0</v>
      </c>
      <c r="AK595">
        <v>12</v>
      </c>
      <c r="AL595" t="s">
        <v>11005</v>
      </c>
      <c r="AM595" t="s">
        <v>227</v>
      </c>
      <c r="AN595" t="s">
        <v>11006</v>
      </c>
      <c r="AO595" t="s">
        <v>11007</v>
      </c>
      <c r="AP595" t="s">
        <v>11008</v>
      </c>
      <c r="AQ595" t="s">
        <v>74</v>
      </c>
      <c r="AR595" t="s">
        <v>10992</v>
      </c>
      <c r="AS595" t="s">
        <v>11009</v>
      </c>
      <c r="AT595" t="s">
        <v>9572</v>
      </c>
      <c r="AU595">
        <v>2009</v>
      </c>
      <c r="AV595">
        <v>32</v>
      </c>
      <c r="AW595">
        <v>3</v>
      </c>
      <c r="AX595" t="s">
        <v>74</v>
      </c>
      <c r="AY595" t="s">
        <v>74</v>
      </c>
      <c r="AZ595" t="s">
        <v>74</v>
      </c>
      <c r="BA595" t="s">
        <v>74</v>
      </c>
      <c r="BB595">
        <v>437</v>
      </c>
      <c r="BC595">
        <v>443</v>
      </c>
      <c r="BD595" t="s">
        <v>74</v>
      </c>
      <c r="BE595" t="s">
        <v>11010</v>
      </c>
      <c r="BF595" t="str">
        <f>HYPERLINK("http://dx.doi.org/10.1675/063.032.0309","http://dx.doi.org/10.1675/063.032.0309")</f>
        <v>http://dx.doi.org/10.1675/063.032.0309</v>
      </c>
      <c r="BG595" t="s">
        <v>74</v>
      </c>
      <c r="BH595" t="s">
        <v>74</v>
      </c>
      <c r="BI595">
        <v>7</v>
      </c>
      <c r="BJ595" t="s">
        <v>2460</v>
      </c>
      <c r="BK595" t="s">
        <v>98</v>
      </c>
      <c r="BL595" t="s">
        <v>207</v>
      </c>
      <c r="BM595" t="s">
        <v>11011</v>
      </c>
      <c r="BN595" t="s">
        <v>74</v>
      </c>
      <c r="BO595" t="s">
        <v>74</v>
      </c>
      <c r="BP595" t="s">
        <v>74</v>
      </c>
      <c r="BQ595" t="s">
        <v>74</v>
      </c>
      <c r="BR595" t="s">
        <v>101</v>
      </c>
      <c r="BS595" t="s">
        <v>11012</v>
      </c>
      <c r="BT595" t="str">
        <f>HYPERLINK("https%3A%2F%2Fwww.webofscience.com%2Fwos%2Fwoscc%2Ffull-record%2FWOS:000269567400009","View Full Record in Web of Science")</f>
        <v>View Full Record in Web of Science</v>
      </c>
    </row>
    <row r="596" spans="1:72" x14ac:dyDescent="0.15">
      <c r="A596" t="s">
        <v>72</v>
      </c>
      <c r="B596" t="s">
        <v>11013</v>
      </c>
      <c r="C596" t="s">
        <v>74</v>
      </c>
      <c r="D596" t="s">
        <v>74</v>
      </c>
      <c r="E596" t="s">
        <v>74</v>
      </c>
      <c r="F596" t="s">
        <v>11014</v>
      </c>
      <c r="G596" t="s">
        <v>74</v>
      </c>
      <c r="H596" t="s">
        <v>74</v>
      </c>
      <c r="I596" t="s">
        <v>11015</v>
      </c>
      <c r="J596" t="s">
        <v>11016</v>
      </c>
      <c r="K596" t="s">
        <v>74</v>
      </c>
      <c r="L596" t="s">
        <v>74</v>
      </c>
      <c r="M596" t="s">
        <v>78</v>
      </c>
      <c r="N596" t="s">
        <v>79</v>
      </c>
      <c r="O596" t="s">
        <v>74</v>
      </c>
      <c r="P596" t="s">
        <v>74</v>
      </c>
      <c r="Q596" t="s">
        <v>74</v>
      </c>
      <c r="R596" t="s">
        <v>74</v>
      </c>
      <c r="S596" t="s">
        <v>74</v>
      </c>
      <c r="T596" t="s">
        <v>11017</v>
      </c>
      <c r="U596" t="s">
        <v>11018</v>
      </c>
      <c r="V596" t="s">
        <v>11019</v>
      </c>
      <c r="W596" t="s">
        <v>11020</v>
      </c>
      <c r="X596" t="s">
        <v>11021</v>
      </c>
      <c r="Y596" t="s">
        <v>11022</v>
      </c>
      <c r="Z596" t="s">
        <v>11023</v>
      </c>
      <c r="AA596" t="s">
        <v>11024</v>
      </c>
      <c r="AB596" t="s">
        <v>11025</v>
      </c>
      <c r="AC596" t="s">
        <v>11026</v>
      </c>
      <c r="AD596" t="s">
        <v>11027</v>
      </c>
      <c r="AE596" t="s">
        <v>11028</v>
      </c>
      <c r="AF596" t="s">
        <v>74</v>
      </c>
      <c r="AG596">
        <v>12</v>
      </c>
      <c r="AH596">
        <v>1</v>
      </c>
      <c r="AI596">
        <v>1</v>
      </c>
      <c r="AJ596">
        <v>0</v>
      </c>
      <c r="AK596">
        <v>8</v>
      </c>
      <c r="AL596" t="s">
        <v>11029</v>
      </c>
      <c r="AM596" t="s">
        <v>11030</v>
      </c>
      <c r="AN596" t="s">
        <v>11031</v>
      </c>
      <c r="AO596" t="s">
        <v>11032</v>
      </c>
      <c r="AP596" t="s">
        <v>74</v>
      </c>
      <c r="AQ596" t="s">
        <v>74</v>
      </c>
      <c r="AR596" t="s">
        <v>11033</v>
      </c>
      <c r="AS596" t="s">
        <v>11034</v>
      </c>
      <c r="AT596" t="s">
        <v>9572</v>
      </c>
      <c r="AU596">
        <v>2009</v>
      </c>
      <c r="AV596">
        <v>26</v>
      </c>
      <c r="AW596">
        <v>3</v>
      </c>
      <c r="AX596" t="s">
        <v>74</v>
      </c>
      <c r="AY596" t="s">
        <v>74</v>
      </c>
      <c r="AZ596" t="s">
        <v>74</v>
      </c>
      <c r="BA596" t="s">
        <v>74</v>
      </c>
      <c r="BB596">
        <v>562</v>
      </c>
      <c r="BC596">
        <v>566</v>
      </c>
      <c r="BD596" t="s">
        <v>74</v>
      </c>
      <c r="BE596" t="s">
        <v>11035</v>
      </c>
      <c r="BF596" t="str">
        <f>HYPERLINK("http://dx.doi.org/10.1590/S1984-46702009005000005","http://dx.doi.org/10.1590/S1984-46702009005000005")</f>
        <v>http://dx.doi.org/10.1590/S1984-46702009005000005</v>
      </c>
      <c r="BG596" t="s">
        <v>74</v>
      </c>
      <c r="BH596" t="s">
        <v>74</v>
      </c>
      <c r="BI596">
        <v>5</v>
      </c>
      <c r="BJ596" t="s">
        <v>207</v>
      </c>
      <c r="BK596" t="s">
        <v>98</v>
      </c>
      <c r="BL596" t="s">
        <v>207</v>
      </c>
      <c r="BM596" t="s">
        <v>11036</v>
      </c>
      <c r="BN596" t="s">
        <v>74</v>
      </c>
      <c r="BO596" t="s">
        <v>2974</v>
      </c>
      <c r="BP596" t="s">
        <v>74</v>
      </c>
      <c r="BQ596" t="s">
        <v>74</v>
      </c>
      <c r="BR596" t="s">
        <v>101</v>
      </c>
      <c r="BS596" t="s">
        <v>11037</v>
      </c>
      <c r="BT596" t="str">
        <f>HYPERLINK("https%3A%2F%2Fwww.webofscience.com%2Fwos%2Fwoscc%2Ffull-record%2FWOS:000270833900021","View Full Record in Web of Science")</f>
        <v>View Full Record in Web of Science</v>
      </c>
    </row>
    <row r="597" spans="1:72" x14ac:dyDescent="0.15">
      <c r="A597" t="s">
        <v>72</v>
      </c>
      <c r="B597" t="s">
        <v>11038</v>
      </c>
      <c r="C597" t="s">
        <v>74</v>
      </c>
      <c r="D597" t="s">
        <v>74</v>
      </c>
      <c r="E597" t="s">
        <v>74</v>
      </c>
      <c r="F597" t="s">
        <v>11039</v>
      </c>
      <c r="G597" t="s">
        <v>74</v>
      </c>
      <c r="H597" t="s">
        <v>74</v>
      </c>
      <c r="I597" t="s">
        <v>11040</v>
      </c>
      <c r="J597" t="s">
        <v>4020</v>
      </c>
      <c r="K597" t="s">
        <v>74</v>
      </c>
      <c r="L597" t="s">
        <v>74</v>
      </c>
      <c r="M597" t="s">
        <v>78</v>
      </c>
      <c r="N597" t="s">
        <v>79</v>
      </c>
      <c r="O597" t="s">
        <v>74</v>
      </c>
      <c r="P597" t="s">
        <v>74</v>
      </c>
      <c r="Q597" t="s">
        <v>74</v>
      </c>
      <c r="R597" t="s">
        <v>74</v>
      </c>
      <c r="S597" t="s">
        <v>74</v>
      </c>
      <c r="T597" t="s">
        <v>11041</v>
      </c>
      <c r="U597" t="s">
        <v>11042</v>
      </c>
      <c r="V597" t="s">
        <v>11043</v>
      </c>
      <c r="W597" t="s">
        <v>11044</v>
      </c>
      <c r="X597" t="s">
        <v>11045</v>
      </c>
      <c r="Y597" t="s">
        <v>11046</v>
      </c>
      <c r="Z597" t="s">
        <v>11047</v>
      </c>
      <c r="AA597" t="s">
        <v>11048</v>
      </c>
      <c r="AB597" t="s">
        <v>11049</v>
      </c>
      <c r="AC597" t="s">
        <v>11050</v>
      </c>
      <c r="AD597" t="s">
        <v>11051</v>
      </c>
      <c r="AE597" t="s">
        <v>11052</v>
      </c>
      <c r="AF597" t="s">
        <v>74</v>
      </c>
      <c r="AG597">
        <v>55</v>
      </c>
      <c r="AH597">
        <v>82</v>
      </c>
      <c r="AI597">
        <v>90</v>
      </c>
      <c r="AJ597">
        <v>3</v>
      </c>
      <c r="AK597">
        <v>26</v>
      </c>
      <c r="AL597" t="s">
        <v>305</v>
      </c>
      <c r="AM597" t="s">
        <v>281</v>
      </c>
      <c r="AN597" t="s">
        <v>306</v>
      </c>
      <c r="AO597" t="s">
        <v>4033</v>
      </c>
      <c r="AP597" t="s">
        <v>4034</v>
      </c>
      <c r="AQ597" t="s">
        <v>74</v>
      </c>
      <c r="AR597" t="s">
        <v>4035</v>
      </c>
      <c r="AS597" t="s">
        <v>4036</v>
      </c>
      <c r="AT597" t="s">
        <v>11053</v>
      </c>
      <c r="AU597">
        <v>2009</v>
      </c>
      <c r="AV597">
        <v>286</v>
      </c>
      <c r="AW597" t="s">
        <v>180</v>
      </c>
      <c r="AX597" t="s">
        <v>74</v>
      </c>
      <c r="AY597" t="s">
        <v>74</v>
      </c>
      <c r="AZ597" t="s">
        <v>74</v>
      </c>
      <c r="BA597" t="s">
        <v>74</v>
      </c>
      <c r="BB597">
        <v>80</v>
      </c>
      <c r="BC597">
        <v>88</v>
      </c>
      <c r="BD597" t="s">
        <v>74</v>
      </c>
      <c r="BE597" t="s">
        <v>11054</v>
      </c>
      <c r="BF597" t="str">
        <f>HYPERLINK("http://dx.doi.org/10.1016/j.epsl.2009.06.030","http://dx.doi.org/10.1016/j.epsl.2009.06.030")</f>
        <v>http://dx.doi.org/10.1016/j.epsl.2009.06.030</v>
      </c>
      <c r="BG597" t="s">
        <v>74</v>
      </c>
      <c r="BH597" t="s">
        <v>74</v>
      </c>
      <c r="BI597">
        <v>9</v>
      </c>
      <c r="BJ597" t="s">
        <v>261</v>
      </c>
      <c r="BK597" t="s">
        <v>98</v>
      </c>
      <c r="BL597" t="s">
        <v>261</v>
      </c>
      <c r="BM597" t="s">
        <v>11055</v>
      </c>
      <c r="BN597" t="s">
        <v>74</v>
      </c>
      <c r="BO597" t="s">
        <v>74</v>
      </c>
      <c r="BP597" t="s">
        <v>74</v>
      </c>
      <c r="BQ597" t="s">
        <v>74</v>
      </c>
      <c r="BR597" t="s">
        <v>101</v>
      </c>
      <c r="BS597" t="s">
        <v>11056</v>
      </c>
      <c r="BT597" t="str">
        <f>HYPERLINK("https%3A%2F%2Fwww.webofscience.com%2Fwos%2Fwoscc%2Ffull-record%2FWOS:000270647500009","View Full Record in Web of Science")</f>
        <v>View Full Record in Web of Science</v>
      </c>
    </row>
    <row r="598" spans="1:72" x14ac:dyDescent="0.15">
      <c r="A598" t="s">
        <v>72</v>
      </c>
      <c r="B598" t="s">
        <v>11057</v>
      </c>
      <c r="C598" t="s">
        <v>74</v>
      </c>
      <c r="D598" t="s">
        <v>74</v>
      </c>
      <c r="E598" t="s">
        <v>74</v>
      </c>
      <c r="F598" t="s">
        <v>11058</v>
      </c>
      <c r="G598" t="s">
        <v>74</v>
      </c>
      <c r="H598" t="s">
        <v>74</v>
      </c>
      <c r="I598" t="s">
        <v>11059</v>
      </c>
      <c r="J598" t="s">
        <v>4020</v>
      </c>
      <c r="K598" t="s">
        <v>74</v>
      </c>
      <c r="L598" t="s">
        <v>74</v>
      </c>
      <c r="M598" t="s">
        <v>78</v>
      </c>
      <c r="N598" t="s">
        <v>79</v>
      </c>
      <c r="O598" t="s">
        <v>74</v>
      </c>
      <c r="P598" t="s">
        <v>74</v>
      </c>
      <c r="Q598" t="s">
        <v>74</v>
      </c>
      <c r="R598" t="s">
        <v>74</v>
      </c>
      <c r="S598" t="s">
        <v>74</v>
      </c>
      <c r="T598" t="s">
        <v>11060</v>
      </c>
      <c r="U598" t="s">
        <v>11061</v>
      </c>
      <c r="V598" t="s">
        <v>11062</v>
      </c>
      <c r="W598" t="s">
        <v>11063</v>
      </c>
      <c r="X598" t="s">
        <v>11064</v>
      </c>
      <c r="Y598" t="s">
        <v>11065</v>
      </c>
      <c r="Z598" t="s">
        <v>11066</v>
      </c>
      <c r="AA598" t="s">
        <v>11067</v>
      </c>
      <c r="AB598" t="s">
        <v>11068</v>
      </c>
      <c r="AC598" t="s">
        <v>11069</v>
      </c>
      <c r="AD598" t="s">
        <v>11070</v>
      </c>
      <c r="AE598" t="s">
        <v>11071</v>
      </c>
      <c r="AF598" t="s">
        <v>74</v>
      </c>
      <c r="AG598">
        <v>65</v>
      </c>
      <c r="AH598">
        <v>95</v>
      </c>
      <c r="AI598">
        <v>105</v>
      </c>
      <c r="AJ598">
        <v>2</v>
      </c>
      <c r="AK598">
        <v>42</v>
      </c>
      <c r="AL598" t="s">
        <v>305</v>
      </c>
      <c r="AM598" t="s">
        <v>281</v>
      </c>
      <c r="AN598" t="s">
        <v>306</v>
      </c>
      <c r="AO598" t="s">
        <v>4033</v>
      </c>
      <c r="AP598" t="s">
        <v>4034</v>
      </c>
      <c r="AQ598" t="s">
        <v>74</v>
      </c>
      <c r="AR598" t="s">
        <v>4035</v>
      </c>
      <c r="AS598" t="s">
        <v>4036</v>
      </c>
      <c r="AT598" t="s">
        <v>11053</v>
      </c>
      <c r="AU598">
        <v>2009</v>
      </c>
      <c r="AV598">
        <v>286</v>
      </c>
      <c r="AW598" t="s">
        <v>180</v>
      </c>
      <c r="AX598" t="s">
        <v>74</v>
      </c>
      <c r="AY598" t="s">
        <v>74</v>
      </c>
      <c r="AZ598" t="s">
        <v>74</v>
      </c>
      <c r="BA598" t="s">
        <v>74</v>
      </c>
      <c r="BB598">
        <v>184</v>
      </c>
      <c r="BC598">
        <v>197</v>
      </c>
      <c r="BD598" t="s">
        <v>74</v>
      </c>
      <c r="BE598" t="s">
        <v>11072</v>
      </c>
      <c r="BF598" t="str">
        <f>HYPERLINK("http://dx.doi.org/10.1016/j.epsl.2009.06.026","http://dx.doi.org/10.1016/j.epsl.2009.06.026")</f>
        <v>http://dx.doi.org/10.1016/j.epsl.2009.06.026</v>
      </c>
      <c r="BG598" t="s">
        <v>74</v>
      </c>
      <c r="BH598" t="s">
        <v>74</v>
      </c>
      <c r="BI598">
        <v>14</v>
      </c>
      <c r="BJ598" t="s">
        <v>261</v>
      </c>
      <c r="BK598" t="s">
        <v>98</v>
      </c>
      <c r="BL598" t="s">
        <v>261</v>
      </c>
      <c r="BM598" t="s">
        <v>11055</v>
      </c>
      <c r="BN598" t="s">
        <v>74</v>
      </c>
      <c r="BO598" t="s">
        <v>1381</v>
      </c>
      <c r="BP598" t="s">
        <v>74</v>
      </c>
      <c r="BQ598" t="s">
        <v>74</v>
      </c>
      <c r="BR598" t="s">
        <v>101</v>
      </c>
      <c r="BS598" t="s">
        <v>11073</v>
      </c>
      <c r="BT598" t="str">
        <f>HYPERLINK("https%3A%2F%2Fwww.webofscience.com%2Fwos%2Fwoscc%2Ffull-record%2FWOS:000270647500018","View Full Record in Web of Science")</f>
        <v>View Full Record in Web of Science</v>
      </c>
    </row>
    <row r="599" spans="1:72" x14ac:dyDescent="0.15">
      <c r="A599" t="s">
        <v>72</v>
      </c>
      <c r="B599" t="s">
        <v>11074</v>
      </c>
      <c r="C599" t="s">
        <v>74</v>
      </c>
      <c r="D599" t="s">
        <v>74</v>
      </c>
      <c r="E599" t="s">
        <v>74</v>
      </c>
      <c r="F599" t="s">
        <v>11075</v>
      </c>
      <c r="G599" t="s">
        <v>74</v>
      </c>
      <c r="H599" t="s">
        <v>74</v>
      </c>
      <c r="I599" t="s">
        <v>11076</v>
      </c>
      <c r="J599" t="s">
        <v>4020</v>
      </c>
      <c r="K599" t="s">
        <v>74</v>
      </c>
      <c r="L599" t="s">
        <v>74</v>
      </c>
      <c r="M599" t="s">
        <v>78</v>
      </c>
      <c r="N599" t="s">
        <v>79</v>
      </c>
      <c r="O599" t="s">
        <v>74</v>
      </c>
      <c r="P599" t="s">
        <v>74</v>
      </c>
      <c r="Q599" t="s">
        <v>74</v>
      </c>
      <c r="R599" t="s">
        <v>74</v>
      </c>
      <c r="S599" t="s">
        <v>74</v>
      </c>
      <c r="T599" t="s">
        <v>11077</v>
      </c>
      <c r="U599" t="s">
        <v>11078</v>
      </c>
      <c r="V599" t="s">
        <v>11079</v>
      </c>
      <c r="W599" t="s">
        <v>11080</v>
      </c>
      <c r="X599" t="s">
        <v>11081</v>
      </c>
      <c r="Y599" t="s">
        <v>11082</v>
      </c>
      <c r="Z599" t="s">
        <v>11083</v>
      </c>
      <c r="AA599" t="s">
        <v>74</v>
      </c>
      <c r="AB599" t="s">
        <v>11084</v>
      </c>
      <c r="AC599" t="s">
        <v>11085</v>
      </c>
      <c r="AD599" t="s">
        <v>11086</v>
      </c>
      <c r="AE599" t="s">
        <v>11087</v>
      </c>
      <c r="AF599" t="s">
        <v>74</v>
      </c>
      <c r="AG599">
        <v>33</v>
      </c>
      <c r="AH599">
        <v>13</v>
      </c>
      <c r="AI599">
        <v>15</v>
      </c>
      <c r="AJ599">
        <v>1</v>
      </c>
      <c r="AK599">
        <v>18</v>
      </c>
      <c r="AL599" t="s">
        <v>305</v>
      </c>
      <c r="AM599" t="s">
        <v>281</v>
      </c>
      <c r="AN599" t="s">
        <v>306</v>
      </c>
      <c r="AO599" t="s">
        <v>4033</v>
      </c>
      <c r="AP599" t="s">
        <v>4034</v>
      </c>
      <c r="AQ599" t="s">
        <v>74</v>
      </c>
      <c r="AR599" t="s">
        <v>4035</v>
      </c>
      <c r="AS599" t="s">
        <v>4036</v>
      </c>
      <c r="AT599" t="s">
        <v>11053</v>
      </c>
      <c r="AU599">
        <v>2009</v>
      </c>
      <c r="AV599">
        <v>286</v>
      </c>
      <c r="AW599" t="s">
        <v>180</v>
      </c>
      <c r="AX599" t="s">
        <v>74</v>
      </c>
      <c r="AY599" t="s">
        <v>74</v>
      </c>
      <c r="AZ599" t="s">
        <v>74</v>
      </c>
      <c r="BA599" t="s">
        <v>74</v>
      </c>
      <c r="BB599">
        <v>278</v>
      </c>
      <c r="BC599">
        <v>284</v>
      </c>
      <c r="BD599" t="s">
        <v>74</v>
      </c>
      <c r="BE599" t="s">
        <v>11088</v>
      </c>
      <c r="BF599" t="str">
        <f>HYPERLINK("http://dx.doi.org/10.1016/j.epsl.2009.06.037","http://dx.doi.org/10.1016/j.epsl.2009.06.037")</f>
        <v>http://dx.doi.org/10.1016/j.epsl.2009.06.037</v>
      </c>
      <c r="BG599" t="s">
        <v>74</v>
      </c>
      <c r="BH599" t="s">
        <v>74</v>
      </c>
      <c r="BI599">
        <v>7</v>
      </c>
      <c r="BJ599" t="s">
        <v>261</v>
      </c>
      <c r="BK599" t="s">
        <v>98</v>
      </c>
      <c r="BL599" t="s">
        <v>261</v>
      </c>
      <c r="BM599" t="s">
        <v>11055</v>
      </c>
      <c r="BN599" t="s">
        <v>74</v>
      </c>
      <c r="BO599" t="s">
        <v>1119</v>
      </c>
      <c r="BP599" t="s">
        <v>74</v>
      </c>
      <c r="BQ599" t="s">
        <v>74</v>
      </c>
      <c r="BR599" t="s">
        <v>101</v>
      </c>
      <c r="BS599" t="s">
        <v>11089</v>
      </c>
      <c r="BT599" t="str">
        <f>HYPERLINK("https%3A%2F%2Fwww.webofscience.com%2Fwos%2Fwoscc%2Ffull-record%2FWOS:000270647500026","View Full Record in Web of Science")</f>
        <v>View Full Record in Web of Science</v>
      </c>
    </row>
    <row r="600" spans="1:72" x14ac:dyDescent="0.15">
      <c r="A600" t="s">
        <v>72</v>
      </c>
      <c r="B600" t="s">
        <v>11090</v>
      </c>
      <c r="C600" t="s">
        <v>74</v>
      </c>
      <c r="D600" t="s">
        <v>74</v>
      </c>
      <c r="E600" t="s">
        <v>74</v>
      </c>
      <c r="F600" t="s">
        <v>11091</v>
      </c>
      <c r="G600" t="s">
        <v>74</v>
      </c>
      <c r="H600" t="s">
        <v>74</v>
      </c>
      <c r="I600" t="s">
        <v>11092</v>
      </c>
      <c r="J600" t="s">
        <v>395</v>
      </c>
      <c r="K600" t="s">
        <v>74</v>
      </c>
      <c r="L600" t="s">
        <v>74</v>
      </c>
      <c r="M600" t="s">
        <v>78</v>
      </c>
      <c r="N600" t="s">
        <v>79</v>
      </c>
      <c r="O600" t="s">
        <v>74</v>
      </c>
      <c r="P600" t="s">
        <v>74</v>
      </c>
      <c r="Q600" t="s">
        <v>74</v>
      </c>
      <c r="R600" t="s">
        <v>74</v>
      </c>
      <c r="S600" t="s">
        <v>74</v>
      </c>
      <c r="T600" t="s">
        <v>74</v>
      </c>
      <c r="U600" t="s">
        <v>11093</v>
      </c>
      <c r="V600" t="s">
        <v>11094</v>
      </c>
      <c r="W600" t="s">
        <v>11095</v>
      </c>
      <c r="X600" t="s">
        <v>11096</v>
      </c>
      <c r="Y600" t="s">
        <v>11097</v>
      </c>
      <c r="Z600" t="s">
        <v>11098</v>
      </c>
      <c r="AA600" t="s">
        <v>11099</v>
      </c>
      <c r="AB600" t="s">
        <v>11100</v>
      </c>
      <c r="AC600" t="s">
        <v>11101</v>
      </c>
      <c r="AD600" t="s">
        <v>11102</v>
      </c>
      <c r="AE600" t="s">
        <v>11103</v>
      </c>
      <c r="AF600" t="s">
        <v>74</v>
      </c>
      <c r="AG600">
        <v>35</v>
      </c>
      <c r="AH600">
        <v>30</v>
      </c>
      <c r="AI600">
        <v>30</v>
      </c>
      <c r="AJ600">
        <v>1</v>
      </c>
      <c r="AK600">
        <v>14</v>
      </c>
      <c r="AL600" t="s">
        <v>226</v>
      </c>
      <c r="AM600" t="s">
        <v>227</v>
      </c>
      <c r="AN600" t="s">
        <v>228</v>
      </c>
      <c r="AO600" t="s">
        <v>407</v>
      </c>
      <c r="AP600" t="s">
        <v>408</v>
      </c>
      <c r="AQ600" t="s">
        <v>74</v>
      </c>
      <c r="AR600" t="s">
        <v>409</v>
      </c>
      <c r="AS600" t="s">
        <v>410</v>
      </c>
      <c r="AT600" t="s">
        <v>11104</v>
      </c>
      <c r="AU600">
        <v>2009</v>
      </c>
      <c r="AV600">
        <v>114</v>
      </c>
      <c r="AW600" t="s">
        <v>74</v>
      </c>
      <c r="AX600" t="s">
        <v>74</v>
      </c>
      <c r="AY600" t="s">
        <v>74</v>
      </c>
      <c r="AZ600" t="s">
        <v>74</v>
      </c>
      <c r="BA600" t="s">
        <v>74</v>
      </c>
      <c r="BB600" t="s">
        <v>74</v>
      </c>
      <c r="BC600" t="s">
        <v>74</v>
      </c>
      <c r="BD600" t="s">
        <v>11105</v>
      </c>
      <c r="BE600" t="s">
        <v>11106</v>
      </c>
      <c r="BF600" t="str">
        <f>HYPERLINK("http://dx.doi.org/10.1029/2008JD011636","http://dx.doi.org/10.1029/2008JD011636")</f>
        <v>http://dx.doi.org/10.1029/2008JD011636</v>
      </c>
      <c r="BG600" t="s">
        <v>74</v>
      </c>
      <c r="BH600" t="s">
        <v>74</v>
      </c>
      <c r="BI600">
        <v>13</v>
      </c>
      <c r="BJ600" t="s">
        <v>413</v>
      </c>
      <c r="BK600" t="s">
        <v>98</v>
      </c>
      <c r="BL600" t="s">
        <v>413</v>
      </c>
      <c r="BM600" t="s">
        <v>11107</v>
      </c>
      <c r="BN600" t="s">
        <v>74</v>
      </c>
      <c r="BO600" t="s">
        <v>263</v>
      </c>
      <c r="BP600" t="s">
        <v>74</v>
      </c>
      <c r="BQ600" t="s">
        <v>74</v>
      </c>
      <c r="BR600" t="s">
        <v>101</v>
      </c>
      <c r="BS600" t="s">
        <v>11108</v>
      </c>
      <c r="BT600" t="str">
        <f>HYPERLINK("https%3A%2F%2Fwww.webofscience.com%2Fwos%2Fwoscc%2Ffull-record%2FWOS:000269350300004","View Full Record in Web of Science")</f>
        <v>View Full Record in Web of Science</v>
      </c>
    </row>
    <row r="601" spans="1:72" x14ac:dyDescent="0.15">
      <c r="A601" t="s">
        <v>72</v>
      </c>
      <c r="B601" t="s">
        <v>11109</v>
      </c>
      <c r="C601" t="s">
        <v>74</v>
      </c>
      <c r="D601" t="s">
        <v>74</v>
      </c>
      <c r="E601" t="s">
        <v>74</v>
      </c>
      <c r="F601" t="s">
        <v>11110</v>
      </c>
      <c r="G601" t="s">
        <v>74</v>
      </c>
      <c r="H601" t="s">
        <v>74</v>
      </c>
      <c r="I601" t="s">
        <v>11111</v>
      </c>
      <c r="J601" t="s">
        <v>472</v>
      </c>
      <c r="K601" t="s">
        <v>74</v>
      </c>
      <c r="L601" t="s">
        <v>74</v>
      </c>
      <c r="M601" t="s">
        <v>78</v>
      </c>
      <c r="N601" t="s">
        <v>79</v>
      </c>
      <c r="O601" t="s">
        <v>74</v>
      </c>
      <c r="P601" t="s">
        <v>74</v>
      </c>
      <c r="Q601" t="s">
        <v>74</v>
      </c>
      <c r="R601" t="s">
        <v>74</v>
      </c>
      <c r="S601" t="s">
        <v>74</v>
      </c>
      <c r="T601" t="s">
        <v>74</v>
      </c>
      <c r="U601" t="s">
        <v>11112</v>
      </c>
      <c r="V601" t="s">
        <v>11113</v>
      </c>
      <c r="W601" t="s">
        <v>11114</v>
      </c>
      <c r="X601" t="s">
        <v>11115</v>
      </c>
      <c r="Y601" t="s">
        <v>11116</v>
      </c>
      <c r="Z601" t="s">
        <v>11117</v>
      </c>
      <c r="AA601" t="s">
        <v>11118</v>
      </c>
      <c r="AB601" t="s">
        <v>11119</v>
      </c>
      <c r="AC601" t="s">
        <v>11120</v>
      </c>
      <c r="AD601" t="s">
        <v>11121</v>
      </c>
      <c r="AE601" t="s">
        <v>11122</v>
      </c>
      <c r="AF601" t="s">
        <v>74</v>
      </c>
      <c r="AG601">
        <v>85</v>
      </c>
      <c r="AH601">
        <v>26</v>
      </c>
      <c r="AI601">
        <v>27</v>
      </c>
      <c r="AJ601">
        <v>0</v>
      </c>
      <c r="AK601">
        <v>24</v>
      </c>
      <c r="AL601" t="s">
        <v>226</v>
      </c>
      <c r="AM601" t="s">
        <v>227</v>
      </c>
      <c r="AN601" t="s">
        <v>228</v>
      </c>
      <c r="AO601" t="s">
        <v>483</v>
      </c>
      <c r="AP601" t="s">
        <v>484</v>
      </c>
      <c r="AQ601" t="s">
        <v>74</v>
      </c>
      <c r="AR601" t="s">
        <v>472</v>
      </c>
      <c r="AS601" t="s">
        <v>485</v>
      </c>
      <c r="AT601" t="s">
        <v>11104</v>
      </c>
      <c r="AU601">
        <v>2009</v>
      </c>
      <c r="AV601">
        <v>24</v>
      </c>
      <c r="AW601" t="s">
        <v>74</v>
      </c>
      <c r="AX601" t="s">
        <v>74</v>
      </c>
      <c r="AY601" t="s">
        <v>74</v>
      </c>
      <c r="AZ601" t="s">
        <v>74</v>
      </c>
      <c r="BA601" t="s">
        <v>74</v>
      </c>
      <c r="BB601" t="s">
        <v>74</v>
      </c>
      <c r="BC601" t="s">
        <v>74</v>
      </c>
      <c r="BD601" t="s">
        <v>11123</v>
      </c>
      <c r="BE601" t="s">
        <v>11124</v>
      </c>
      <c r="BF601" t="str">
        <f>HYPERLINK("http://dx.doi.org/10.1029/2008PA001689","http://dx.doi.org/10.1029/2008PA001689")</f>
        <v>http://dx.doi.org/10.1029/2008PA001689</v>
      </c>
      <c r="BG601" t="s">
        <v>74</v>
      </c>
      <c r="BH601" t="s">
        <v>74</v>
      </c>
      <c r="BI601">
        <v>12</v>
      </c>
      <c r="BJ601" t="s">
        <v>488</v>
      </c>
      <c r="BK601" t="s">
        <v>98</v>
      </c>
      <c r="BL601" t="s">
        <v>489</v>
      </c>
      <c r="BM601" t="s">
        <v>11125</v>
      </c>
      <c r="BN601" t="s">
        <v>74</v>
      </c>
      <c r="BO601" t="s">
        <v>239</v>
      </c>
      <c r="BP601" t="s">
        <v>74</v>
      </c>
      <c r="BQ601" t="s">
        <v>74</v>
      </c>
      <c r="BR601" t="s">
        <v>101</v>
      </c>
      <c r="BS601" t="s">
        <v>11126</v>
      </c>
      <c r="BT601" t="str">
        <f>HYPERLINK("https%3A%2F%2Fwww.webofscience.com%2Fwos%2Fwoscc%2Ffull-record%2FWOS:000269357000001","View Full Record in Web of Science")</f>
        <v>View Full Record in Web of Science</v>
      </c>
    </row>
    <row r="602" spans="1:72" x14ac:dyDescent="0.15">
      <c r="A602" t="s">
        <v>72</v>
      </c>
      <c r="B602" t="s">
        <v>11127</v>
      </c>
      <c r="C602" t="s">
        <v>74</v>
      </c>
      <c r="D602" t="s">
        <v>74</v>
      </c>
      <c r="E602" t="s">
        <v>74</v>
      </c>
      <c r="F602" t="s">
        <v>11128</v>
      </c>
      <c r="G602" t="s">
        <v>74</v>
      </c>
      <c r="H602" t="s">
        <v>74</v>
      </c>
      <c r="I602" t="s">
        <v>11129</v>
      </c>
      <c r="J602" t="s">
        <v>721</v>
      </c>
      <c r="K602" t="s">
        <v>74</v>
      </c>
      <c r="L602" t="s">
        <v>74</v>
      </c>
      <c r="M602" t="s">
        <v>78</v>
      </c>
      <c r="N602" t="s">
        <v>79</v>
      </c>
      <c r="O602" t="s">
        <v>74</v>
      </c>
      <c r="P602" t="s">
        <v>74</v>
      </c>
      <c r="Q602" t="s">
        <v>74</v>
      </c>
      <c r="R602" t="s">
        <v>74</v>
      </c>
      <c r="S602" t="s">
        <v>74</v>
      </c>
      <c r="T602" t="s">
        <v>74</v>
      </c>
      <c r="U602" t="s">
        <v>11130</v>
      </c>
      <c r="V602" t="s">
        <v>11131</v>
      </c>
      <c r="W602" t="s">
        <v>11132</v>
      </c>
      <c r="X602" t="s">
        <v>1911</v>
      </c>
      <c r="Y602" t="s">
        <v>11133</v>
      </c>
      <c r="Z602" t="s">
        <v>11134</v>
      </c>
      <c r="AA602" t="s">
        <v>74</v>
      </c>
      <c r="AB602" t="s">
        <v>74</v>
      </c>
      <c r="AC602" t="s">
        <v>11135</v>
      </c>
      <c r="AD602" t="s">
        <v>1629</v>
      </c>
      <c r="AE602" t="s">
        <v>11136</v>
      </c>
      <c r="AF602" t="s">
        <v>74</v>
      </c>
      <c r="AG602">
        <v>31</v>
      </c>
      <c r="AH602">
        <v>80</v>
      </c>
      <c r="AI602">
        <v>91</v>
      </c>
      <c r="AJ602">
        <v>1</v>
      </c>
      <c r="AK602">
        <v>20</v>
      </c>
      <c r="AL602" t="s">
        <v>226</v>
      </c>
      <c r="AM602" t="s">
        <v>227</v>
      </c>
      <c r="AN602" t="s">
        <v>228</v>
      </c>
      <c r="AO602" t="s">
        <v>731</v>
      </c>
      <c r="AP602" t="s">
        <v>74</v>
      </c>
      <c r="AQ602" t="s">
        <v>74</v>
      </c>
      <c r="AR602" t="s">
        <v>733</v>
      </c>
      <c r="AS602" t="s">
        <v>734</v>
      </c>
      <c r="AT602" t="s">
        <v>11137</v>
      </c>
      <c r="AU602">
        <v>2009</v>
      </c>
      <c r="AV602">
        <v>36</v>
      </c>
      <c r="AW602" t="s">
        <v>74</v>
      </c>
      <c r="AX602" t="s">
        <v>74</v>
      </c>
      <c r="AY602" t="s">
        <v>74</v>
      </c>
      <c r="AZ602" t="s">
        <v>74</v>
      </c>
      <c r="BA602" t="s">
        <v>74</v>
      </c>
      <c r="BB602" t="s">
        <v>74</v>
      </c>
      <c r="BC602" t="s">
        <v>74</v>
      </c>
      <c r="BD602" t="s">
        <v>11138</v>
      </c>
      <c r="BE602" t="s">
        <v>11139</v>
      </c>
      <c r="BF602" t="str">
        <f>HYPERLINK("http://dx.doi.org/10.1029/2009GL039297","http://dx.doi.org/10.1029/2009GL039297")</f>
        <v>http://dx.doi.org/10.1029/2009GL039297</v>
      </c>
      <c r="BG602" t="s">
        <v>74</v>
      </c>
      <c r="BH602" t="s">
        <v>74</v>
      </c>
      <c r="BI602">
        <v>4</v>
      </c>
      <c r="BJ602" t="s">
        <v>464</v>
      </c>
      <c r="BK602" t="s">
        <v>98</v>
      </c>
      <c r="BL602" t="s">
        <v>465</v>
      </c>
      <c r="BM602" t="s">
        <v>11140</v>
      </c>
      <c r="BN602" t="s">
        <v>74</v>
      </c>
      <c r="BO602" t="s">
        <v>74</v>
      </c>
      <c r="BP602" t="s">
        <v>74</v>
      </c>
      <c r="BQ602" t="s">
        <v>74</v>
      </c>
      <c r="BR602" t="s">
        <v>101</v>
      </c>
      <c r="BS602" t="s">
        <v>11141</v>
      </c>
      <c r="BT602" t="str">
        <f>HYPERLINK("https%3A%2F%2Fwww.webofscience.com%2Fwos%2Fwoscc%2Ffull-record%2FWOS:000269348200003","View Full Record in Web of Science")</f>
        <v>View Full Record in Web of Science</v>
      </c>
    </row>
    <row r="603" spans="1:72" x14ac:dyDescent="0.15">
      <c r="A603" t="s">
        <v>72</v>
      </c>
      <c r="B603" t="s">
        <v>11142</v>
      </c>
      <c r="C603" t="s">
        <v>74</v>
      </c>
      <c r="D603" t="s">
        <v>74</v>
      </c>
      <c r="E603" t="s">
        <v>74</v>
      </c>
      <c r="F603" t="s">
        <v>11143</v>
      </c>
      <c r="G603" t="s">
        <v>74</v>
      </c>
      <c r="H603" t="s">
        <v>74</v>
      </c>
      <c r="I603" t="s">
        <v>11144</v>
      </c>
      <c r="J603" t="s">
        <v>789</v>
      </c>
      <c r="K603" t="s">
        <v>74</v>
      </c>
      <c r="L603" t="s">
        <v>74</v>
      </c>
      <c r="M603" t="s">
        <v>78</v>
      </c>
      <c r="N603" t="s">
        <v>79</v>
      </c>
      <c r="O603" t="s">
        <v>74</v>
      </c>
      <c r="P603" t="s">
        <v>74</v>
      </c>
      <c r="Q603" t="s">
        <v>74</v>
      </c>
      <c r="R603" t="s">
        <v>74</v>
      </c>
      <c r="S603" t="s">
        <v>74</v>
      </c>
      <c r="T603" t="s">
        <v>74</v>
      </c>
      <c r="U603" t="s">
        <v>11145</v>
      </c>
      <c r="V603" t="s">
        <v>11146</v>
      </c>
      <c r="W603" t="s">
        <v>11147</v>
      </c>
      <c r="X603" t="s">
        <v>4116</v>
      </c>
      <c r="Y603" t="s">
        <v>11148</v>
      </c>
      <c r="Z603" t="s">
        <v>11149</v>
      </c>
      <c r="AA603" t="s">
        <v>11150</v>
      </c>
      <c r="AB603" t="s">
        <v>11151</v>
      </c>
      <c r="AC603" t="s">
        <v>11152</v>
      </c>
      <c r="AD603" t="s">
        <v>11153</v>
      </c>
      <c r="AE603" t="s">
        <v>11154</v>
      </c>
      <c r="AF603" t="s">
        <v>74</v>
      </c>
      <c r="AG603">
        <v>37</v>
      </c>
      <c r="AH603">
        <v>3</v>
      </c>
      <c r="AI603">
        <v>3</v>
      </c>
      <c r="AJ603">
        <v>0</v>
      </c>
      <c r="AK603">
        <v>4</v>
      </c>
      <c r="AL603" t="s">
        <v>226</v>
      </c>
      <c r="AM603" t="s">
        <v>227</v>
      </c>
      <c r="AN603" t="s">
        <v>228</v>
      </c>
      <c r="AO603" t="s">
        <v>800</v>
      </c>
      <c r="AP603" t="s">
        <v>801</v>
      </c>
      <c r="AQ603" t="s">
        <v>74</v>
      </c>
      <c r="AR603" t="s">
        <v>802</v>
      </c>
      <c r="AS603" t="s">
        <v>803</v>
      </c>
      <c r="AT603" t="s">
        <v>11137</v>
      </c>
      <c r="AU603">
        <v>2009</v>
      </c>
      <c r="AV603">
        <v>114</v>
      </c>
      <c r="AW603" t="s">
        <v>74</v>
      </c>
      <c r="AX603" t="s">
        <v>74</v>
      </c>
      <c r="AY603" t="s">
        <v>74</v>
      </c>
      <c r="AZ603" t="s">
        <v>74</v>
      </c>
      <c r="BA603" t="s">
        <v>74</v>
      </c>
      <c r="BB603" t="s">
        <v>74</v>
      </c>
      <c r="BC603" t="s">
        <v>74</v>
      </c>
      <c r="BD603" t="s">
        <v>11155</v>
      </c>
      <c r="BE603" t="s">
        <v>11156</v>
      </c>
      <c r="BF603" t="str">
        <f>HYPERLINK("http://dx.doi.org/10.1029/2008JC005028","http://dx.doi.org/10.1029/2008JC005028")</f>
        <v>http://dx.doi.org/10.1029/2008JC005028</v>
      </c>
      <c r="BG603" t="s">
        <v>74</v>
      </c>
      <c r="BH603" t="s">
        <v>74</v>
      </c>
      <c r="BI603">
        <v>16</v>
      </c>
      <c r="BJ603" t="s">
        <v>806</v>
      </c>
      <c r="BK603" t="s">
        <v>98</v>
      </c>
      <c r="BL603" t="s">
        <v>806</v>
      </c>
      <c r="BM603" t="s">
        <v>11157</v>
      </c>
      <c r="BN603" t="s">
        <v>74</v>
      </c>
      <c r="BO603" t="s">
        <v>74</v>
      </c>
      <c r="BP603" t="s">
        <v>74</v>
      </c>
      <c r="BQ603" t="s">
        <v>74</v>
      </c>
      <c r="BR603" t="s">
        <v>101</v>
      </c>
      <c r="BS603" t="s">
        <v>11158</v>
      </c>
      <c r="BT603" t="str">
        <f>HYPERLINK("https%3A%2F%2Fwww.webofscience.com%2Fwos%2Fwoscc%2Ffull-record%2FWOS:000269353000002","View Full Record in Web of Science")</f>
        <v>View Full Record in Web of Science</v>
      </c>
    </row>
    <row r="604" spans="1:72" x14ac:dyDescent="0.15">
      <c r="A604" t="s">
        <v>72</v>
      </c>
      <c r="B604" t="s">
        <v>11159</v>
      </c>
      <c r="C604" t="s">
        <v>74</v>
      </c>
      <c r="D604" t="s">
        <v>74</v>
      </c>
      <c r="E604" t="s">
        <v>74</v>
      </c>
      <c r="F604" t="s">
        <v>11160</v>
      </c>
      <c r="G604" t="s">
        <v>74</v>
      </c>
      <c r="H604" t="s">
        <v>74</v>
      </c>
      <c r="I604" t="s">
        <v>11161</v>
      </c>
      <c r="J604" t="s">
        <v>419</v>
      </c>
      <c r="K604" t="s">
        <v>74</v>
      </c>
      <c r="L604" t="s">
        <v>74</v>
      </c>
      <c r="M604" t="s">
        <v>78</v>
      </c>
      <c r="N604" t="s">
        <v>79</v>
      </c>
      <c r="O604" t="s">
        <v>74</v>
      </c>
      <c r="P604" t="s">
        <v>74</v>
      </c>
      <c r="Q604" t="s">
        <v>74</v>
      </c>
      <c r="R604" t="s">
        <v>74</v>
      </c>
      <c r="S604" t="s">
        <v>74</v>
      </c>
      <c r="T604" t="s">
        <v>11162</v>
      </c>
      <c r="U604" t="s">
        <v>74</v>
      </c>
      <c r="V604" t="s">
        <v>11163</v>
      </c>
      <c r="W604" t="s">
        <v>11164</v>
      </c>
      <c r="X604" t="s">
        <v>11165</v>
      </c>
      <c r="Y604" t="s">
        <v>11166</v>
      </c>
      <c r="Z604" t="s">
        <v>7885</v>
      </c>
      <c r="AA604" t="s">
        <v>11167</v>
      </c>
      <c r="AB604" t="s">
        <v>11168</v>
      </c>
      <c r="AC604" t="s">
        <v>11169</v>
      </c>
      <c r="AD604" t="s">
        <v>11170</v>
      </c>
      <c r="AE604" t="s">
        <v>11171</v>
      </c>
      <c r="AF604" t="s">
        <v>74</v>
      </c>
      <c r="AG604">
        <v>11</v>
      </c>
      <c r="AH604">
        <v>69</v>
      </c>
      <c r="AI604">
        <v>77</v>
      </c>
      <c r="AJ604">
        <v>0</v>
      </c>
      <c r="AK604">
        <v>38</v>
      </c>
      <c r="AL604" t="s">
        <v>432</v>
      </c>
      <c r="AM604" t="s">
        <v>433</v>
      </c>
      <c r="AN604" t="s">
        <v>434</v>
      </c>
      <c r="AO604" t="s">
        <v>435</v>
      </c>
      <c r="AP604" t="s">
        <v>11172</v>
      </c>
      <c r="AQ604" t="s">
        <v>74</v>
      </c>
      <c r="AR604" t="s">
        <v>436</v>
      </c>
      <c r="AS604" t="s">
        <v>437</v>
      </c>
      <c r="AT604" t="s">
        <v>11173</v>
      </c>
      <c r="AU604">
        <v>2009</v>
      </c>
      <c r="AV604">
        <v>5</v>
      </c>
      <c r="AW604">
        <v>4</v>
      </c>
      <c r="AX604" t="s">
        <v>74</v>
      </c>
      <c r="AY604" t="s">
        <v>74</v>
      </c>
      <c r="AZ604" t="s">
        <v>74</v>
      </c>
      <c r="BA604" t="s">
        <v>74</v>
      </c>
      <c r="BB604">
        <v>473</v>
      </c>
      <c r="BC604">
        <v>476</v>
      </c>
      <c r="BD604" t="s">
        <v>74</v>
      </c>
      <c r="BE604" t="s">
        <v>11174</v>
      </c>
      <c r="BF604" t="str">
        <f>HYPERLINK("http://dx.doi.org/10.1098/rsbl.2009.0265","http://dx.doi.org/10.1098/rsbl.2009.0265")</f>
        <v>http://dx.doi.org/10.1098/rsbl.2009.0265</v>
      </c>
      <c r="BG604" t="s">
        <v>74</v>
      </c>
      <c r="BH604" t="s">
        <v>74</v>
      </c>
      <c r="BI604">
        <v>4</v>
      </c>
      <c r="BJ604" t="s">
        <v>440</v>
      </c>
      <c r="BK604" t="s">
        <v>98</v>
      </c>
      <c r="BL604" t="s">
        <v>441</v>
      </c>
      <c r="BM604" t="s">
        <v>11175</v>
      </c>
      <c r="BN604">
        <v>19447814</v>
      </c>
      <c r="BO604" t="s">
        <v>239</v>
      </c>
      <c r="BP604" t="s">
        <v>74</v>
      </c>
      <c r="BQ604" t="s">
        <v>74</v>
      </c>
      <c r="BR604" t="s">
        <v>101</v>
      </c>
      <c r="BS604" t="s">
        <v>11176</v>
      </c>
      <c r="BT604" t="str">
        <f>HYPERLINK("https%3A%2F%2Fwww.webofscience.com%2Fwos%2Fwoscc%2Ffull-record%2FWOS:000267881700011","View Full Record in Web of Science")</f>
        <v>View Full Record in Web of Science</v>
      </c>
    </row>
    <row r="605" spans="1:72" x14ac:dyDescent="0.15">
      <c r="A605" t="s">
        <v>72</v>
      </c>
      <c r="B605" t="s">
        <v>11177</v>
      </c>
      <c r="C605" t="s">
        <v>74</v>
      </c>
      <c r="D605" t="s">
        <v>74</v>
      </c>
      <c r="E605" t="s">
        <v>74</v>
      </c>
      <c r="F605" t="s">
        <v>11178</v>
      </c>
      <c r="G605" t="s">
        <v>74</v>
      </c>
      <c r="H605" t="s">
        <v>74</v>
      </c>
      <c r="I605" t="s">
        <v>11179</v>
      </c>
      <c r="J605" t="s">
        <v>3662</v>
      </c>
      <c r="K605" t="s">
        <v>74</v>
      </c>
      <c r="L605" t="s">
        <v>74</v>
      </c>
      <c r="M605" t="s">
        <v>78</v>
      </c>
      <c r="N605" t="s">
        <v>79</v>
      </c>
      <c r="O605" t="s">
        <v>74</v>
      </c>
      <c r="P605" t="s">
        <v>74</v>
      </c>
      <c r="Q605" t="s">
        <v>74</v>
      </c>
      <c r="R605" t="s">
        <v>74</v>
      </c>
      <c r="S605" t="s">
        <v>74</v>
      </c>
      <c r="T605" t="s">
        <v>11180</v>
      </c>
      <c r="U605" t="s">
        <v>11181</v>
      </c>
      <c r="V605" t="s">
        <v>11182</v>
      </c>
      <c r="W605" t="s">
        <v>11183</v>
      </c>
      <c r="X605" t="s">
        <v>11184</v>
      </c>
      <c r="Y605" t="s">
        <v>11185</v>
      </c>
      <c r="Z605" t="s">
        <v>11186</v>
      </c>
      <c r="AA605" t="s">
        <v>11187</v>
      </c>
      <c r="AB605" t="s">
        <v>11188</v>
      </c>
      <c r="AC605" t="s">
        <v>11189</v>
      </c>
      <c r="AD605" t="s">
        <v>11086</v>
      </c>
      <c r="AE605" t="s">
        <v>11190</v>
      </c>
      <c r="AF605" t="s">
        <v>74</v>
      </c>
      <c r="AG605">
        <v>25</v>
      </c>
      <c r="AH605">
        <v>22</v>
      </c>
      <c r="AI605">
        <v>23</v>
      </c>
      <c r="AJ605">
        <v>0</v>
      </c>
      <c r="AK605">
        <v>7</v>
      </c>
      <c r="AL605" t="s">
        <v>1894</v>
      </c>
      <c r="AM605" t="s">
        <v>1895</v>
      </c>
      <c r="AN605" t="s">
        <v>1896</v>
      </c>
      <c r="AO605" t="s">
        <v>3673</v>
      </c>
      <c r="AP605" t="s">
        <v>3674</v>
      </c>
      <c r="AQ605" t="s">
        <v>74</v>
      </c>
      <c r="AR605" t="s">
        <v>3675</v>
      </c>
      <c r="AS605" t="s">
        <v>3676</v>
      </c>
      <c r="AT605" t="s">
        <v>11191</v>
      </c>
      <c r="AU605">
        <v>2009</v>
      </c>
      <c r="AV605">
        <v>29</v>
      </c>
      <c r="AW605">
        <v>15</v>
      </c>
      <c r="AX605" t="s">
        <v>74</v>
      </c>
      <c r="AY605" t="s">
        <v>74</v>
      </c>
      <c r="AZ605" t="s">
        <v>74</v>
      </c>
      <c r="BA605" t="s">
        <v>74</v>
      </c>
      <c r="BB605">
        <v>1815</v>
      </c>
      <c r="BC605">
        <v>1820</v>
      </c>
      <c r="BD605" t="s">
        <v>74</v>
      </c>
      <c r="BE605" t="s">
        <v>11192</v>
      </c>
      <c r="BF605" t="str">
        <f>HYPERLINK("http://dx.doi.org/10.1016/j.csr.2009.06.009","http://dx.doi.org/10.1016/j.csr.2009.06.009")</f>
        <v>http://dx.doi.org/10.1016/j.csr.2009.06.009</v>
      </c>
      <c r="BG605" t="s">
        <v>74</v>
      </c>
      <c r="BH605" t="s">
        <v>74</v>
      </c>
      <c r="BI605">
        <v>6</v>
      </c>
      <c r="BJ605" t="s">
        <v>806</v>
      </c>
      <c r="BK605" t="s">
        <v>98</v>
      </c>
      <c r="BL605" t="s">
        <v>806</v>
      </c>
      <c r="BM605" t="s">
        <v>11193</v>
      </c>
      <c r="BN605" t="s">
        <v>74</v>
      </c>
      <c r="BO605" t="s">
        <v>74</v>
      </c>
      <c r="BP605" t="s">
        <v>74</v>
      </c>
      <c r="BQ605" t="s">
        <v>74</v>
      </c>
      <c r="BR605" t="s">
        <v>101</v>
      </c>
      <c r="BS605" t="s">
        <v>11194</v>
      </c>
      <c r="BT605" t="str">
        <f>HYPERLINK("https%3A%2F%2Fwww.webofscience.com%2Fwos%2Fwoscc%2Ffull-record%2FWOS:000273061800006","View Full Record in Web of Science")</f>
        <v>View Full Record in Web of Science</v>
      </c>
    </row>
    <row r="606" spans="1:72" x14ac:dyDescent="0.15">
      <c r="A606" t="s">
        <v>72</v>
      </c>
      <c r="B606" t="s">
        <v>11195</v>
      </c>
      <c r="C606" t="s">
        <v>74</v>
      </c>
      <c r="D606" t="s">
        <v>74</v>
      </c>
      <c r="E606" t="s">
        <v>74</v>
      </c>
      <c r="F606" t="s">
        <v>11196</v>
      </c>
      <c r="G606" t="s">
        <v>74</v>
      </c>
      <c r="H606" t="s">
        <v>74</v>
      </c>
      <c r="I606" t="s">
        <v>11197</v>
      </c>
      <c r="J606" t="s">
        <v>3662</v>
      </c>
      <c r="K606" t="s">
        <v>74</v>
      </c>
      <c r="L606" t="s">
        <v>74</v>
      </c>
      <c r="M606" t="s">
        <v>78</v>
      </c>
      <c r="N606" t="s">
        <v>79</v>
      </c>
      <c r="O606" t="s">
        <v>74</v>
      </c>
      <c r="P606" t="s">
        <v>74</v>
      </c>
      <c r="Q606" t="s">
        <v>74</v>
      </c>
      <c r="R606" t="s">
        <v>74</v>
      </c>
      <c r="S606" t="s">
        <v>74</v>
      </c>
      <c r="T606" t="s">
        <v>11198</v>
      </c>
      <c r="U606" t="s">
        <v>11199</v>
      </c>
      <c r="V606" t="s">
        <v>11200</v>
      </c>
      <c r="W606" t="s">
        <v>11201</v>
      </c>
      <c r="X606" t="s">
        <v>11202</v>
      </c>
      <c r="Y606" t="s">
        <v>11203</v>
      </c>
      <c r="Z606" t="s">
        <v>11204</v>
      </c>
      <c r="AA606" t="s">
        <v>11205</v>
      </c>
      <c r="AB606" t="s">
        <v>11206</v>
      </c>
      <c r="AC606" t="s">
        <v>74</v>
      </c>
      <c r="AD606" t="s">
        <v>74</v>
      </c>
      <c r="AE606" t="s">
        <v>74</v>
      </c>
      <c r="AF606" t="s">
        <v>74</v>
      </c>
      <c r="AG606">
        <v>42</v>
      </c>
      <c r="AH606">
        <v>59</v>
      </c>
      <c r="AI606">
        <v>63</v>
      </c>
      <c r="AJ606">
        <v>0</v>
      </c>
      <c r="AK606">
        <v>22</v>
      </c>
      <c r="AL606" t="s">
        <v>1894</v>
      </c>
      <c r="AM606" t="s">
        <v>1895</v>
      </c>
      <c r="AN606" t="s">
        <v>1896</v>
      </c>
      <c r="AO606" t="s">
        <v>3673</v>
      </c>
      <c r="AP606" t="s">
        <v>3674</v>
      </c>
      <c r="AQ606" t="s">
        <v>74</v>
      </c>
      <c r="AR606" t="s">
        <v>3675</v>
      </c>
      <c r="AS606" t="s">
        <v>3676</v>
      </c>
      <c r="AT606" t="s">
        <v>11191</v>
      </c>
      <c r="AU606">
        <v>2009</v>
      </c>
      <c r="AV606">
        <v>29</v>
      </c>
      <c r="AW606">
        <v>15</v>
      </c>
      <c r="AX606" t="s">
        <v>74</v>
      </c>
      <c r="AY606" t="s">
        <v>74</v>
      </c>
      <c r="AZ606" t="s">
        <v>74</v>
      </c>
      <c r="BA606" t="s">
        <v>74</v>
      </c>
      <c r="BB606">
        <v>1887</v>
      </c>
      <c r="BC606">
        <v>1895</v>
      </c>
      <c r="BD606" t="s">
        <v>74</v>
      </c>
      <c r="BE606" t="s">
        <v>11207</v>
      </c>
      <c r="BF606" t="str">
        <f>HYPERLINK("http://dx.doi.org/10.1016/j.csr.2009.07.006","http://dx.doi.org/10.1016/j.csr.2009.07.006")</f>
        <v>http://dx.doi.org/10.1016/j.csr.2009.07.006</v>
      </c>
      <c r="BG606" t="s">
        <v>74</v>
      </c>
      <c r="BH606" t="s">
        <v>74</v>
      </c>
      <c r="BI606">
        <v>9</v>
      </c>
      <c r="BJ606" t="s">
        <v>806</v>
      </c>
      <c r="BK606" t="s">
        <v>98</v>
      </c>
      <c r="BL606" t="s">
        <v>806</v>
      </c>
      <c r="BM606" t="s">
        <v>11193</v>
      </c>
      <c r="BN606" t="s">
        <v>74</v>
      </c>
      <c r="BO606" t="s">
        <v>74</v>
      </c>
      <c r="BP606" t="s">
        <v>74</v>
      </c>
      <c r="BQ606" t="s">
        <v>74</v>
      </c>
      <c r="BR606" t="s">
        <v>101</v>
      </c>
      <c r="BS606" t="s">
        <v>11208</v>
      </c>
      <c r="BT606" t="str">
        <f>HYPERLINK("https%3A%2F%2Fwww.webofscience.com%2Fwos%2Fwoscc%2Ffull-record%2FWOS:000273061800012","View Full Record in Web of Science")</f>
        <v>View Full Record in Web of Science</v>
      </c>
    </row>
    <row r="607" spans="1:72" x14ac:dyDescent="0.15">
      <c r="A607" t="s">
        <v>72</v>
      </c>
      <c r="B607" t="s">
        <v>11209</v>
      </c>
      <c r="C607" t="s">
        <v>74</v>
      </c>
      <c r="D607" t="s">
        <v>74</v>
      </c>
      <c r="E607" t="s">
        <v>74</v>
      </c>
      <c r="F607" t="s">
        <v>11210</v>
      </c>
      <c r="G607" t="s">
        <v>74</v>
      </c>
      <c r="H607" t="s">
        <v>74</v>
      </c>
      <c r="I607" t="s">
        <v>11211</v>
      </c>
      <c r="J607" t="s">
        <v>542</v>
      </c>
      <c r="K607" t="s">
        <v>74</v>
      </c>
      <c r="L607" t="s">
        <v>74</v>
      </c>
      <c r="M607" t="s">
        <v>78</v>
      </c>
      <c r="N607" t="s">
        <v>79</v>
      </c>
      <c r="O607" t="s">
        <v>74</v>
      </c>
      <c r="P607" t="s">
        <v>74</v>
      </c>
      <c r="Q607" t="s">
        <v>74</v>
      </c>
      <c r="R607" t="s">
        <v>74</v>
      </c>
      <c r="S607" t="s">
        <v>74</v>
      </c>
      <c r="T607" t="s">
        <v>11212</v>
      </c>
      <c r="U607" t="s">
        <v>11213</v>
      </c>
      <c r="V607" t="s">
        <v>11214</v>
      </c>
      <c r="W607" t="s">
        <v>11215</v>
      </c>
      <c r="X607" t="s">
        <v>11216</v>
      </c>
      <c r="Y607" t="s">
        <v>11217</v>
      </c>
      <c r="Z607" t="s">
        <v>11218</v>
      </c>
      <c r="AA607" t="s">
        <v>11219</v>
      </c>
      <c r="AB607" t="s">
        <v>11220</v>
      </c>
      <c r="AC607" t="s">
        <v>11221</v>
      </c>
      <c r="AD607" t="s">
        <v>1629</v>
      </c>
      <c r="AE607" t="s">
        <v>11222</v>
      </c>
      <c r="AF607" t="s">
        <v>74</v>
      </c>
      <c r="AG607">
        <v>35</v>
      </c>
      <c r="AH607">
        <v>51</v>
      </c>
      <c r="AI607">
        <v>60</v>
      </c>
      <c r="AJ607">
        <v>0</v>
      </c>
      <c r="AK607">
        <v>17</v>
      </c>
      <c r="AL607" t="s">
        <v>226</v>
      </c>
      <c r="AM607" t="s">
        <v>227</v>
      </c>
      <c r="AN607" t="s">
        <v>228</v>
      </c>
      <c r="AO607" t="s">
        <v>553</v>
      </c>
      <c r="AP607" t="s">
        <v>74</v>
      </c>
      <c r="AQ607" t="s">
        <v>74</v>
      </c>
      <c r="AR607" t="s">
        <v>554</v>
      </c>
      <c r="AS607" t="s">
        <v>555</v>
      </c>
      <c r="AT607" t="s">
        <v>11191</v>
      </c>
      <c r="AU607">
        <v>2009</v>
      </c>
      <c r="AV607">
        <v>10</v>
      </c>
      <c r="AW607" t="s">
        <v>74</v>
      </c>
      <c r="AX607" t="s">
        <v>74</v>
      </c>
      <c r="AY607" t="s">
        <v>74</v>
      </c>
      <c r="AZ607" t="s">
        <v>74</v>
      </c>
      <c r="BA607" t="s">
        <v>74</v>
      </c>
      <c r="BB607" t="s">
        <v>74</v>
      </c>
      <c r="BC607" t="s">
        <v>74</v>
      </c>
      <c r="BD607" t="s">
        <v>11223</v>
      </c>
      <c r="BE607" t="s">
        <v>11224</v>
      </c>
      <c r="BF607" t="str">
        <f>HYPERLINK("http://dx.doi.org/10.1029/2009GC002576","http://dx.doi.org/10.1029/2009GC002576")</f>
        <v>http://dx.doi.org/10.1029/2009GC002576</v>
      </c>
      <c r="BG607" t="s">
        <v>74</v>
      </c>
      <c r="BH607" t="s">
        <v>74</v>
      </c>
      <c r="BI607">
        <v>10</v>
      </c>
      <c r="BJ607" t="s">
        <v>261</v>
      </c>
      <c r="BK607" t="s">
        <v>98</v>
      </c>
      <c r="BL607" t="s">
        <v>261</v>
      </c>
      <c r="BM607" t="s">
        <v>11225</v>
      </c>
      <c r="BN607" t="s">
        <v>74</v>
      </c>
      <c r="BO607" t="s">
        <v>263</v>
      </c>
      <c r="BP607" t="s">
        <v>74</v>
      </c>
      <c r="BQ607" t="s">
        <v>74</v>
      </c>
      <c r="BR607" t="s">
        <v>101</v>
      </c>
      <c r="BS607" t="s">
        <v>11226</v>
      </c>
      <c r="BT607" t="str">
        <f>HYPERLINK("https%3A%2F%2Fwww.webofscience.com%2Fwos%2Fwoscc%2Ffull-record%2FWOS:000269243200002","View Full Record in Web of Science")</f>
        <v>View Full Record in Web of Science</v>
      </c>
    </row>
    <row r="608" spans="1:72" x14ac:dyDescent="0.15">
      <c r="A608" t="s">
        <v>72</v>
      </c>
      <c r="B608" t="s">
        <v>11227</v>
      </c>
      <c r="C608" t="s">
        <v>74</v>
      </c>
      <c r="D608" t="s">
        <v>74</v>
      </c>
      <c r="E608" t="s">
        <v>74</v>
      </c>
      <c r="F608" t="s">
        <v>11228</v>
      </c>
      <c r="G608" t="s">
        <v>74</v>
      </c>
      <c r="H608" t="s">
        <v>74</v>
      </c>
      <c r="I608" t="s">
        <v>11229</v>
      </c>
      <c r="J608" t="s">
        <v>11230</v>
      </c>
      <c r="K608" t="s">
        <v>74</v>
      </c>
      <c r="L608" t="s">
        <v>74</v>
      </c>
      <c r="M608" t="s">
        <v>78</v>
      </c>
      <c r="N608" t="s">
        <v>79</v>
      </c>
      <c r="O608" t="s">
        <v>74</v>
      </c>
      <c r="P608" t="s">
        <v>74</v>
      </c>
      <c r="Q608" t="s">
        <v>74</v>
      </c>
      <c r="R608" t="s">
        <v>74</v>
      </c>
      <c r="S608" t="s">
        <v>74</v>
      </c>
      <c r="T608" t="s">
        <v>11231</v>
      </c>
      <c r="U608" t="s">
        <v>11232</v>
      </c>
      <c r="V608" t="s">
        <v>11233</v>
      </c>
      <c r="W608" t="s">
        <v>11234</v>
      </c>
      <c r="X608" t="s">
        <v>11235</v>
      </c>
      <c r="Y608" t="s">
        <v>11236</v>
      </c>
      <c r="Z608" t="s">
        <v>11237</v>
      </c>
      <c r="AA608" t="s">
        <v>11238</v>
      </c>
      <c r="AB608" t="s">
        <v>11239</v>
      </c>
      <c r="AC608" t="s">
        <v>11240</v>
      </c>
      <c r="AD608" t="s">
        <v>11241</v>
      </c>
      <c r="AE608" t="s">
        <v>11242</v>
      </c>
      <c r="AF608" t="s">
        <v>74</v>
      </c>
      <c r="AG608">
        <v>65</v>
      </c>
      <c r="AH608">
        <v>72</v>
      </c>
      <c r="AI608">
        <v>74</v>
      </c>
      <c r="AJ608">
        <v>0</v>
      </c>
      <c r="AK608">
        <v>27</v>
      </c>
      <c r="AL608" t="s">
        <v>305</v>
      </c>
      <c r="AM608" t="s">
        <v>281</v>
      </c>
      <c r="AN608" t="s">
        <v>306</v>
      </c>
      <c r="AO608" t="s">
        <v>11243</v>
      </c>
      <c r="AP608" t="s">
        <v>11244</v>
      </c>
      <c r="AQ608" t="s">
        <v>74</v>
      </c>
      <c r="AR608" t="s">
        <v>11245</v>
      </c>
      <c r="AS608" t="s">
        <v>11246</v>
      </c>
      <c r="AT608" t="s">
        <v>11191</v>
      </c>
      <c r="AU608">
        <v>2009</v>
      </c>
      <c r="AV608">
        <v>115</v>
      </c>
      <c r="AW608" t="s">
        <v>288</v>
      </c>
      <c r="AX608" t="s">
        <v>74</v>
      </c>
      <c r="AY608" t="s">
        <v>74</v>
      </c>
      <c r="AZ608" t="s">
        <v>74</v>
      </c>
      <c r="BA608" t="s">
        <v>74</v>
      </c>
      <c r="BB608">
        <v>163</v>
      </c>
      <c r="BC608">
        <v>175</v>
      </c>
      <c r="BD608" t="s">
        <v>74</v>
      </c>
      <c r="BE608" t="s">
        <v>11247</v>
      </c>
      <c r="BF608" t="str">
        <f>HYPERLINK("http://dx.doi.org/10.1016/j.marchem.2009.08.001","http://dx.doi.org/10.1016/j.marchem.2009.08.001")</f>
        <v>http://dx.doi.org/10.1016/j.marchem.2009.08.001</v>
      </c>
      <c r="BG608" t="s">
        <v>74</v>
      </c>
      <c r="BH608" t="s">
        <v>74</v>
      </c>
      <c r="BI608">
        <v>13</v>
      </c>
      <c r="BJ608" t="s">
        <v>11248</v>
      </c>
      <c r="BK608" t="s">
        <v>98</v>
      </c>
      <c r="BL608" t="s">
        <v>11249</v>
      </c>
      <c r="BM608" t="s">
        <v>11250</v>
      </c>
      <c r="BN608" t="s">
        <v>74</v>
      </c>
      <c r="BO608" t="s">
        <v>74</v>
      </c>
      <c r="BP608" t="s">
        <v>74</v>
      </c>
      <c r="BQ608" t="s">
        <v>74</v>
      </c>
      <c r="BR608" t="s">
        <v>101</v>
      </c>
      <c r="BS608" t="s">
        <v>11251</v>
      </c>
      <c r="BT608" t="str">
        <f>HYPERLINK("https%3A%2F%2Fwww.webofscience.com%2Fwos%2Fwoscc%2Ffull-record%2FWOS:000271965000003","View Full Record in Web of Science")</f>
        <v>View Full Record in Web of Science</v>
      </c>
    </row>
    <row r="609" spans="1:72" x14ac:dyDescent="0.15">
      <c r="A609" t="s">
        <v>72</v>
      </c>
      <c r="B609" t="s">
        <v>11252</v>
      </c>
      <c r="C609" t="s">
        <v>74</v>
      </c>
      <c r="D609" t="s">
        <v>74</v>
      </c>
      <c r="E609" t="s">
        <v>74</v>
      </c>
      <c r="F609" t="s">
        <v>11253</v>
      </c>
      <c r="G609" t="s">
        <v>74</v>
      </c>
      <c r="H609" t="s">
        <v>74</v>
      </c>
      <c r="I609" t="s">
        <v>11254</v>
      </c>
      <c r="J609" t="s">
        <v>11230</v>
      </c>
      <c r="K609" t="s">
        <v>74</v>
      </c>
      <c r="L609" t="s">
        <v>74</v>
      </c>
      <c r="M609" t="s">
        <v>78</v>
      </c>
      <c r="N609" t="s">
        <v>79</v>
      </c>
      <c r="O609" t="s">
        <v>74</v>
      </c>
      <c r="P609" t="s">
        <v>74</v>
      </c>
      <c r="Q609" t="s">
        <v>74</v>
      </c>
      <c r="R609" t="s">
        <v>74</v>
      </c>
      <c r="S609" t="s">
        <v>74</v>
      </c>
      <c r="T609" t="s">
        <v>11255</v>
      </c>
      <c r="U609" t="s">
        <v>11256</v>
      </c>
      <c r="V609" t="s">
        <v>11257</v>
      </c>
      <c r="W609" t="s">
        <v>11258</v>
      </c>
      <c r="X609" t="s">
        <v>5710</v>
      </c>
      <c r="Y609" t="s">
        <v>11259</v>
      </c>
      <c r="Z609" t="s">
        <v>11260</v>
      </c>
      <c r="AA609" t="s">
        <v>11261</v>
      </c>
      <c r="AB609" t="s">
        <v>11262</v>
      </c>
      <c r="AC609" t="s">
        <v>74</v>
      </c>
      <c r="AD609" t="s">
        <v>74</v>
      </c>
      <c r="AE609" t="s">
        <v>74</v>
      </c>
      <c r="AF609" t="s">
        <v>74</v>
      </c>
      <c r="AG609">
        <v>53</v>
      </c>
      <c r="AH609">
        <v>16</v>
      </c>
      <c r="AI609">
        <v>16</v>
      </c>
      <c r="AJ609">
        <v>0</v>
      </c>
      <c r="AK609">
        <v>15</v>
      </c>
      <c r="AL609" t="s">
        <v>305</v>
      </c>
      <c r="AM609" t="s">
        <v>281</v>
      </c>
      <c r="AN609" t="s">
        <v>306</v>
      </c>
      <c r="AO609" t="s">
        <v>11243</v>
      </c>
      <c r="AP609" t="s">
        <v>11244</v>
      </c>
      <c r="AQ609" t="s">
        <v>74</v>
      </c>
      <c r="AR609" t="s">
        <v>11245</v>
      </c>
      <c r="AS609" t="s">
        <v>11246</v>
      </c>
      <c r="AT609" t="s">
        <v>11191</v>
      </c>
      <c r="AU609">
        <v>2009</v>
      </c>
      <c r="AV609">
        <v>115</v>
      </c>
      <c r="AW609" t="s">
        <v>288</v>
      </c>
      <c r="AX609" t="s">
        <v>74</v>
      </c>
      <c r="AY609" t="s">
        <v>74</v>
      </c>
      <c r="AZ609" t="s">
        <v>74</v>
      </c>
      <c r="BA609" t="s">
        <v>74</v>
      </c>
      <c r="BB609">
        <v>196</v>
      </c>
      <c r="BC609">
        <v>210</v>
      </c>
      <c r="BD609" t="s">
        <v>74</v>
      </c>
      <c r="BE609" t="s">
        <v>11263</v>
      </c>
      <c r="BF609" t="str">
        <f>HYPERLINK("http://dx.doi.org/10.1016/j.marchem.2009.08.006","http://dx.doi.org/10.1016/j.marchem.2009.08.006")</f>
        <v>http://dx.doi.org/10.1016/j.marchem.2009.08.006</v>
      </c>
      <c r="BG609" t="s">
        <v>74</v>
      </c>
      <c r="BH609" t="s">
        <v>74</v>
      </c>
      <c r="BI609">
        <v>15</v>
      </c>
      <c r="BJ609" t="s">
        <v>11248</v>
      </c>
      <c r="BK609" t="s">
        <v>98</v>
      </c>
      <c r="BL609" t="s">
        <v>11249</v>
      </c>
      <c r="BM609" t="s">
        <v>11250</v>
      </c>
      <c r="BN609" t="s">
        <v>74</v>
      </c>
      <c r="BO609" t="s">
        <v>74</v>
      </c>
      <c r="BP609" t="s">
        <v>74</v>
      </c>
      <c r="BQ609" t="s">
        <v>74</v>
      </c>
      <c r="BR609" t="s">
        <v>101</v>
      </c>
      <c r="BS609" t="s">
        <v>11264</v>
      </c>
      <c r="BT609" t="str">
        <f>HYPERLINK("https%3A%2F%2Fwww.webofscience.com%2Fwos%2Fwoscc%2Ffull-record%2FWOS:000271965000005","View Full Record in Web of Science")</f>
        <v>View Full Record in Web of Science</v>
      </c>
    </row>
    <row r="610" spans="1:72" x14ac:dyDescent="0.15">
      <c r="A610" t="s">
        <v>72</v>
      </c>
      <c r="B610" t="s">
        <v>11265</v>
      </c>
      <c r="C610" t="s">
        <v>74</v>
      </c>
      <c r="D610" t="s">
        <v>74</v>
      </c>
      <c r="E610" t="s">
        <v>74</v>
      </c>
      <c r="F610" t="s">
        <v>11266</v>
      </c>
      <c r="G610" t="s">
        <v>74</v>
      </c>
      <c r="H610" t="s">
        <v>74</v>
      </c>
      <c r="I610" t="s">
        <v>11267</v>
      </c>
      <c r="J610" t="s">
        <v>987</v>
      </c>
      <c r="K610" t="s">
        <v>74</v>
      </c>
      <c r="L610" t="s">
        <v>74</v>
      </c>
      <c r="M610" t="s">
        <v>78</v>
      </c>
      <c r="N610" t="s">
        <v>79</v>
      </c>
      <c r="O610" t="s">
        <v>74</v>
      </c>
      <c r="P610" t="s">
        <v>74</v>
      </c>
      <c r="Q610" t="s">
        <v>74</v>
      </c>
      <c r="R610" t="s">
        <v>74</v>
      </c>
      <c r="S610" t="s">
        <v>74</v>
      </c>
      <c r="T610" t="s">
        <v>74</v>
      </c>
      <c r="U610" t="s">
        <v>11268</v>
      </c>
      <c r="V610" t="s">
        <v>11269</v>
      </c>
      <c r="W610" t="s">
        <v>11270</v>
      </c>
      <c r="X610" t="s">
        <v>11271</v>
      </c>
      <c r="Y610" t="s">
        <v>11272</v>
      </c>
      <c r="Z610" t="s">
        <v>74</v>
      </c>
      <c r="AA610" t="s">
        <v>11273</v>
      </c>
      <c r="AB610" t="s">
        <v>11274</v>
      </c>
      <c r="AC610" t="s">
        <v>11275</v>
      </c>
      <c r="AD610" t="s">
        <v>11276</v>
      </c>
      <c r="AE610" t="s">
        <v>11277</v>
      </c>
      <c r="AF610" t="s">
        <v>74</v>
      </c>
      <c r="AG610">
        <v>59</v>
      </c>
      <c r="AH610">
        <v>58</v>
      </c>
      <c r="AI610">
        <v>59</v>
      </c>
      <c r="AJ610">
        <v>0</v>
      </c>
      <c r="AK610">
        <v>9</v>
      </c>
      <c r="AL610" t="s">
        <v>226</v>
      </c>
      <c r="AM610" t="s">
        <v>227</v>
      </c>
      <c r="AN610" t="s">
        <v>228</v>
      </c>
      <c r="AO610" t="s">
        <v>997</v>
      </c>
      <c r="AP610" t="s">
        <v>998</v>
      </c>
      <c r="AQ610" t="s">
        <v>74</v>
      </c>
      <c r="AR610" t="s">
        <v>999</v>
      </c>
      <c r="AS610" t="s">
        <v>1000</v>
      </c>
      <c r="AT610" t="s">
        <v>11278</v>
      </c>
      <c r="AU610">
        <v>2009</v>
      </c>
      <c r="AV610">
        <v>114</v>
      </c>
      <c r="AW610" t="s">
        <v>74</v>
      </c>
      <c r="AX610" t="s">
        <v>74</v>
      </c>
      <c r="AY610" t="s">
        <v>74</v>
      </c>
      <c r="AZ610" t="s">
        <v>74</v>
      </c>
      <c r="BA610" t="s">
        <v>74</v>
      </c>
      <c r="BB610" t="s">
        <v>74</v>
      </c>
      <c r="BC610" t="s">
        <v>74</v>
      </c>
      <c r="BD610" t="s">
        <v>11279</v>
      </c>
      <c r="BE610" t="s">
        <v>11280</v>
      </c>
      <c r="BF610" t="str">
        <f>HYPERLINK("http://dx.doi.org/10.1029/2008JA013997","http://dx.doi.org/10.1029/2008JA013997")</f>
        <v>http://dx.doi.org/10.1029/2008JA013997</v>
      </c>
      <c r="BG610" t="s">
        <v>74</v>
      </c>
      <c r="BH610" t="s">
        <v>74</v>
      </c>
      <c r="BI610">
        <v>13</v>
      </c>
      <c r="BJ610" t="s">
        <v>1003</v>
      </c>
      <c r="BK610" t="s">
        <v>98</v>
      </c>
      <c r="BL610" t="s">
        <v>1003</v>
      </c>
      <c r="BM610" t="s">
        <v>11281</v>
      </c>
      <c r="BN610" t="s">
        <v>74</v>
      </c>
      <c r="BO610" t="s">
        <v>11282</v>
      </c>
      <c r="BP610" t="s">
        <v>74</v>
      </c>
      <c r="BQ610" t="s">
        <v>74</v>
      </c>
      <c r="BR610" t="s">
        <v>101</v>
      </c>
      <c r="BS610" t="s">
        <v>11283</v>
      </c>
      <c r="BT610" t="str">
        <f>HYPERLINK("https%3A%2F%2Fwww.webofscience.com%2Fwos%2Fwoscc%2Ffull-record%2FWOS:000269247000003","View Full Record in Web of Science")</f>
        <v>View Full Record in Web of Science</v>
      </c>
    </row>
    <row r="611" spans="1:72" x14ac:dyDescent="0.15">
      <c r="A611" t="s">
        <v>72</v>
      </c>
      <c r="B611" t="s">
        <v>11284</v>
      </c>
      <c r="C611" t="s">
        <v>74</v>
      </c>
      <c r="D611" t="s">
        <v>74</v>
      </c>
      <c r="E611" t="s">
        <v>74</v>
      </c>
      <c r="F611" t="s">
        <v>11285</v>
      </c>
      <c r="G611" t="s">
        <v>74</v>
      </c>
      <c r="H611" t="s">
        <v>74</v>
      </c>
      <c r="I611" t="s">
        <v>11286</v>
      </c>
      <c r="J611" t="s">
        <v>4061</v>
      </c>
      <c r="K611" t="s">
        <v>74</v>
      </c>
      <c r="L611" t="s">
        <v>74</v>
      </c>
      <c r="M611" t="s">
        <v>78</v>
      </c>
      <c r="N611" t="s">
        <v>79</v>
      </c>
      <c r="O611" t="s">
        <v>74</v>
      </c>
      <c r="P611" t="s">
        <v>74</v>
      </c>
      <c r="Q611" t="s">
        <v>74</v>
      </c>
      <c r="R611" t="s">
        <v>74</v>
      </c>
      <c r="S611" t="s">
        <v>74</v>
      </c>
      <c r="T611" t="s">
        <v>74</v>
      </c>
      <c r="U611" t="s">
        <v>11287</v>
      </c>
      <c r="V611" t="s">
        <v>11288</v>
      </c>
      <c r="W611" t="s">
        <v>11289</v>
      </c>
      <c r="X611" t="s">
        <v>11290</v>
      </c>
      <c r="Y611" t="s">
        <v>11291</v>
      </c>
      <c r="Z611" t="s">
        <v>11292</v>
      </c>
      <c r="AA611" t="s">
        <v>74</v>
      </c>
      <c r="AB611" t="s">
        <v>74</v>
      </c>
      <c r="AC611" t="s">
        <v>74</v>
      </c>
      <c r="AD611" t="s">
        <v>74</v>
      </c>
      <c r="AE611" t="s">
        <v>74</v>
      </c>
      <c r="AF611" t="s">
        <v>74</v>
      </c>
      <c r="AG611">
        <v>46</v>
      </c>
      <c r="AH611">
        <v>68</v>
      </c>
      <c r="AI611">
        <v>81</v>
      </c>
      <c r="AJ611">
        <v>5</v>
      </c>
      <c r="AK611">
        <v>39</v>
      </c>
      <c r="AL611" t="s">
        <v>1894</v>
      </c>
      <c r="AM611" t="s">
        <v>1895</v>
      </c>
      <c r="AN611" t="s">
        <v>1896</v>
      </c>
      <c r="AO611" t="s">
        <v>4073</v>
      </c>
      <c r="AP611" t="s">
        <v>4074</v>
      </c>
      <c r="AQ611" t="s">
        <v>74</v>
      </c>
      <c r="AR611" t="s">
        <v>4075</v>
      </c>
      <c r="AS611" t="s">
        <v>4076</v>
      </c>
      <c r="AT611" t="s">
        <v>11293</v>
      </c>
      <c r="AU611">
        <v>2009</v>
      </c>
      <c r="AV611">
        <v>73</v>
      </c>
      <c r="AW611">
        <v>16</v>
      </c>
      <c r="AX611" t="s">
        <v>74</v>
      </c>
      <c r="AY611" t="s">
        <v>74</v>
      </c>
      <c r="AZ611" t="s">
        <v>74</v>
      </c>
      <c r="BA611" t="s">
        <v>74</v>
      </c>
      <c r="BB611">
        <v>4705</v>
      </c>
      <c r="BC611">
        <v>4719</v>
      </c>
      <c r="BD611" t="s">
        <v>74</v>
      </c>
      <c r="BE611" t="s">
        <v>11294</v>
      </c>
      <c r="BF611" t="str">
        <f>HYPERLINK("http://dx.doi.org/10.1016/j.gca.2009.05.058","http://dx.doi.org/10.1016/j.gca.2009.05.058")</f>
        <v>http://dx.doi.org/10.1016/j.gca.2009.05.058</v>
      </c>
      <c r="BG611" t="s">
        <v>74</v>
      </c>
      <c r="BH611" t="s">
        <v>74</v>
      </c>
      <c r="BI611">
        <v>15</v>
      </c>
      <c r="BJ611" t="s">
        <v>261</v>
      </c>
      <c r="BK611" t="s">
        <v>98</v>
      </c>
      <c r="BL611" t="s">
        <v>261</v>
      </c>
      <c r="BM611" t="s">
        <v>11295</v>
      </c>
      <c r="BN611" t="s">
        <v>74</v>
      </c>
      <c r="BO611" t="s">
        <v>74</v>
      </c>
      <c r="BP611" t="s">
        <v>74</v>
      </c>
      <c r="BQ611" t="s">
        <v>74</v>
      </c>
      <c r="BR611" t="s">
        <v>101</v>
      </c>
      <c r="BS611" t="s">
        <v>11296</v>
      </c>
      <c r="BT611" t="str">
        <f>HYPERLINK("https%3A%2F%2Fwww.webofscience.com%2Fwos%2Fwoscc%2Ffull-record%2FWOS:000268307300007","View Full Record in Web of Science")</f>
        <v>View Full Record in Web of Science</v>
      </c>
    </row>
    <row r="612" spans="1:72" x14ac:dyDescent="0.15">
      <c r="A612" t="s">
        <v>72</v>
      </c>
      <c r="B612" t="s">
        <v>11297</v>
      </c>
      <c r="C612" t="s">
        <v>74</v>
      </c>
      <c r="D612" t="s">
        <v>74</v>
      </c>
      <c r="E612" t="s">
        <v>74</v>
      </c>
      <c r="F612" t="s">
        <v>11298</v>
      </c>
      <c r="G612" t="s">
        <v>74</v>
      </c>
      <c r="H612" t="s">
        <v>74</v>
      </c>
      <c r="I612" t="s">
        <v>11299</v>
      </c>
      <c r="J612" t="s">
        <v>4061</v>
      </c>
      <c r="K612" t="s">
        <v>74</v>
      </c>
      <c r="L612" t="s">
        <v>74</v>
      </c>
      <c r="M612" t="s">
        <v>78</v>
      </c>
      <c r="N612" t="s">
        <v>79</v>
      </c>
      <c r="O612" t="s">
        <v>74</v>
      </c>
      <c r="P612" t="s">
        <v>74</v>
      </c>
      <c r="Q612" t="s">
        <v>74</v>
      </c>
      <c r="R612" t="s">
        <v>74</v>
      </c>
      <c r="S612" t="s">
        <v>74</v>
      </c>
      <c r="T612" t="s">
        <v>74</v>
      </c>
      <c r="U612" t="s">
        <v>11300</v>
      </c>
      <c r="V612" t="s">
        <v>11301</v>
      </c>
      <c r="W612" t="s">
        <v>11302</v>
      </c>
      <c r="X612" t="s">
        <v>11303</v>
      </c>
      <c r="Y612" t="s">
        <v>11304</v>
      </c>
      <c r="Z612" t="s">
        <v>11305</v>
      </c>
      <c r="AA612" t="s">
        <v>11306</v>
      </c>
      <c r="AB612" t="s">
        <v>11307</v>
      </c>
      <c r="AC612" t="s">
        <v>11308</v>
      </c>
      <c r="AD612" t="s">
        <v>11309</v>
      </c>
      <c r="AE612" t="s">
        <v>11310</v>
      </c>
      <c r="AF612" t="s">
        <v>74</v>
      </c>
      <c r="AG612">
        <v>70</v>
      </c>
      <c r="AH612">
        <v>78</v>
      </c>
      <c r="AI612">
        <v>88</v>
      </c>
      <c r="AJ612">
        <v>1</v>
      </c>
      <c r="AK612">
        <v>34</v>
      </c>
      <c r="AL612" t="s">
        <v>1894</v>
      </c>
      <c r="AM612" t="s">
        <v>1895</v>
      </c>
      <c r="AN612" t="s">
        <v>1896</v>
      </c>
      <c r="AO612" t="s">
        <v>4073</v>
      </c>
      <c r="AP612" t="s">
        <v>4074</v>
      </c>
      <c r="AQ612" t="s">
        <v>74</v>
      </c>
      <c r="AR612" t="s">
        <v>4075</v>
      </c>
      <c r="AS612" t="s">
        <v>4076</v>
      </c>
      <c r="AT612" t="s">
        <v>11293</v>
      </c>
      <c r="AU612">
        <v>2009</v>
      </c>
      <c r="AV612">
        <v>73</v>
      </c>
      <c r="AW612">
        <v>16</v>
      </c>
      <c r="AX612" t="s">
        <v>74</v>
      </c>
      <c r="AY612" t="s">
        <v>74</v>
      </c>
      <c r="AZ612" t="s">
        <v>74</v>
      </c>
      <c r="BA612" t="s">
        <v>74</v>
      </c>
      <c r="BB612">
        <v>4907</v>
      </c>
      <c r="BC612">
        <v>4917</v>
      </c>
      <c r="BD612" t="s">
        <v>74</v>
      </c>
      <c r="BE612" t="s">
        <v>11311</v>
      </c>
      <c r="BF612" t="str">
        <f>HYPERLINK("http://dx.doi.org/10.1016/j.gca.2009.05.031","http://dx.doi.org/10.1016/j.gca.2009.05.031")</f>
        <v>http://dx.doi.org/10.1016/j.gca.2009.05.031</v>
      </c>
      <c r="BG612" t="s">
        <v>74</v>
      </c>
      <c r="BH612" t="s">
        <v>74</v>
      </c>
      <c r="BI612">
        <v>11</v>
      </c>
      <c r="BJ612" t="s">
        <v>261</v>
      </c>
      <c r="BK612" t="s">
        <v>98</v>
      </c>
      <c r="BL612" t="s">
        <v>261</v>
      </c>
      <c r="BM612" t="s">
        <v>11295</v>
      </c>
      <c r="BN612" t="s">
        <v>74</v>
      </c>
      <c r="BO612" t="s">
        <v>74</v>
      </c>
      <c r="BP612" t="s">
        <v>74</v>
      </c>
      <c r="BQ612" t="s">
        <v>74</v>
      </c>
      <c r="BR612" t="s">
        <v>101</v>
      </c>
      <c r="BS612" t="s">
        <v>11312</v>
      </c>
      <c r="BT612" t="str">
        <f>HYPERLINK("https%3A%2F%2Fwww.webofscience.com%2Fwos%2Fwoscc%2Ffull-record%2FWOS:000268307300020","View Full Record in Web of Science")</f>
        <v>View Full Record in Web of Science</v>
      </c>
    </row>
    <row r="613" spans="1:72" x14ac:dyDescent="0.15">
      <c r="A613" t="s">
        <v>72</v>
      </c>
      <c r="B613" t="s">
        <v>11313</v>
      </c>
      <c r="C613" t="s">
        <v>74</v>
      </c>
      <c r="D613" t="s">
        <v>74</v>
      </c>
      <c r="E613" t="s">
        <v>74</v>
      </c>
      <c r="F613" t="s">
        <v>11314</v>
      </c>
      <c r="G613" t="s">
        <v>74</v>
      </c>
      <c r="H613" t="s">
        <v>74</v>
      </c>
      <c r="I613" t="s">
        <v>11315</v>
      </c>
      <c r="J613" t="s">
        <v>2386</v>
      </c>
      <c r="K613" t="s">
        <v>74</v>
      </c>
      <c r="L613" t="s">
        <v>74</v>
      </c>
      <c r="M613" t="s">
        <v>78</v>
      </c>
      <c r="N613" t="s">
        <v>79</v>
      </c>
      <c r="O613" t="s">
        <v>74</v>
      </c>
      <c r="P613" t="s">
        <v>74</v>
      </c>
      <c r="Q613" t="s">
        <v>74</v>
      </c>
      <c r="R613" t="s">
        <v>74</v>
      </c>
      <c r="S613" t="s">
        <v>74</v>
      </c>
      <c r="T613" t="s">
        <v>74</v>
      </c>
      <c r="U613" t="s">
        <v>11316</v>
      </c>
      <c r="V613" t="s">
        <v>11317</v>
      </c>
      <c r="W613" t="s">
        <v>11318</v>
      </c>
      <c r="X613" t="s">
        <v>2413</v>
      </c>
      <c r="Y613" t="s">
        <v>11319</v>
      </c>
      <c r="Z613" t="s">
        <v>11320</v>
      </c>
      <c r="AA613" t="s">
        <v>11321</v>
      </c>
      <c r="AB613" t="s">
        <v>11322</v>
      </c>
      <c r="AC613" t="s">
        <v>11323</v>
      </c>
      <c r="AD613" t="s">
        <v>11324</v>
      </c>
      <c r="AE613" t="s">
        <v>11325</v>
      </c>
      <c r="AF613" t="s">
        <v>74</v>
      </c>
      <c r="AG613">
        <v>41</v>
      </c>
      <c r="AH613">
        <v>50</v>
      </c>
      <c r="AI613">
        <v>53</v>
      </c>
      <c r="AJ613">
        <v>1</v>
      </c>
      <c r="AK613">
        <v>17</v>
      </c>
      <c r="AL613" t="s">
        <v>2397</v>
      </c>
      <c r="AM613" t="s">
        <v>2398</v>
      </c>
      <c r="AN613" t="s">
        <v>2399</v>
      </c>
      <c r="AO613" t="s">
        <v>2400</v>
      </c>
      <c r="AP613" t="s">
        <v>2401</v>
      </c>
      <c r="AQ613" t="s">
        <v>74</v>
      </c>
      <c r="AR613" t="s">
        <v>2402</v>
      </c>
      <c r="AS613" t="s">
        <v>2403</v>
      </c>
      <c r="AT613" t="s">
        <v>11293</v>
      </c>
      <c r="AU613">
        <v>2009</v>
      </c>
      <c r="AV613">
        <v>22</v>
      </c>
      <c r="AW613">
        <v>16</v>
      </c>
      <c r="AX613" t="s">
        <v>74</v>
      </c>
      <c r="AY613" t="s">
        <v>74</v>
      </c>
      <c r="AZ613" t="s">
        <v>74</v>
      </c>
      <c r="BA613" t="s">
        <v>74</v>
      </c>
      <c r="BB613">
        <v>4383</v>
      </c>
      <c r="BC613">
        <v>4397</v>
      </c>
      <c r="BD613" t="s">
        <v>74</v>
      </c>
      <c r="BE613" t="s">
        <v>11326</v>
      </c>
      <c r="BF613" t="str">
        <f>HYPERLINK("http://dx.doi.org/10.1175/2009JCLI2769.1","http://dx.doi.org/10.1175/2009JCLI2769.1")</f>
        <v>http://dx.doi.org/10.1175/2009JCLI2769.1</v>
      </c>
      <c r="BG613" t="s">
        <v>74</v>
      </c>
      <c r="BH613" t="s">
        <v>74</v>
      </c>
      <c r="BI613">
        <v>15</v>
      </c>
      <c r="BJ613" t="s">
        <v>413</v>
      </c>
      <c r="BK613" t="s">
        <v>98</v>
      </c>
      <c r="BL613" t="s">
        <v>413</v>
      </c>
      <c r="BM613" t="s">
        <v>11327</v>
      </c>
      <c r="BN613" t="s">
        <v>74</v>
      </c>
      <c r="BO613" t="s">
        <v>74</v>
      </c>
      <c r="BP613" t="s">
        <v>74</v>
      </c>
      <c r="BQ613" t="s">
        <v>74</v>
      </c>
      <c r="BR613" t="s">
        <v>101</v>
      </c>
      <c r="BS613" t="s">
        <v>11328</v>
      </c>
      <c r="BT613" t="str">
        <f>HYPERLINK("https%3A%2F%2Fwww.webofscience.com%2Fwos%2Fwoscc%2Ffull-record%2FWOS:000268802600010","View Full Record in Web of Science")</f>
        <v>View Full Record in Web of Science</v>
      </c>
    </row>
    <row r="614" spans="1:72" x14ac:dyDescent="0.15">
      <c r="A614" t="s">
        <v>72</v>
      </c>
      <c r="B614" t="s">
        <v>11329</v>
      </c>
      <c r="C614" t="s">
        <v>74</v>
      </c>
      <c r="D614" t="s">
        <v>74</v>
      </c>
      <c r="E614" t="s">
        <v>74</v>
      </c>
      <c r="F614" t="s">
        <v>11330</v>
      </c>
      <c r="G614" t="s">
        <v>74</v>
      </c>
      <c r="H614" t="s">
        <v>74</v>
      </c>
      <c r="I614" t="s">
        <v>11331</v>
      </c>
      <c r="J614" t="s">
        <v>11332</v>
      </c>
      <c r="K614" t="s">
        <v>74</v>
      </c>
      <c r="L614" t="s">
        <v>74</v>
      </c>
      <c r="M614" t="s">
        <v>78</v>
      </c>
      <c r="N614" t="s">
        <v>523</v>
      </c>
      <c r="O614" t="s">
        <v>74</v>
      </c>
      <c r="P614" t="s">
        <v>74</v>
      </c>
      <c r="Q614" t="s">
        <v>74</v>
      </c>
      <c r="R614" t="s">
        <v>74</v>
      </c>
      <c r="S614" t="s">
        <v>74</v>
      </c>
      <c r="T614" t="s">
        <v>74</v>
      </c>
      <c r="U614" t="s">
        <v>11333</v>
      </c>
      <c r="V614" t="s">
        <v>11334</v>
      </c>
      <c r="W614" t="s">
        <v>11335</v>
      </c>
      <c r="X614" t="s">
        <v>11336</v>
      </c>
      <c r="Y614" t="s">
        <v>11337</v>
      </c>
      <c r="Z614" t="s">
        <v>11338</v>
      </c>
      <c r="AA614" t="s">
        <v>11339</v>
      </c>
      <c r="AB614" t="s">
        <v>11340</v>
      </c>
      <c r="AC614" t="s">
        <v>74</v>
      </c>
      <c r="AD614" t="s">
        <v>74</v>
      </c>
      <c r="AE614" t="s">
        <v>74</v>
      </c>
      <c r="AF614" t="s">
        <v>74</v>
      </c>
      <c r="AG614">
        <v>44</v>
      </c>
      <c r="AH614">
        <v>13</v>
      </c>
      <c r="AI614">
        <v>13</v>
      </c>
      <c r="AJ614">
        <v>0</v>
      </c>
      <c r="AK614">
        <v>11</v>
      </c>
      <c r="AL614" t="s">
        <v>1894</v>
      </c>
      <c r="AM614" t="s">
        <v>1895</v>
      </c>
      <c r="AN614" t="s">
        <v>1896</v>
      </c>
      <c r="AO614" t="s">
        <v>11341</v>
      </c>
      <c r="AP614" t="s">
        <v>11342</v>
      </c>
      <c r="AQ614" t="s">
        <v>74</v>
      </c>
      <c r="AR614" t="s">
        <v>11343</v>
      </c>
      <c r="AS614" t="s">
        <v>11344</v>
      </c>
      <c r="AT614" t="s">
        <v>11293</v>
      </c>
      <c r="AU614">
        <v>2009</v>
      </c>
      <c r="AV614">
        <v>205</v>
      </c>
      <c r="AW614" t="s">
        <v>74</v>
      </c>
      <c r="AX614" t="s">
        <v>74</v>
      </c>
      <c r="AY614" t="s">
        <v>74</v>
      </c>
      <c r="AZ614" t="s">
        <v>74</v>
      </c>
      <c r="BA614" t="s">
        <v>74</v>
      </c>
      <c r="BB614">
        <v>1</v>
      </c>
      <c r="BC614">
        <v>11</v>
      </c>
      <c r="BD614" t="s">
        <v>74</v>
      </c>
      <c r="BE614" t="s">
        <v>11345</v>
      </c>
      <c r="BF614" t="str">
        <f>HYPERLINK("http://dx.doi.org/10.1016/j.quaint.2009.02.031","http://dx.doi.org/10.1016/j.quaint.2009.02.031")</f>
        <v>http://dx.doi.org/10.1016/j.quaint.2009.02.031</v>
      </c>
      <c r="BG614" t="s">
        <v>74</v>
      </c>
      <c r="BH614" t="s">
        <v>74</v>
      </c>
      <c r="BI614">
        <v>11</v>
      </c>
      <c r="BJ614" t="s">
        <v>2121</v>
      </c>
      <c r="BK614" t="s">
        <v>98</v>
      </c>
      <c r="BL614" t="s">
        <v>2122</v>
      </c>
      <c r="BM614" t="s">
        <v>11346</v>
      </c>
      <c r="BN614" t="s">
        <v>74</v>
      </c>
      <c r="BO614" t="s">
        <v>74</v>
      </c>
      <c r="BP614" t="s">
        <v>74</v>
      </c>
      <c r="BQ614" t="s">
        <v>74</v>
      </c>
      <c r="BR614" t="s">
        <v>101</v>
      </c>
      <c r="BS614" t="s">
        <v>11347</v>
      </c>
      <c r="BT614" t="str">
        <f>HYPERLINK("https%3A%2F%2Fwww.webofscience.com%2Fwos%2Fwoscc%2Ffull-record%2FWOS:000269940600001","View Full Record in Web of Science")</f>
        <v>View Full Record in Web of Science</v>
      </c>
    </row>
    <row r="615" spans="1:72" x14ac:dyDescent="0.15">
      <c r="A615" t="s">
        <v>72</v>
      </c>
      <c r="B615" t="s">
        <v>11348</v>
      </c>
      <c r="C615" t="s">
        <v>74</v>
      </c>
      <c r="D615" t="s">
        <v>74</v>
      </c>
      <c r="E615" t="s">
        <v>74</v>
      </c>
      <c r="F615" t="s">
        <v>11349</v>
      </c>
      <c r="G615" t="s">
        <v>74</v>
      </c>
      <c r="H615" t="s">
        <v>74</v>
      </c>
      <c r="I615" t="s">
        <v>11350</v>
      </c>
      <c r="J615" t="s">
        <v>987</v>
      </c>
      <c r="K615" t="s">
        <v>74</v>
      </c>
      <c r="L615" t="s">
        <v>74</v>
      </c>
      <c r="M615" t="s">
        <v>78</v>
      </c>
      <c r="N615" t="s">
        <v>79</v>
      </c>
      <c r="O615" t="s">
        <v>74</v>
      </c>
      <c r="P615" t="s">
        <v>74</v>
      </c>
      <c r="Q615" t="s">
        <v>74</v>
      </c>
      <c r="R615" t="s">
        <v>74</v>
      </c>
      <c r="S615" t="s">
        <v>74</v>
      </c>
      <c r="T615" t="s">
        <v>74</v>
      </c>
      <c r="U615" t="s">
        <v>11351</v>
      </c>
      <c r="V615" t="s">
        <v>11352</v>
      </c>
      <c r="W615" t="s">
        <v>11353</v>
      </c>
      <c r="X615" t="s">
        <v>11354</v>
      </c>
      <c r="Y615" t="s">
        <v>11355</v>
      </c>
      <c r="Z615" t="s">
        <v>11356</v>
      </c>
      <c r="AA615" t="s">
        <v>11357</v>
      </c>
      <c r="AB615" t="s">
        <v>11358</v>
      </c>
      <c r="AC615" t="s">
        <v>11359</v>
      </c>
      <c r="AD615" t="s">
        <v>11360</v>
      </c>
      <c r="AE615" t="s">
        <v>11361</v>
      </c>
      <c r="AF615" t="s">
        <v>74</v>
      </c>
      <c r="AG615">
        <v>41</v>
      </c>
      <c r="AH615">
        <v>50</v>
      </c>
      <c r="AI615">
        <v>51</v>
      </c>
      <c r="AJ615">
        <v>0</v>
      </c>
      <c r="AK615">
        <v>6</v>
      </c>
      <c r="AL615" t="s">
        <v>226</v>
      </c>
      <c r="AM615" t="s">
        <v>227</v>
      </c>
      <c r="AN615" t="s">
        <v>228</v>
      </c>
      <c r="AO615" t="s">
        <v>997</v>
      </c>
      <c r="AP615" t="s">
        <v>998</v>
      </c>
      <c r="AQ615" t="s">
        <v>74</v>
      </c>
      <c r="AR615" t="s">
        <v>999</v>
      </c>
      <c r="AS615" t="s">
        <v>1000</v>
      </c>
      <c r="AT615" t="s">
        <v>11362</v>
      </c>
      <c r="AU615">
        <v>2009</v>
      </c>
      <c r="AV615">
        <v>114</v>
      </c>
      <c r="AW615" t="s">
        <v>74</v>
      </c>
      <c r="AX615" t="s">
        <v>74</v>
      </c>
      <c r="AY615" t="s">
        <v>74</v>
      </c>
      <c r="AZ615" t="s">
        <v>74</v>
      </c>
      <c r="BA615" t="s">
        <v>74</v>
      </c>
      <c r="BB615" t="s">
        <v>74</v>
      </c>
      <c r="BC615" t="s">
        <v>74</v>
      </c>
      <c r="BD615" t="s">
        <v>11363</v>
      </c>
      <c r="BE615" t="s">
        <v>11364</v>
      </c>
      <c r="BF615" t="str">
        <f>HYPERLINK("http://dx.doi.org/10.1029/2009JA014125","http://dx.doi.org/10.1029/2009JA014125")</f>
        <v>http://dx.doi.org/10.1029/2009JA014125</v>
      </c>
      <c r="BG615" t="s">
        <v>74</v>
      </c>
      <c r="BH615" t="s">
        <v>74</v>
      </c>
      <c r="BI615">
        <v>12</v>
      </c>
      <c r="BJ615" t="s">
        <v>1003</v>
      </c>
      <c r="BK615" t="s">
        <v>98</v>
      </c>
      <c r="BL615" t="s">
        <v>1003</v>
      </c>
      <c r="BM615" t="s">
        <v>11365</v>
      </c>
      <c r="BN615" t="s">
        <v>74</v>
      </c>
      <c r="BO615" t="s">
        <v>263</v>
      </c>
      <c r="BP615" t="s">
        <v>74</v>
      </c>
      <c r="BQ615" t="s">
        <v>74</v>
      </c>
      <c r="BR615" t="s">
        <v>101</v>
      </c>
      <c r="BS615" t="s">
        <v>11366</v>
      </c>
      <c r="BT615" t="str">
        <f>HYPERLINK("https%3A%2F%2Fwww.webofscience.com%2Fwos%2Fwoscc%2Ffull-record%2FWOS:000269035300004","View Full Record in Web of Science")</f>
        <v>View Full Record in Web of Science</v>
      </c>
    </row>
    <row r="616" spans="1:72" x14ac:dyDescent="0.15">
      <c r="A616" t="s">
        <v>72</v>
      </c>
      <c r="B616" t="s">
        <v>11367</v>
      </c>
      <c r="C616" t="s">
        <v>74</v>
      </c>
      <c r="D616" t="s">
        <v>74</v>
      </c>
      <c r="E616" t="s">
        <v>74</v>
      </c>
      <c r="F616" t="s">
        <v>11368</v>
      </c>
      <c r="G616" t="s">
        <v>74</v>
      </c>
      <c r="H616" t="s">
        <v>74</v>
      </c>
      <c r="I616" t="s">
        <v>11369</v>
      </c>
      <c r="J616" t="s">
        <v>3797</v>
      </c>
      <c r="K616" t="s">
        <v>74</v>
      </c>
      <c r="L616" t="s">
        <v>74</v>
      </c>
      <c r="M616" t="s">
        <v>78</v>
      </c>
      <c r="N616" t="s">
        <v>79</v>
      </c>
      <c r="O616" t="s">
        <v>74</v>
      </c>
      <c r="P616" t="s">
        <v>74</v>
      </c>
      <c r="Q616" t="s">
        <v>74</v>
      </c>
      <c r="R616" t="s">
        <v>74</v>
      </c>
      <c r="S616" t="s">
        <v>74</v>
      </c>
      <c r="T616" t="s">
        <v>11370</v>
      </c>
      <c r="U616" t="s">
        <v>11371</v>
      </c>
      <c r="V616" t="s">
        <v>11372</v>
      </c>
      <c r="W616" t="s">
        <v>11373</v>
      </c>
      <c r="X616" t="s">
        <v>11374</v>
      </c>
      <c r="Y616" t="s">
        <v>11375</v>
      </c>
      <c r="Z616" t="s">
        <v>11376</v>
      </c>
      <c r="AA616" t="s">
        <v>74</v>
      </c>
      <c r="AB616" t="s">
        <v>74</v>
      </c>
      <c r="AC616" t="s">
        <v>74</v>
      </c>
      <c r="AD616" t="s">
        <v>74</v>
      </c>
      <c r="AE616" t="s">
        <v>74</v>
      </c>
      <c r="AF616" t="s">
        <v>74</v>
      </c>
      <c r="AG616">
        <v>52</v>
      </c>
      <c r="AH616">
        <v>5</v>
      </c>
      <c r="AI616">
        <v>9</v>
      </c>
      <c r="AJ616">
        <v>0</v>
      </c>
      <c r="AK616">
        <v>1</v>
      </c>
      <c r="AL616" t="s">
        <v>3808</v>
      </c>
      <c r="AM616" t="s">
        <v>3809</v>
      </c>
      <c r="AN616" t="s">
        <v>3810</v>
      </c>
      <c r="AO616" t="s">
        <v>3811</v>
      </c>
      <c r="AP616" t="s">
        <v>3812</v>
      </c>
      <c r="AQ616" t="s">
        <v>74</v>
      </c>
      <c r="AR616" t="s">
        <v>3797</v>
      </c>
      <c r="AS616" t="s">
        <v>3813</v>
      </c>
      <c r="AT616" t="s">
        <v>11377</v>
      </c>
      <c r="AU616">
        <v>2009</v>
      </c>
      <c r="AV616" t="s">
        <v>74</v>
      </c>
      <c r="AW616">
        <v>2196</v>
      </c>
      <c r="AX616" t="s">
        <v>74</v>
      </c>
      <c r="AY616" t="s">
        <v>74</v>
      </c>
      <c r="AZ616" t="s">
        <v>74</v>
      </c>
      <c r="BA616" t="s">
        <v>74</v>
      </c>
      <c r="BB616">
        <v>1</v>
      </c>
      <c r="BC616">
        <v>18</v>
      </c>
      <c r="BD616" t="s">
        <v>74</v>
      </c>
      <c r="BE616" t="s">
        <v>74</v>
      </c>
      <c r="BF616" t="s">
        <v>74</v>
      </c>
      <c r="BG616" t="s">
        <v>74</v>
      </c>
      <c r="BH616" t="s">
        <v>74</v>
      </c>
      <c r="BI616">
        <v>18</v>
      </c>
      <c r="BJ616" t="s">
        <v>207</v>
      </c>
      <c r="BK616" t="s">
        <v>98</v>
      </c>
      <c r="BL616" t="s">
        <v>207</v>
      </c>
      <c r="BM616" t="s">
        <v>11378</v>
      </c>
      <c r="BN616" t="s">
        <v>74</v>
      </c>
      <c r="BO616" t="s">
        <v>74</v>
      </c>
      <c r="BP616" t="s">
        <v>74</v>
      </c>
      <c r="BQ616" t="s">
        <v>74</v>
      </c>
      <c r="BR616" t="s">
        <v>101</v>
      </c>
      <c r="BS616" t="s">
        <v>11379</v>
      </c>
      <c r="BT616" t="str">
        <f>HYPERLINK("https%3A%2F%2Fwww.webofscience.com%2Fwos%2Fwoscc%2Ffull-record%2FWOS:000268906000001","View Full Record in Web of Science")</f>
        <v>View Full Record in Web of Science</v>
      </c>
    </row>
    <row r="617" spans="1:72" x14ac:dyDescent="0.15">
      <c r="A617" t="s">
        <v>72</v>
      </c>
      <c r="B617" t="s">
        <v>11380</v>
      </c>
      <c r="C617" t="s">
        <v>74</v>
      </c>
      <c r="D617" t="s">
        <v>74</v>
      </c>
      <c r="E617" t="s">
        <v>74</v>
      </c>
      <c r="F617" t="s">
        <v>11381</v>
      </c>
      <c r="G617" t="s">
        <v>74</v>
      </c>
      <c r="H617" t="s">
        <v>74</v>
      </c>
      <c r="I617" t="s">
        <v>11382</v>
      </c>
      <c r="J617" t="s">
        <v>987</v>
      </c>
      <c r="K617" t="s">
        <v>74</v>
      </c>
      <c r="L617" t="s">
        <v>74</v>
      </c>
      <c r="M617" t="s">
        <v>78</v>
      </c>
      <c r="N617" t="s">
        <v>79</v>
      </c>
      <c r="O617" t="s">
        <v>74</v>
      </c>
      <c r="P617" t="s">
        <v>74</v>
      </c>
      <c r="Q617" t="s">
        <v>74</v>
      </c>
      <c r="R617" t="s">
        <v>74</v>
      </c>
      <c r="S617" t="s">
        <v>74</v>
      </c>
      <c r="T617" t="s">
        <v>74</v>
      </c>
      <c r="U617" t="s">
        <v>11383</v>
      </c>
      <c r="V617" t="s">
        <v>11384</v>
      </c>
      <c r="W617" t="s">
        <v>11385</v>
      </c>
      <c r="X617" t="s">
        <v>11386</v>
      </c>
      <c r="Y617" t="s">
        <v>11387</v>
      </c>
      <c r="Z617" t="s">
        <v>11388</v>
      </c>
      <c r="AA617" t="s">
        <v>11389</v>
      </c>
      <c r="AB617" t="s">
        <v>11390</v>
      </c>
      <c r="AC617" t="s">
        <v>11391</v>
      </c>
      <c r="AD617" t="s">
        <v>11392</v>
      </c>
      <c r="AE617" t="s">
        <v>11393</v>
      </c>
      <c r="AF617" t="s">
        <v>74</v>
      </c>
      <c r="AG617">
        <v>24</v>
      </c>
      <c r="AH617">
        <v>1</v>
      </c>
      <c r="AI617">
        <v>5</v>
      </c>
      <c r="AJ617">
        <v>1</v>
      </c>
      <c r="AK617">
        <v>3</v>
      </c>
      <c r="AL617" t="s">
        <v>226</v>
      </c>
      <c r="AM617" t="s">
        <v>227</v>
      </c>
      <c r="AN617" t="s">
        <v>228</v>
      </c>
      <c r="AO617" t="s">
        <v>997</v>
      </c>
      <c r="AP617" t="s">
        <v>998</v>
      </c>
      <c r="AQ617" t="s">
        <v>74</v>
      </c>
      <c r="AR617" t="s">
        <v>999</v>
      </c>
      <c r="AS617" t="s">
        <v>1000</v>
      </c>
      <c r="AT617" t="s">
        <v>11394</v>
      </c>
      <c r="AU617">
        <v>2009</v>
      </c>
      <c r="AV617">
        <v>114</v>
      </c>
      <c r="AW617" t="s">
        <v>74</v>
      </c>
      <c r="AX617" t="s">
        <v>74</v>
      </c>
      <c r="AY617" t="s">
        <v>74</v>
      </c>
      <c r="AZ617" t="s">
        <v>74</v>
      </c>
      <c r="BA617" t="s">
        <v>74</v>
      </c>
      <c r="BB617" t="s">
        <v>74</v>
      </c>
      <c r="BC617" t="s">
        <v>74</v>
      </c>
      <c r="BD617" t="s">
        <v>11395</v>
      </c>
      <c r="BE617" t="s">
        <v>11396</v>
      </c>
      <c r="BF617" t="str">
        <f>HYPERLINK("http://dx.doi.org/10.1029/2008JA013971","http://dx.doi.org/10.1029/2008JA013971")</f>
        <v>http://dx.doi.org/10.1029/2008JA013971</v>
      </c>
      <c r="BG617" t="s">
        <v>74</v>
      </c>
      <c r="BH617" t="s">
        <v>74</v>
      </c>
      <c r="BI617">
        <v>12</v>
      </c>
      <c r="BJ617" t="s">
        <v>1003</v>
      </c>
      <c r="BK617" t="s">
        <v>98</v>
      </c>
      <c r="BL617" t="s">
        <v>1003</v>
      </c>
      <c r="BM617" t="s">
        <v>11397</v>
      </c>
      <c r="BN617" t="s">
        <v>74</v>
      </c>
      <c r="BO617" t="s">
        <v>263</v>
      </c>
      <c r="BP617" t="s">
        <v>74</v>
      </c>
      <c r="BQ617" t="s">
        <v>74</v>
      </c>
      <c r="BR617" t="s">
        <v>101</v>
      </c>
      <c r="BS617" t="s">
        <v>11398</v>
      </c>
      <c r="BT617" t="str">
        <f>HYPERLINK("https%3A%2F%2Fwww.webofscience.com%2Fwos%2Fwoscc%2Ffull-record%2FWOS:000269034900002","View Full Record in Web of Science")</f>
        <v>View Full Record in Web of Science</v>
      </c>
    </row>
    <row r="618" spans="1:72" x14ac:dyDescent="0.15">
      <c r="A618" t="s">
        <v>72</v>
      </c>
      <c r="B618" t="s">
        <v>11399</v>
      </c>
      <c r="C618" t="s">
        <v>74</v>
      </c>
      <c r="D618" t="s">
        <v>74</v>
      </c>
      <c r="E618" t="s">
        <v>74</v>
      </c>
      <c r="F618" t="s">
        <v>11400</v>
      </c>
      <c r="G618" t="s">
        <v>74</v>
      </c>
      <c r="H618" t="s">
        <v>74</v>
      </c>
      <c r="I618" t="s">
        <v>11401</v>
      </c>
      <c r="J618" t="s">
        <v>721</v>
      </c>
      <c r="K618" t="s">
        <v>74</v>
      </c>
      <c r="L618" t="s">
        <v>74</v>
      </c>
      <c r="M618" t="s">
        <v>78</v>
      </c>
      <c r="N618" t="s">
        <v>79</v>
      </c>
      <c r="O618" t="s">
        <v>74</v>
      </c>
      <c r="P618" t="s">
        <v>74</v>
      </c>
      <c r="Q618" t="s">
        <v>74</v>
      </c>
      <c r="R618" t="s">
        <v>74</v>
      </c>
      <c r="S618" t="s">
        <v>74</v>
      </c>
      <c r="T618" t="s">
        <v>74</v>
      </c>
      <c r="U618" t="s">
        <v>11402</v>
      </c>
      <c r="V618" t="s">
        <v>11403</v>
      </c>
      <c r="W618" t="s">
        <v>11404</v>
      </c>
      <c r="X618" t="s">
        <v>11405</v>
      </c>
      <c r="Y618" t="s">
        <v>11406</v>
      </c>
      <c r="Z618" t="s">
        <v>11407</v>
      </c>
      <c r="AA618" t="s">
        <v>11408</v>
      </c>
      <c r="AB618" t="s">
        <v>11409</v>
      </c>
      <c r="AC618" t="s">
        <v>11410</v>
      </c>
      <c r="AD618" t="s">
        <v>11410</v>
      </c>
      <c r="AE618" t="s">
        <v>11411</v>
      </c>
      <c r="AF618" t="s">
        <v>74</v>
      </c>
      <c r="AG618">
        <v>16</v>
      </c>
      <c r="AH618">
        <v>7</v>
      </c>
      <c r="AI618">
        <v>7</v>
      </c>
      <c r="AJ618">
        <v>0</v>
      </c>
      <c r="AK618">
        <v>5</v>
      </c>
      <c r="AL618" t="s">
        <v>226</v>
      </c>
      <c r="AM618" t="s">
        <v>227</v>
      </c>
      <c r="AN618" t="s">
        <v>228</v>
      </c>
      <c r="AO618" t="s">
        <v>731</v>
      </c>
      <c r="AP618" t="s">
        <v>74</v>
      </c>
      <c r="AQ618" t="s">
        <v>74</v>
      </c>
      <c r="AR618" t="s">
        <v>733</v>
      </c>
      <c r="AS618" t="s">
        <v>734</v>
      </c>
      <c r="AT618" t="s">
        <v>11412</v>
      </c>
      <c r="AU618">
        <v>2009</v>
      </c>
      <c r="AV618">
        <v>36</v>
      </c>
      <c r="AW618" t="s">
        <v>74</v>
      </c>
      <c r="AX618" t="s">
        <v>74</v>
      </c>
      <c r="AY618" t="s">
        <v>74</v>
      </c>
      <c r="AZ618" t="s">
        <v>74</v>
      </c>
      <c r="BA618" t="s">
        <v>74</v>
      </c>
      <c r="BB618" t="s">
        <v>74</v>
      </c>
      <c r="BC618" t="s">
        <v>74</v>
      </c>
      <c r="BD618" t="s">
        <v>11413</v>
      </c>
      <c r="BE618" t="s">
        <v>11414</v>
      </c>
      <c r="BF618" t="str">
        <f>HYPERLINK("http://dx.doi.org/10.1029/2009GL039359","http://dx.doi.org/10.1029/2009GL039359")</f>
        <v>http://dx.doi.org/10.1029/2009GL039359</v>
      </c>
      <c r="BG618" t="s">
        <v>74</v>
      </c>
      <c r="BH618" t="s">
        <v>74</v>
      </c>
      <c r="BI618">
        <v>4</v>
      </c>
      <c r="BJ618" t="s">
        <v>464</v>
      </c>
      <c r="BK618" t="s">
        <v>98</v>
      </c>
      <c r="BL618" t="s">
        <v>465</v>
      </c>
      <c r="BM618" t="s">
        <v>11415</v>
      </c>
      <c r="BN618" t="s">
        <v>74</v>
      </c>
      <c r="BO618" t="s">
        <v>263</v>
      </c>
      <c r="BP618" t="s">
        <v>74</v>
      </c>
      <c r="BQ618" t="s">
        <v>74</v>
      </c>
      <c r="BR618" t="s">
        <v>101</v>
      </c>
      <c r="BS618" t="s">
        <v>11416</v>
      </c>
      <c r="BT618" t="str">
        <f>HYPERLINK("https%3A%2F%2Fwww.webofscience.com%2Fwos%2Fwoscc%2Ffull-record%2FWOS:000268820300004","View Full Record in Web of Science")</f>
        <v>View Full Record in Web of Science</v>
      </c>
    </row>
    <row r="619" spans="1:72" x14ac:dyDescent="0.15">
      <c r="A619" t="s">
        <v>72</v>
      </c>
      <c r="B619" t="s">
        <v>11417</v>
      </c>
      <c r="C619" t="s">
        <v>74</v>
      </c>
      <c r="D619" t="s">
        <v>74</v>
      </c>
      <c r="E619" t="s">
        <v>74</v>
      </c>
      <c r="F619" t="s">
        <v>11418</v>
      </c>
      <c r="G619" t="s">
        <v>74</v>
      </c>
      <c r="H619" t="s">
        <v>74</v>
      </c>
      <c r="I619" t="s">
        <v>11419</v>
      </c>
      <c r="J619" t="s">
        <v>4236</v>
      </c>
      <c r="K619" t="s">
        <v>74</v>
      </c>
      <c r="L619" t="s">
        <v>74</v>
      </c>
      <c r="M619" t="s">
        <v>78</v>
      </c>
      <c r="N619" t="s">
        <v>79</v>
      </c>
      <c r="O619" t="s">
        <v>74</v>
      </c>
      <c r="P619" t="s">
        <v>74</v>
      </c>
      <c r="Q619" t="s">
        <v>74</v>
      </c>
      <c r="R619" t="s">
        <v>74</v>
      </c>
      <c r="S619" t="s">
        <v>74</v>
      </c>
      <c r="T619" t="s">
        <v>74</v>
      </c>
      <c r="U619" t="s">
        <v>11420</v>
      </c>
      <c r="V619" t="s">
        <v>11421</v>
      </c>
      <c r="W619" t="s">
        <v>11422</v>
      </c>
      <c r="X619" t="s">
        <v>11423</v>
      </c>
      <c r="Y619" t="s">
        <v>527</v>
      </c>
      <c r="Z619" t="s">
        <v>11424</v>
      </c>
      <c r="AA619" t="s">
        <v>74</v>
      </c>
      <c r="AB619" t="s">
        <v>11425</v>
      </c>
      <c r="AC619" t="s">
        <v>11426</v>
      </c>
      <c r="AD619" t="s">
        <v>11427</v>
      </c>
      <c r="AE619" t="s">
        <v>11428</v>
      </c>
      <c r="AF619" t="s">
        <v>74</v>
      </c>
      <c r="AG619">
        <v>52</v>
      </c>
      <c r="AH619">
        <v>2419</v>
      </c>
      <c r="AI619">
        <v>2766</v>
      </c>
      <c r="AJ619">
        <v>20</v>
      </c>
      <c r="AK619">
        <v>832</v>
      </c>
      <c r="AL619" t="s">
        <v>4248</v>
      </c>
      <c r="AM619" t="s">
        <v>227</v>
      </c>
      <c r="AN619" t="s">
        <v>4249</v>
      </c>
      <c r="AO619" t="s">
        <v>4250</v>
      </c>
      <c r="AP619" t="s">
        <v>6995</v>
      </c>
      <c r="AQ619" t="s">
        <v>74</v>
      </c>
      <c r="AR619" t="s">
        <v>4236</v>
      </c>
      <c r="AS619" t="s">
        <v>4251</v>
      </c>
      <c r="AT619" t="s">
        <v>11429</v>
      </c>
      <c r="AU619">
        <v>2009</v>
      </c>
      <c r="AV619">
        <v>325</v>
      </c>
      <c r="AW619">
        <v>5941</v>
      </c>
      <c r="AX619" t="s">
        <v>74</v>
      </c>
      <c r="AY619" t="s">
        <v>74</v>
      </c>
      <c r="AZ619" t="s">
        <v>74</v>
      </c>
      <c r="BA619" t="s">
        <v>74</v>
      </c>
      <c r="BB619">
        <v>710</v>
      </c>
      <c r="BC619">
        <v>714</v>
      </c>
      <c r="BD619" t="s">
        <v>74</v>
      </c>
      <c r="BE619" t="s">
        <v>11430</v>
      </c>
      <c r="BF619" t="str">
        <f>HYPERLINK("http://dx.doi.org/10.1126/science.1172873","http://dx.doi.org/10.1126/science.1172873")</f>
        <v>http://dx.doi.org/10.1126/science.1172873</v>
      </c>
      <c r="BG619" t="s">
        <v>74</v>
      </c>
      <c r="BH619" t="s">
        <v>74</v>
      </c>
      <c r="BI619">
        <v>5</v>
      </c>
      <c r="BJ619" t="s">
        <v>388</v>
      </c>
      <c r="BK619" t="s">
        <v>98</v>
      </c>
      <c r="BL619" t="s">
        <v>389</v>
      </c>
      <c r="BM619" t="s">
        <v>11431</v>
      </c>
      <c r="BN619">
        <v>19661421</v>
      </c>
      <c r="BO619" t="s">
        <v>74</v>
      </c>
      <c r="BP619" t="s">
        <v>74</v>
      </c>
      <c r="BQ619" t="s">
        <v>74</v>
      </c>
      <c r="BR619" t="s">
        <v>101</v>
      </c>
      <c r="BS619" t="s">
        <v>11432</v>
      </c>
      <c r="BT619" t="str">
        <f>HYPERLINK("https%3A%2F%2Fwww.webofscience.com%2Fwos%2Fwoscc%2Ffull-record%2FWOS:000268723700039","View Full Record in Web of Science")</f>
        <v>View Full Record in Web of Science</v>
      </c>
    </row>
    <row r="620" spans="1:72" x14ac:dyDescent="0.15">
      <c r="A620" t="s">
        <v>72</v>
      </c>
      <c r="B620" t="s">
        <v>11433</v>
      </c>
      <c r="C620" t="s">
        <v>74</v>
      </c>
      <c r="D620" t="s">
        <v>74</v>
      </c>
      <c r="E620" t="s">
        <v>74</v>
      </c>
      <c r="F620" t="s">
        <v>11434</v>
      </c>
      <c r="G620" t="s">
        <v>74</v>
      </c>
      <c r="H620" t="s">
        <v>74</v>
      </c>
      <c r="I620" t="s">
        <v>11435</v>
      </c>
      <c r="J620" t="s">
        <v>522</v>
      </c>
      <c r="K620" t="s">
        <v>74</v>
      </c>
      <c r="L620" t="s">
        <v>74</v>
      </c>
      <c r="M620" t="s">
        <v>78</v>
      </c>
      <c r="N620" t="s">
        <v>2080</v>
      </c>
      <c r="O620" t="s">
        <v>74</v>
      </c>
      <c r="P620" t="s">
        <v>74</v>
      </c>
      <c r="Q620" t="s">
        <v>74</v>
      </c>
      <c r="R620" t="s">
        <v>74</v>
      </c>
      <c r="S620" t="s">
        <v>74</v>
      </c>
      <c r="T620" t="s">
        <v>74</v>
      </c>
      <c r="U620" t="s">
        <v>74</v>
      </c>
      <c r="V620" t="s">
        <v>74</v>
      </c>
      <c r="W620" t="s">
        <v>74</v>
      </c>
      <c r="X620" t="s">
        <v>74</v>
      </c>
      <c r="Y620" t="s">
        <v>74</v>
      </c>
      <c r="Z620" t="s">
        <v>74</v>
      </c>
      <c r="AA620" t="s">
        <v>11436</v>
      </c>
      <c r="AB620" t="s">
        <v>11437</v>
      </c>
      <c r="AC620" t="s">
        <v>74</v>
      </c>
      <c r="AD620" t="s">
        <v>74</v>
      </c>
      <c r="AE620" t="s">
        <v>74</v>
      </c>
      <c r="AF620" t="s">
        <v>74</v>
      </c>
      <c r="AG620">
        <v>1</v>
      </c>
      <c r="AH620">
        <v>16</v>
      </c>
      <c r="AI620">
        <v>17</v>
      </c>
      <c r="AJ620">
        <v>2</v>
      </c>
      <c r="AK620">
        <v>51</v>
      </c>
      <c r="AL620" t="s">
        <v>2890</v>
      </c>
      <c r="AM620" t="s">
        <v>433</v>
      </c>
      <c r="AN620" t="s">
        <v>3957</v>
      </c>
      <c r="AO620" t="s">
        <v>532</v>
      </c>
      <c r="AP620" t="s">
        <v>74</v>
      </c>
      <c r="AQ620" t="s">
        <v>74</v>
      </c>
      <c r="AR620" t="s">
        <v>522</v>
      </c>
      <c r="AS620" t="s">
        <v>534</v>
      </c>
      <c r="AT620" t="s">
        <v>11438</v>
      </c>
      <c r="AU620">
        <v>2009</v>
      </c>
      <c r="AV620">
        <v>460</v>
      </c>
      <c r="AW620">
        <v>7256</v>
      </c>
      <c r="AX620" t="s">
        <v>74</v>
      </c>
      <c r="AY620" t="s">
        <v>74</v>
      </c>
      <c r="AZ620" t="s">
        <v>74</v>
      </c>
      <c r="BA620" t="s">
        <v>74</v>
      </c>
      <c r="BB620">
        <v>766</v>
      </c>
      <c r="BC620">
        <v>766</v>
      </c>
      <c r="BD620" t="s">
        <v>74</v>
      </c>
      <c r="BE620" t="s">
        <v>11439</v>
      </c>
      <c r="BF620" t="str">
        <f>HYPERLINK("http://dx.doi.org/10.1038/nature08286","http://dx.doi.org/10.1038/nature08286")</f>
        <v>http://dx.doi.org/10.1038/nature08286</v>
      </c>
      <c r="BG620" t="s">
        <v>74</v>
      </c>
      <c r="BH620" t="s">
        <v>74</v>
      </c>
      <c r="BI620">
        <v>1</v>
      </c>
      <c r="BJ620" t="s">
        <v>388</v>
      </c>
      <c r="BK620" t="s">
        <v>98</v>
      </c>
      <c r="BL620" t="s">
        <v>389</v>
      </c>
      <c r="BM620" t="s">
        <v>11440</v>
      </c>
      <c r="BN620" t="s">
        <v>74</v>
      </c>
      <c r="BO620" t="s">
        <v>263</v>
      </c>
      <c r="BP620" t="s">
        <v>74</v>
      </c>
      <c r="BQ620" t="s">
        <v>74</v>
      </c>
      <c r="BR620" t="s">
        <v>101</v>
      </c>
      <c r="BS620" t="s">
        <v>11441</v>
      </c>
      <c r="BT620" t="str">
        <f>HYPERLINK("https%3A%2F%2Fwww.webofscience.com%2Fwos%2Fwoscc%2Ffull-record%2FWOS:000268670300045","View Full Record in Web of Science")</f>
        <v>View Full Record in Web of Science</v>
      </c>
    </row>
    <row r="621" spans="1:72" x14ac:dyDescent="0.15">
      <c r="A621" t="s">
        <v>72</v>
      </c>
      <c r="B621" t="s">
        <v>11442</v>
      </c>
      <c r="C621" t="s">
        <v>74</v>
      </c>
      <c r="D621" t="s">
        <v>74</v>
      </c>
      <c r="E621" t="s">
        <v>74</v>
      </c>
      <c r="F621" t="s">
        <v>11443</v>
      </c>
      <c r="G621" t="s">
        <v>74</v>
      </c>
      <c r="H621" t="s">
        <v>74</v>
      </c>
      <c r="I621" t="s">
        <v>11444</v>
      </c>
      <c r="J621" t="s">
        <v>3797</v>
      </c>
      <c r="K621" t="s">
        <v>74</v>
      </c>
      <c r="L621" t="s">
        <v>74</v>
      </c>
      <c r="M621" t="s">
        <v>78</v>
      </c>
      <c r="N621" t="s">
        <v>297</v>
      </c>
      <c r="O621" t="s">
        <v>74</v>
      </c>
      <c r="P621" t="s">
        <v>74</v>
      </c>
      <c r="Q621" t="s">
        <v>74</v>
      </c>
      <c r="R621" t="s">
        <v>74</v>
      </c>
      <c r="S621" t="s">
        <v>74</v>
      </c>
      <c r="T621" t="s">
        <v>11445</v>
      </c>
      <c r="U621" t="s">
        <v>11446</v>
      </c>
      <c r="V621" t="s">
        <v>11447</v>
      </c>
      <c r="W621" t="s">
        <v>74</v>
      </c>
      <c r="X621" t="s">
        <v>74</v>
      </c>
      <c r="Y621" t="s">
        <v>74</v>
      </c>
      <c r="Z621" t="s">
        <v>74</v>
      </c>
      <c r="AA621" t="s">
        <v>11448</v>
      </c>
      <c r="AB621" t="s">
        <v>74</v>
      </c>
      <c r="AC621" t="s">
        <v>74</v>
      </c>
      <c r="AD621" t="s">
        <v>74</v>
      </c>
      <c r="AE621" t="s">
        <v>74</v>
      </c>
      <c r="AF621" t="s">
        <v>74</v>
      </c>
      <c r="AG621">
        <v>512</v>
      </c>
      <c r="AH621">
        <v>21</v>
      </c>
      <c r="AI621">
        <v>28</v>
      </c>
      <c r="AJ621">
        <v>0</v>
      </c>
      <c r="AK621">
        <v>8</v>
      </c>
      <c r="AL621" t="s">
        <v>3808</v>
      </c>
      <c r="AM621" t="s">
        <v>3809</v>
      </c>
      <c r="AN621" t="s">
        <v>3810</v>
      </c>
      <c r="AO621" t="s">
        <v>3811</v>
      </c>
      <c r="AP621" t="s">
        <v>3812</v>
      </c>
      <c r="AQ621" t="s">
        <v>74</v>
      </c>
      <c r="AR621" t="s">
        <v>3797</v>
      </c>
      <c r="AS621" t="s">
        <v>3813</v>
      </c>
      <c r="AT621" t="s">
        <v>11438</v>
      </c>
      <c r="AU621">
        <v>2009</v>
      </c>
      <c r="AV621" t="s">
        <v>74</v>
      </c>
      <c r="AW621">
        <v>2187</v>
      </c>
      <c r="AX621" t="s">
        <v>74</v>
      </c>
      <c r="AY621" t="s">
        <v>74</v>
      </c>
      <c r="AZ621" t="s">
        <v>74</v>
      </c>
      <c r="BA621" t="s">
        <v>74</v>
      </c>
      <c r="BB621">
        <v>1</v>
      </c>
      <c r="BC621">
        <v>144</v>
      </c>
      <c r="BD621" t="s">
        <v>74</v>
      </c>
      <c r="BE621" t="s">
        <v>74</v>
      </c>
      <c r="BF621" t="s">
        <v>74</v>
      </c>
      <c r="BG621" t="s">
        <v>74</v>
      </c>
      <c r="BH621" t="s">
        <v>74</v>
      </c>
      <c r="BI621">
        <v>144</v>
      </c>
      <c r="BJ621" t="s">
        <v>207</v>
      </c>
      <c r="BK621" t="s">
        <v>98</v>
      </c>
      <c r="BL621" t="s">
        <v>207</v>
      </c>
      <c r="BM621" t="s">
        <v>11449</v>
      </c>
      <c r="BN621" t="s">
        <v>74</v>
      </c>
      <c r="BO621" t="s">
        <v>74</v>
      </c>
      <c r="BP621" t="s">
        <v>74</v>
      </c>
      <c r="BQ621" t="s">
        <v>74</v>
      </c>
      <c r="BR621" t="s">
        <v>101</v>
      </c>
      <c r="BS621" t="s">
        <v>11450</v>
      </c>
      <c r="BT621" t="str">
        <f>HYPERLINK("https%3A%2F%2Fwww.webofscience.com%2Fwos%2Fwoscc%2Ffull-record%2FWOS:000268766500001","View Full Record in Web of Science")</f>
        <v>View Full Record in Web of Science</v>
      </c>
    </row>
    <row r="622" spans="1:72" x14ac:dyDescent="0.15">
      <c r="A622" t="s">
        <v>72</v>
      </c>
      <c r="B622" t="s">
        <v>11451</v>
      </c>
      <c r="C622" t="s">
        <v>74</v>
      </c>
      <c r="D622" t="s">
        <v>74</v>
      </c>
      <c r="E622" t="s">
        <v>74</v>
      </c>
      <c r="F622" t="s">
        <v>11452</v>
      </c>
      <c r="G622" t="s">
        <v>74</v>
      </c>
      <c r="H622" t="s">
        <v>74</v>
      </c>
      <c r="I622" t="s">
        <v>11453</v>
      </c>
      <c r="J622" t="s">
        <v>11454</v>
      </c>
      <c r="K622" t="s">
        <v>74</v>
      </c>
      <c r="L622" t="s">
        <v>74</v>
      </c>
      <c r="M622" t="s">
        <v>78</v>
      </c>
      <c r="N622" t="s">
        <v>79</v>
      </c>
      <c r="O622" t="s">
        <v>74</v>
      </c>
      <c r="P622" t="s">
        <v>74</v>
      </c>
      <c r="Q622" t="s">
        <v>74</v>
      </c>
      <c r="R622" t="s">
        <v>74</v>
      </c>
      <c r="S622" t="s">
        <v>74</v>
      </c>
      <c r="T622" t="s">
        <v>74</v>
      </c>
      <c r="U622" t="s">
        <v>11455</v>
      </c>
      <c r="V622" t="s">
        <v>11456</v>
      </c>
      <c r="W622" t="s">
        <v>11457</v>
      </c>
      <c r="X622" t="s">
        <v>11458</v>
      </c>
      <c r="Y622" t="s">
        <v>11459</v>
      </c>
      <c r="Z622" t="s">
        <v>11460</v>
      </c>
      <c r="AA622" t="s">
        <v>11461</v>
      </c>
      <c r="AB622" t="s">
        <v>11462</v>
      </c>
      <c r="AC622" t="s">
        <v>11463</v>
      </c>
      <c r="AD622" t="s">
        <v>11464</v>
      </c>
      <c r="AE622" t="s">
        <v>11465</v>
      </c>
      <c r="AF622" t="s">
        <v>74</v>
      </c>
      <c r="AG622">
        <v>46</v>
      </c>
      <c r="AH622">
        <v>24</v>
      </c>
      <c r="AI622">
        <v>24</v>
      </c>
      <c r="AJ622">
        <v>0</v>
      </c>
      <c r="AK622">
        <v>7</v>
      </c>
      <c r="AL622" t="s">
        <v>11466</v>
      </c>
      <c r="AM622" t="s">
        <v>618</v>
      </c>
      <c r="AN622" t="s">
        <v>11467</v>
      </c>
      <c r="AO622" t="s">
        <v>11468</v>
      </c>
      <c r="AP622" t="s">
        <v>11469</v>
      </c>
      <c r="AQ622" t="s">
        <v>74</v>
      </c>
      <c r="AR622" t="s">
        <v>11470</v>
      </c>
      <c r="AS622" t="s">
        <v>11471</v>
      </c>
      <c r="AT622" t="s">
        <v>11472</v>
      </c>
      <c r="AU622">
        <v>2009</v>
      </c>
      <c r="AV622">
        <v>97</v>
      </c>
      <c r="AW622">
        <v>3</v>
      </c>
      <c r="AX622" t="s">
        <v>74</v>
      </c>
      <c r="AY622" t="s">
        <v>74</v>
      </c>
      <c r="AZ622" t="s">
        <v>74</v>
      </c>
      <c r="BA622" t="s">
        <v>74</v>
      </c>
      <c r="BB622">
        <v>866</v>
      </c>
      <c r="BC622">
        <v>874</v>
      </c>
      <c r="BD622" t="s">
        <v>74</v>
      </c>
      <c r="BE622" t="s">
        <v>11473</v>
      </c>
      <c r="BF622" t="str">
        <f>HYPERLINK("http://dx.doi.org/10.1016/j.bpj.2009.04.056","http://dx.doi.org/10.1016/j.bpj.2009.04.056")</f>
        <v>http://dx.doi.org/10.1016/j.bpj.2009.04.056</v>
      </c>
      <c r="BG622" t="s">
        <v>74</v>
      </c>
      <c r="BH622" t="s">
        <v>74</v>
      </c>
      <c r="BI622">
        <v>9</v>
      </c>
      <c r="BJ622" t="s">
        <v>11474</v>
      </c>
      <c r="BK622" t="s">
        <v>98</v>
      </c>
      <c r="BL622" t="s">
        <v>11474</v>
      </c>
      <c r="BM622" t="s">
        <v>11475</v>
      </c>
      <c r="BN622">
        <v>19651045</v>
      </c>
      <c r="BO622" t="s">
        <v>6233</v>
      </c>
      <c r="BP622" t="s">
        <v>74</v>
      </c>
      <c r="BQ622" t="s">
        <v>74</v>
      </c>
      <c r="BR622" t="s">
        <v>101</v>
      </c>
      <c r="BS622" t="s">
        <v>11476</v>
      </c>
      <c r="BT622" t="str">
        <f>HYPERLINK("https%3A%2F%2Fwww.webofscience.com%2Fwos%2Fwoscc%2Ffull-record%2FWOS:000268926500021","View Full Record in Web of Science")</f>
        <v>View Full Record in Web of Science</v>
      </c>
    </row>
    <row r="623" spans="1:72" x14ac:dyDescent="0.15">
      <c r="A623" t="s">
        <v>72</v>
      </c>
      <c r="B623" t="s">
        <v>11477</v>
      </c>
      <c r="C623" t="s">
        <v>74</v>
      </c>
      <c r="D623" t="s">
        <v>74</v>
      </c>
      <c r="E623" t="s">
        <v>74</v>
      </c>
      <c r="F623" t="s">
        <v>11478</v>
      </c>
      <c r="G623" t="s">
        <v>74</v>
      </c>
      <c r="H623" t="s">
        <v>74</v>
      </c>
      <c r="I623" t="s">
        <v>11479</v>
      </c>
      <c r="J623" t="s">
        <v>11480</v>
      </c>
      <c r="K623" t="s">
        <v>74</v>
      </c>
      <c r="L623" t="s">
        <v>74</v>
      </c>
      <c r="M623" t="s">
        <v>78</v>
      </c>
      <c r="N623" t="s">
        <v>79</v>
      </c>
      <c r="O623" t="s">
        <v>74</v>
      </c>
      <c r="P623" t="s">
        <v>74</v>
      </c>
      <c r="Q623" t="s">
        <v>74</v>
      </c>
      <c r="R623" t="s">
        <v>74</v>
      </c>
      <c r="S623" t="s">
        <v>74</v>
      </c>
      <c r="T623" t="s">
        <v>11481</v>
      </c>
      <c r="U623" t="s">
        <v>11482</v>
      </c>
      <c r="V623" t="s">
        <v>11483</v>
      </c>
      <c r="W623" t="s">
        <v>11484</v>
      </c>
      <c r="X623" t="s">
        <v>11485</v>
      </c>
      <c r="Y623" t="s">
        <v>11486</v>
      </c>
      <c r="Z623" t="s">
        <v>11487</v>
      </c>
      <c r="AA623" t="s">
        <v>11488</v>
      </c>
      <c r="AB623" t="s">
        <v>11489</v>
      </c>
      <c r="AC623" t="s">
        <v>11490</v>
      </c>
      <c r="AD623" t="s">
        <v>11491</v>
      </c>
      <c r="AE623" t="s">
        <v>11492</v>
      </c>
      <c r="AF623" t="s">
        <v>74</v>
      </c>
      <c r="AG623">
        <v>72</v>
      </c>
      <c r="AH623">
        <v>37</v>
      </c>
      <c r="AI623">
        <v>42</v>
      </c>
      <c r="AJ623">
        <v>0</v>
      </c>
      <c r="AK623">
        <v>30</v>
      </c>
      <c r="AL623" t="s">
        <v>11493</v>
      </c>
      <c r="AM623" t="s">
        <v>11494</v>
      </c>
      <c r="AN623" t="s">
        <v>11495</v>
      </c>
      <c r="AO623" t="s">
        <v>11496</v>
      </c>
      <c r="AP623" t="s">
        <v>74</v>
      </c>
      <c r="AQ623" t="s">
        <v>74</v>
      </c>
      <c r="AR623" t="s">
        <v>11497</v>
      </c>
      <c r="AS623" t="s">
        <v>11498</v>
      </c>
      <c r="AT623" t="s">
        <v>11499</v>
      </c>
      <c r="AU623">
        <v>2009</v>
      </c>
      <c r="AV623">
        <v>96</v>
      </c>
      <c r="AW623">
        <v>2</v>
      </c>
      <c r="AX623" t="s">
        <v>74</v>
      </c>
      <c r="AY623" t="s">
        <v>74</v>
      </c>
      <c r="AZ623" t="s">
        <v>74</v>
      </c>
      <c r="BA623" t="s">
        <v>74</v>
      </c>
      <c r="BB623">
        <v>117</v>
      </c>
      <c r="BC623">
        <v>129</v>
      </c>
      <c r="BD623" t="s">
        <v>74</v>
      </c>
      <c r="BE623" t="s">
        <v>11500</v>
      </c>
      <c r="BF623" t="str">
        <f>HYPERLINK("http://dx.doi.org/10.1016/j.jphotobiol.2009.04.011","http://dx.doi.org/10.1016/j.jphotobiol.2009.04.011")</f>
        <v>http://dx.doi.org/10.1016/j.jphotobiol.2009.04.011</v>
      </c>
      <c r="BG623" t="s">
        <v>74</v>
      </c>
      <c r="BH623" t="s">
        <v>74</v>
      </c>
      <c r="BI623">
        <v>13</v>
      </c>
      <c r="BJ623" t="s">
        <v>1548</v>
      </c>
      <c r="BK623" t="s">
        <v>98</v>
      </c>
      <c r="BL623" t="s">
        <v>1548</v>
      </c>
      <c r="BM623" t="s">
        <v>11501</v>
      </c>
      <c r="BN623">
        <v>19464923</v>
      </c>
      <c r="BO623" t="s">
        <v>74</v>
      </c>
      <c r="BP623" t="s">
        <v>74</v>
      </c>
      <c r="BQ623" t="s">
        <v>74</v>
      </c>
      <c r="BR623" t="s">
        <v>101</v>
      </c>
      <c r="BS623" t="s">
        <v>11502</v>
      </c>
      <c r="BT623" t="str">
        <f>HYPERLINK("https%3A%2F%2Fwww.webofscience.com%2Fwos%2Fwoscc%2Ffull-record%2FWOS:000268406700005","View Full Record in Web of Science")</f>
        <v>View Full Record in Web of Science</v>
      </c>
    </row>
    <row r="624" spans="1:72" x14ac:dyDescent="0.15">
      <c r="A624" t="s">
        <v>72</v>
      </c>
      <c r="B624" t="s">
        <v>11503</v>
      </c>
      <c r="C624" t="s">
        <v>74</v>
      </c>
      <c r="D624" t="s">
        <v>74</v>
      </c>
      <c r="E624" t="s">
        <v>74</v>
      </c>
      <c r="F624" t="s">
        <v>11504</v>
      </c>
      <c r="G624" t="s">
        <v>74</v>
      </c>
      <c r="H624" t="s">
        <v>74</v>
      </c>
      <c r="I624" t="s">
        <v>11505</v>
      </c>
      <c r="J624" t="s">
        <v>11506</v>
      </c>
      <c r="K624" t="s">
        <v>74</v>
      </c>
      <c r="L624" t="s">
        <v>74</v>
      </c>
      <c r="M624" t="s">
        <v>78</v>
      </c>
      <c r="N624" t="s">
        <v>79</v>
      </c>
      <c r="O624" t="s">
        <v>74</v>
      </c>
      <c r="P624" t="s">
        <v>74</v>
      </c>
      <c r="Q624" t="s">
        <v>74</v>
      </c>
      <c r="R624" t="s">
        <v>74</v>
      </c>
      <c r="S624" t="s">
        <v>74</v>
      </c>
      <c r="T624" t="s">
        <v>74</v>
      </c>
      <c r="U624" t="s">
        <v>11507</v>
      </c>
      <c r="V624" t="s">
        <v>11508</v>
      </c>
      <c r="W624" t="s">
        <v>11509</v>
      </c>
      <c r="X624" t="s">
        <v>11510</v>
      </c>
      <c r="Y624" t="s">
        <v>11511</v>
      </c>
      <c r="Z624" t="s">
        <v>11512</v>
      </c>
      <c r="AA624" t="s">
        <v>74</v>
      </c>
      <c r="AB624" t="s">
        <v>11513</v>
      </c>
      <c r="AC624" t="s">
        <v>11514</v>
      </c>
      <c r="AD624" t="s">
        <v>11515</v>
      </c>
      <c r="AE624" t="s">
        <v>11516</v>
      </c>
      <c r="AF624" t="s">
        <v>74</v>
      </c>
      <c r="AG624">
        <v>19</v>
      </c>
      <c r="AH624">
        <v>9</v>
      </c>
      <c r="AI624">
        <v>9</v>
      </c>
      <c r="AJ624">
        <v>0</v>
      </c>
      <c r="AK624">
        <v>1</v>
      </c>
      <c r="AL624" t="s">
        <v>11517</v>
      </c>
      <c r="AM624" t="s">
        <v>11518</v>
      </c>
      <c r="AN624" t="s">
        <v>11519</v>
      </c>
      <c r="AO624" t="s">
        <v>11520</v>
      </c>
      <c r="AP624" t="s">
        <v>11521</v>
      </c>
      <c r="AQ624" t="s">
        <v>74</v>
      </c>
      <c r="AR624" t="s">
        <v>11522</v>
      </c>
      <c r="AS624" t="s">
        <v>11523</v>
      </c>
      <c r="AT624" t="s">
        <v>11524</v>
      </c>
      <c r="AU624">
        <v>2009</v>
      </c>
      <c r="AV624">
        <v>37</v>
      </c>
      <c r="AW624">
        <v>2</v>
      </c>
      <c r="AX624" t="s">
        <v>74</v>
      </c>
      <c r="AY624" t="s">
        <v>74</v>
      </c>
      <c r="AZ624" t="s">
        <v>74</v>
      </c>
      <c r="BA624" t="s">
        <v>74</v>
      </c>
      <c r="BB624">
        <v>47</v>
      </c>
      <c r="BC624">
        <v>51</v>
      </c>
      <c r="BD624" t="s">
        <v>74</v>
      </c>
      <c r="BE624" t="s">
        <v>74</v>
      </c>
      <c r="BF624" t="s">
        <v>74</v>
      </c>
      <c r="BG624" t="s">
        <v>74</v>
      </c>
      <c r="BH624" t="s">
        <v>74</v>
      </c>
      <c r="BI624">
        <v>5</v>
      </c>
      <c r="BJ624" t="s">
        <v>11525</v>
      </c>
      <c r="BK624" t="s">
        <v>98</v>
      </c>
      <c r="BL624" t="s">
        <v>11525</v>
      </c>
      <c r="BM624" t="s">
        <v>11526</v>
      </c>
      <c r="BN624" t="s">
        <v>74</v>
      </c>
      <c r="BO624" t="s">
        <v>74</v>
      </c>
      <c r="BP624" t="s">
        <v>74</v>
      </c>
      <c r="BQ624" t="s">
        <v>74</v>
      </c>
      <c r="BR624" t="s">
        <v>101</v>
      </c>
      <c r="BS624" t="s">
        <v>11527</v>
      </c>
      <c r="BT624" t="str">
        <f>HYPERLINK("https%3A%2F%2Fwww.webofscience.com%2Fwos%2Fwoscc%2Ffull-record%2FWOS:000269652900003","View Full Record in Web of Science")</f>
        <v>View Full Record in Web of Science</v>
      </c>
    </row>
    <row r="625" spans="1:72" x14ac:dyDescent="0.15">
      <c r="A625" t="s">
        <v>72</v>
      </c>
      <c r="B625" t="s">
        <v>11528</v>
      </c>
      <c r="C625" t="s">
        <v>74</v>
      </c>
      <c r="D625" t="s">
        <v>74</v>
      </c>
      <c r="E625" t="s">
        <v>74</v>
      </c>
      <c r="F625" t="s">
        <v>11529</v>
      </c>
      <c r="G625" t="s">
        <v>74</v>
      </c>
      <c r="H625" t="s">
        <v>74</v>
      </c>
      <c r="I625" t="s">
        <v>11530</v>
      </c>
      <c r="J625" t="s">
        <v>11531</v>
      </c>
      <c r="K625" t="s">
        <v>74</v>
      </c>
      <c r="L625" t="s">
        <v>74</v>
      </c>
      <c r="M625" t="s">
        <v>1754</v>
      </c>
      <c r="N625" t="s">
        <v>297</v>
      </c>
      <c r="O625" t="s">
        <v>74</v>
      </c>
      <c r="P625" t="s">
        <v>74</v>
      </c>
      <c r="Q625" t="s">
        <v>74</v>
      </c>
      <c r="R625" t="s">
        <v>74</v>
      </c>
      <c r="S625" t="s">
        <v>74</v>
      </c>
      <c r="T625" t="s">
        <v>11532</v>
      </c>
      <c r="U625" t="s">
        <v>11533</v>
      </c>
      <c r="V625" t="s">
        <v>11534</v>
      </c>
      <c r="W625" t="s">
        <v>11535</v>
      </c>
      <c r="X625" t="s">
        <v>11536</v>
      </c>
      <c r="Y625" t="s">
        <v>11537</v>
      </c>
      <c r="Z625" t="s">
        <v>8566</v>
      </c>
      <c r="AA625" t="s">
        <v>74</v>
      </c>
      <c r="AB625" t="s">
        <v>74</v>
      </c>
      <c r="AC625" t="s">
        <v>74</v>
      </c>
      <c r="AD625" t="s">
        <v>74</v>
      </c>
      <c r="AE625" t="s">
        <v>74</v>
      </c>
      <c r="AF625" t="s">
        <v>74</v>
      </c>
      <c r="AG625">
        <v>126</v>
      </c>
      <c r="AH625">
        <v>5</v>
      </c>
      <c r="AI625">
        <v>10</v>
      </c>
      <c r="AJ625">
        <v>0</v>
      </c>
      <c r="AK625">
        <v>5</v>
      </c>
      <c r="AL625" t="s">
        <v>1764</v>
      </c>
      <c r="AM625" t="s">
        <v>1765</v>
      </c>
      <c r="AN625" t="s">
        <v>1766</v>
      </c>
      <c r="AO625" t="s">
        <v>11538</v>
      </c>
      <c r="AP625" t="s">
        <v>11539</v>
      </c>
      <c r="AQ625" t="s">
        <v>74</v>
      </c>
      <c r="AR625" t="s">
        <v>11540</v>
      </c>
      <c r="AS625" t="s">
        <v>11541</v>
      </c>
      <c r="AT625" t="s">
        <v>11524</v>
      </c>
      <c r="AU625">
        <v>2009</v>
      </c>
      <c r="AV625">
        <v>25</v>
      </c>
      <c r="AW625">
        <v>8</v>
      </c>
      <c r="AX625" t="s">
        <v>74</v>
      </c>
      <c r="AY625" t="s">
        <v>74</v>
      </c>
      <c r="AZ625" t="s">
        <v>74</v>
      </c>
      <c r="BA625" t="s">
        <v>74</v>
      </c>
      <c r="BB625">
        <v>1808</v>
      </c>
      <c r="BC625">
        <v>1818</v>
      </c>
      <c r="BD625" t="s">
        <v>74</v>
      </c>
      <c r="BE625" t="s">
        <v>74</v>
      </c>
      <c r="BF625" t="s">
        <v>74</v>
      </c>
      <c r="BG625" t="s">
        <v>74</v>
      </c>
      <c r="BH625" t="s">
        <v>74</v>
      </c>
      <c r="BI625">
        <v>11</v>
      </c>
      <c r="BJ625" t="s">
        <v>465</v>
      </c>
      <c r="BK625" t="s">
        <v>98</v>
      </c>
      <c r="BL625" t="s">
        <v>465</v>
      </c>
      <c r="BM625" t="s">
        <v>11542</v>
      </c>
      <c r="BN625" t="s">
        <v>74</v>
      </c>
      <c r="BO625" t="s">
        <v>74</v>
      </c>
      <c r="BP625" t="s">
        <v>74</v>
      </c>
      <c r="BQ625" t="s">
        <v>74</v>
      </c>
      <c r="BR625" t="s">
        <v>101</v>
      </c>
      <c r="BS625" t="s">
        <v>11543</v>
      </c>
      <c r="BT625" t="str">
        <f>HYPERLINK("https%3A%2F%2Fwww.webofscience.com%2Fwos%2Fwoscc%2Ffull-record%2FWOS:000269813000006","View Full Record in Web of Science")</f>
        <v>View Full Record in Web of Science</v>
      </c>
    </row>
    <row r="626" spans="1:72" x14ac:dyDescent="0.15">
      <c r="A626" t="s">
        <v>72</v>
      </c>
      <c r="B626" t="s">
        <v>11544</v>
      </c>
      <c r="C626" t="s">
        <v>74</v>
      </c>
      <c r="D626" t="s">
        <v>74</v>
      </c>
      <c r="E626" t="s">
        <v>74</v>
      </c>
      <c r="F626" t="s">
        <v>11545</v>
      </c>
      <c r="G626" t="s">
        <v>74</v>
      </c>
      <c r="H626" t="s">
        <v>74</v>
      </c>
      <c r="I626" t="s">
        <v>11546</v>
      </c>
      <c r="J626" t="s">
        <v>1224</v>
      </c>
      <c r="K626" t="s">
        <v>74</v>
      </c>
      <c r="L626" t="s">
        <v>74</v>
      </c>
      <c r="M626" t="s">
        <v>78</v>
      </c>
      <c r="N626" t="s">
        <v>523</v>
      </c>
      <c r="O626" t="s">
        <v>74</v>
      </c>
      <c r="P626" t="s">
        <v>74</v>
      </c>
      <c r="Q626" t="s">
        <v>74</v>
      </c>
      <c r="R626" t="s">
        <v>74</v>
      </c>
      <c r="S626" t="s">
        <v>74</v>
      </c>
      <c r="T626" t="s">
        <v>74</v>
      </c>
      <c r="U626" t="s">
        <v>74</v>
      </c>
      <c r="V626" t="s">
        <v>74</v>
      </c>
      <c r="W626" t="s">
        <v>11547</v>
      </c>
      <c r="X626" t="s">
        <v>7118</v>
      </c>
      <c r="Y626" t="s">
        <v>11548</v>
      </c>
      <c r="Z626" t="s">
        <v>74</v>
      </c>
      <c r="AA626" t="s">
        <v>3028</v>
      </c>
      <c r="AB626" t="s">
        <v>3029</v>
      </c>
      <c r="AC626" t="s">
        <v>74</v>
      </c>
      <c r="AD626" t="s">
        <v>74</v>
      </c>
      <c r="AE626" t="s">
        <v>74</v>
      </c>
      <c r="AF626" t="s">
        <v>74</v>
      </c>
      <c r="AG626">
        <v>0</v>
      </c>
      <c r="AH626">
        <v>0</v>
      </c>
      <c r="AI626">
        <v>0</v>
      </c>
      <c r="AJ626">
        <v>0</v>
      </c>
      <c r="AK626">
        <v>2</v>
      </c>
      <c r="AL626" t="s">
        <v>1226</v>
      </c>
      <c r="AM626" t="s">
        <v>684</v>
      </c>
      <c r="AN626" t="s">
        <v>1227</v>
      </c>
      <c r="AO626" t="s">
        <v>1228</v>
      </c>
      <c r="AP626" t="s">
        <v>74</v>
      </c>
      <c r="AQ626" t="s">
        <v>74</v>
      </c>
      <c r="AR626" t="s">
        <v>1229</v>
      </c>
      <c r="AS626" t="s">
        <v>1230</v>
      </c>
      <c r="AT626" t="s">
        <v>11524</v>
      </c>
      <c r="AU626">
        <v>2009</v>
      </c>
      <c r="AV626">
        <v>21</v>
      </c>
      <c r="AW626">
        <v>4</v>
      </c>
      <c r="AX626" t="s">
        <v>74</v>
      </c>
      <c r="AY626" t="s">
        <v>74</v>
      </c>
      <c r="AZ626" t="s">
        <v>74</v>
      </c>
      <c r="BA626" t="s">
        <v>74</v>
      </c>
      <c r="BB626">
        <v>315</v>
      </c>
      <c r="BC626">
        <v>315</v>
      </c>
      <c r="BD626" t="s">
        <v>74</v>
      </c>
      <c r="BE626" t="s">
        <v>11549</v>
      </c>
      <c r="BF626" t="str">
        <f>HYPERLINK("http://dx.doi.org/10.1017/S0954102009990216","http://dx.doi.org/10.1017/S0954102009990216")</f>
        <v>http://dx.doi.org/10.1017/S0954102009990216</v>
      </c>
      <c r="BG626" t="s">
        <v>74</v>
      </c>
      <c r="BH626" t="s">
        <v>74</v>
      </c>
      <c r="BI626">
        <v>1</v>
      </c>
      <c r="BJ626" t="s">
        <v>1232</v>
      </c>
      <c r="BK626" t="s">
        <v>98</v>
      </c>
      <c r="BL626" t="s">
        <v>1233</v>
      </c>
      <c r="BM626" t="s">
        <v>11550</v>
      </c>
      <c r="BN626" t="s">
        <v>74</v>
      </c>
      <c r="BO626" t="s">
        <v>74</v>
      </c>
      <c r="BP626" t="s">
        <v>74</v>
      </c>
      <c r="BQ626" t="s">
        <v>74</v>
      </c>
      <c r="BR626" t="s">
        <v>101</v>
      </c>
      <c r="BS626" t="s">
        <v>11551</v>
      </c>
      <c r="BT626" t="str">
        <f>HYPERLINK("https%3A%2F%2Fwww.webofscience.com%2Fwos%2Fwoscc%2Ffull-record%2FWOS:000268081200001","View Full Record in Web of Science")</f>
        <v>View Full Record in Web of Science</v>
      </c>
    </row>
    <row r="627" spans="1:72" x14ac:dyDescent="0.15">
      <c r="A627" t="s">
        <v>72</v>
      </c>
      <c r="B627" t="s">
        <v>11552</v>
      </c>
      <c r="C627" t="s">
        <v>74</v>
      </c>
      <c r="D627" t="s">
        <v>74</v>
      </c>
      <c r="E627" t="s">
        <v>74</v>
      </c>
      <c r="F627" t="s">
        <v>11553</v>
      </c>
      <c r="G627" t="s">
        <v>74</v>
      </c>
      <c r="H627" t="s">
        <v>74</v>
      </c>
      <c r="I627" t="s">
        <v>11554</v>
      </c>
      <c r="J627" t="s">
        <v>1224</v>
      </c>
      <c r="K627" t="s">
        <v>74</v>
      </c>
      <c r="L627" t="s">
        <v>74</v>
      </c>
      <c r="M627" t="s">
        <v>78</v>
      </c>
      <c r="N627" t="s">
        <v>297</v>
      </c>
      <c r="O627" t="s">
        <v>74</v>
      </c>
      <c r="P627" t="s">
        <v>74</v>
      </c>
      <c r="Q627" t="s">
        <v>74</v>
      </c>
      <c r="R627" t="s">
        <v>74</v>
      </c>
      <c r="S627" t="s">
        <v>74</v>
      </c>
      <c r="T627" t="s">
        <v>11555</v>
      </c>
      <c r="U627" t="s">
        <v>11556</v>
      </c>
      <c r="V627" t="s">
        <v>11557</v>
      </c>
      <c r="W627" t="s">
        <v>11558</v>
      </c>
      <c r="X627" t="s">
        <v>11559</v>
      </c>
      <c r="Y627" t="s">
        <v>11560</v>
      </c>
      <c r="Z627" t="s">
        <v>11561</v>
      </c>
      <c r="AA627" t="s">
        <v>74</v>
      </c>
      <c r="AB627" t="s">
        <v>74</v>
      </c>
      <c r="AC627" t="s">
        <v>11562</v>
      </c>
      <c r="AD627" t="s">
        <v>11563</v>
      </c>
      <c r="AE627" t="s">
        <v>11564</v>
      </c>
      <c r="AF627" t="s">
        <v>74</v>
      </c>
      <c r="AG627">
        <v>66</v>
      </c>
      <c r="AH627">
        <v>56</v>
      </c>
      <c r="AI627">
        <v>66</v>
      </c>
      <c r="AJ627">
        <v>1</v>
      </c>
      <c r="AK627">
        <v>30</v>
      </c>
      <c r="AL627" t="s">
        <v>1226</v>
      </c>
      <c r="AM627" t="s">
        <v>684</v>
      </c>
      <c r="AN627" t="s">
        <v>1227</v>
      </c>
      <c r="AO627" t="s">
        <v>1228</v>
      </c>
      <c r="AP627" t="s">
        <v>74</v>
      </c>
      <c r="AQ627" t="s">
        <v>74</v>
      </c>
      <c r="AR627" t="s">
        <v>1229</v>
      </c>
      <c r="AS627" t="s">
        <v>1230</v>
      </c>
      <c r="AT627" t="s">
        <v>11524</v>
      </c>
      <c r="AU627">
        <v>2009</v>
      </c>
      <c r="AV627">
        <v>21</v>
      </c>
      <c r="AW627">
        <v>4</v>
      </c>
      <c r="AX627" t="s">
        <v>74</v>
      </c>
      <c r="AY627" t="s">
        <v>74</v>
      </c>
      <c r="AZ627" t="s">
        <v>74</v>
      </c>
      <c r="BA627" t="s">
        <v>74</v>
      </c>
      <c r="BB627">
        <v>317</v>
      </c>
      <c r="BC627">
        <v>327</v>
      </c>
      <c r="BD627" t="s">
        <v>74</v>
      </c>
      <c r="BE627" t="s">
        <v>11565</v>
      </c>
      <c r="BF627" t="str">
        <f>HYPERLINK("http://dx.doi.org/10.1017/S0954102009001953","http://dx.doi.org/10.1017/S0954102009001953")</f>
        <v>http://dx.doi.org/10.1017/S0954102009001953</v>
      </c>
      <c r="BG627" t="s">
        <v>74</v>
      </c>
      <c r="BH627" t="s">
        <v>74</v>
      </c>
      <c r="BI627">
        <v>11</v>
      </c>
      <c r="BJ627" t="s">
        <v>1232</v>
      </c>
      <c r="BK627" t="s">
        <v>98</v>
      </c>
      <c r="BL627" t="s">
        <v>1233</v>
      </c>
      <c r="BM627" t="s">
        <v>11550</v>
      </c>
      <c r="BN627" t="s">
        <v>74</v>
      </c>
      <c r="BO627" t="s">
        <v>74</v>
      </c>
      <c r="BP627" t="s">
        <v>74</v>
      </c>
      <c r="BQ627" t="s">
        <v>74</v>
      </c>
      <c r="BR627" t="s">
        <v>101</v>
      </c>
      <c r="BS627" t="s">
        <v>11566</v>
      </c>
      <c r="BT627" t="str">
        <f>HYPERLINK("https%3A%2F%2Fwww.webofscience.com%2Fwos%2Fwoscc%2Ffull-record%2FWOS:000268081200002","View Full Record in Web of Science")</f>
        <v>View Full Record in Web of Science</v>
      </c>
    </row>
    <row r="628" spans="1:72" x14ac:dyDescent="0.15">
      <c r="A628" t="s">
        <v>72</v>
      </c>
      <c r="B628" t="s">
        <v>11567</v>
      </c>
      <c r="C628" t="s">
        <v>74</v>
      </c>
      <c r="D628" t="s">
        <v>74</v>
      </c>
      <c r="E628" t="s">
        <v>74</v>
      </c>
      <c r="F628" t="s">
        <v>11568</v>
      </c>
      <c r="G628" t="s">
        <v>74</v>
      </c>
      <c r="H628" t="s">
        <v>74</v>
      </c>
      <c r="I628" t="s">
        <v>11569</v>
      </c>
      <c r="J628" t="s">
        <v>1224</v>
      </c>
      <c r="K628" t="s">
        <v>74</v>
      </c>
      <c r="L628" t="s">
        <v>74</v>
      </c>
      <c r="M628" t="s">
        <v>78</v>
      </c>
      <c r="N628" t="s">
        <v>79</v>
      </c>
      <c r="O628" t="s">
        <v>74</v>
      </c>
      <c r="P628" t="s">
        <v>74</v>
      </c>
      <c r="Q628" t="s">
        <v>74</v>
      </c>
      <c r="R628" t="s">
        <v>74</v>
      </c>
      <c r="S628" t="s">
        <v>74</v>
      </c>
      <c r="T628" t="s">
        <v>11570</v>
      </c>
      <c r="U628" t="s">
        <v>11571</v>
      </c>
      <c r="V628" t="s">
        <v>11572</v>
      </c>
      <c r="W628" t="s">
        <v>11573</v>
      </c>
      <c r="X628" t="s">
        <v>11574</v>
      </c>
      <c r="Y628" t="s">
        <v>11575</v>
      </c>
      <c r="Z628" t="s">
        <v>3232</v>
      </c>
      <c r="AA628" t="s">
        <v>74</v>
      </c>
      <c r="AB628" t="s">
        <v>11576</v>
      </c>
      <c r="AC628" t="s">
        <v>11577</v>
      </c>
      <c r="AD628" t="s">
        <v>11578</v>
      </c>
      <c r="AE628" t="s">
        <v>11579</v>
      </c>
      <c r="AF628" t="s">
        <v>74</v>
      </c>
      <c r="AG628">
        <v>41</v>
      </c>
      <c r="AH628">
        <v>43</v>
      </c>
      <c r="AI628">
        <v>47</v>
      </c>
      <c r="AJ628">
        <v>2</v>
      </c>
      <c r="AK628">
        <v>60</v>
      </c>
      <c r="AL628" t="s">
        <v>1226</v>
      </c>
      <c r="AM628" t="s">
        <v>684</v>
      </c>
      <c r="AN628" t="s">
        <v>1227</v>
      </c>
      <c r="AO628" t="s">
        <v>1228</v>
      </c>
      <c r="AP628" t="s">
        <v>1250</v>
      </c>
      <c r="AQ628" t="s">
        <v>74</v>
      </c>
      <c r="AR628" t="s">
        <v>1229</v>
      </c>
      <c r="AS628" t="s">
        <v>1230</v>
      </c>
      <c r="AT628" t="s">
        <v>11524</v>
      </c>
      <c r="AU628">
        <v>2009</v>
      </c>
      <c r="AV628">
        <v>21</v>
      </c>
      <c r="AW628">
        <v>4</v>
      </c>
      <c r="AX628" t="s">
        <v>74</v>
      </c>
      <c r="AY628" t="s">
        <v>74</v>
      </c>
      <c r="AZ628" t="s">
        <v>74</v>
      </c>
      <c r="BA628" t="s">
        <v>74</v>
      </c>
      <c r="BB628">
        <v>329</v>
      </c>
      <c r="BC628">
        <v>339</v>
      </c>
      <c r="BD628" t="s">
        <v>74</v>
      </c>
      <c r="BE628" t="s">
        <v>11580</v>
      </c>
      <c r="BF628" t="str">
        <f>HYPERLINK("http://dx.doi.org/10.1017/S0954102009002004","http://dx.doi.org/10.1017/S0954102009002004")</f>
        <v>http://dx.doi.org/10.1017/S0954102009002004</v>
      </c>
      <c r="BG628" t="s">
        <v>74</v>
      </c>
      <c r="BH628" t="s">
        <v>74</v>
      </c>
      <c r="BI628">
        <v>11</v>
      </c>
      <c r="BJ628" t="s">
        <v>1232</v>
      </c>
      <c r="BK628" t="s">
        <v>98</v>
      </c>
      <c r="BL628" t="s">
        <v>1233</v>
      </c>
      <c r="BM628" t="s">
        <v>11550</v>
      </c>
      <c r="BN628" t="s">
        <v>74</v>
      </c>
      <c r="BO628" t="s">
        <v>74</v>
      </c>
      <c r="BP628" t="s">
        <v>74</v>
      </c>
      <c r="BQ628" t="s">
        <v>74</v>
      </c>
      <c r="BR628" t="s">
        <v>101</v>
      </c>
      <c r="BS628" t="s">
        <v>11581</v>
      </c>
      <c r="BT628" t="str">
        <f>HYPERLINK("https%3A%2F%2Fwww.webofscience.com%2Fwos%2Fwoscc%2Ffull-record%2FWOS:000268081200003","View Full Record in Web of Science")</f>
        <v>View Full Record in Web of Science</v>
      </c>
    </row>
    <row r="629" spans="1:72" x14ac:dyDescent="0.15">
      <c r="A629" t="s">
        <v>72</v>
      </c>
      <c r="B629" t="s">
        <v>11582</v>
      </c>
      <c r="C629" t="s">
        <v>74</v>
      </c>
      <c r="D629" t="s">
        <v>74</v>
      </c>
      <c r="E629" t="s">
        <v>74</v>
      </c>
      <c r="F629" t="s">
        <v>11583</v>
      </c>
      <c r="G629" t="s">
        <v>74</v>
      </c>
      <c r="H629" t="s">
        <v>74</v>
      </c>
      <c r="I629" t="s">
        <v>11584</v>
      </c>
      <c r="J629" t="s">
        <v>1224</v>
      </c>
      <c r="K629" t="s">
        <v>74</v>
      </c>
      <c r="L629" t="s">
        <v>74</v>
      </c>
      <c r="M629" t="s">
        <v>78</v>
      </c>
      <c r="N629" t="s">
        <v>79</v>
      </c>
      <c r="O629" t="s">
        <v>74</v>
      </c>
      <c r="P629" t="s">
        <v>74</v>
      </c>
      <c r="Q629" t="s">
        <v>74</v>
      </c>
      <c r="R629" t="s">
        <v>74</v>
      </c>
      <c r="S629" t="s">
        <v>74</v>
      </c>
      <c r="T629" t="s">
        <v>11585</v>
      </c>
      <c r="U629" t="s">
        <v>11586</v>
      </c>
      <c r="V629" t="s">
        <v>11587</v>
      </c>
      <c r="W629" t="s">
        <v>11588</v>
      </c>
      <c r="X629" t="s">
        <v>3246</v>
      </c>
      <c r="Y629" t="s">
        <v>11589</v>
      </c>
      <c r="Z629" t="s">
        <v>11590</v>
      </c>
      <c r="AA629" t="s">
        <v>11591</v>
      </c>
      <c r="AB629" t="s">
        <v>11592</v>
      </c>
      <c r="AC629" t="s">
        <v>11593</v>
      </c>
      <c r="AD629" t="s">
        <v>11594</v>
      </c>
      <c r="AE629" t="s">
        <v>11595</v>
      </c>
      <c r="AF629" t="s">
        <v>74</v>
      </c>
      <c r="AG629">
        <v>46</v>
      </c>
      <c r="AH629">
        <v>5</v>
      </c>
      <c r="AI629">
        <v>7</v>
      </c>
      <c r="AJ629">
        <v>1</v>
      </c>
      <c r="AK629">
        <v>10</v>
      </c>
      <c r="AL629" t="s">
        <v>1226</v>
      </c>
      <c r="AM629" t="s">
        <v>684</v>
      </c>
      <c r="AN629" t="s">
        <v>1227</v>
      </c>
      <c r="AO629" t="s">
        <v>1228</v>
      </c>
      <c r="AP629" t="s">
        <v>74</v>
      </c>
      <c r="AQ629" t="s">
        <v>74</v>
      </c>
      <c r="AR629" t="s">
        <v>1229</v>
      </c>
      <c r="AS629" t="s">
        <v>1230</v>
      </c>
      <c r="AT629" t="s">
        <v>11524</v>
      </c>
      <c r="AU629">
        <v>2009</v>
      </c>
      <c r="AV629">
        <v>21</v>
      </c>
      <c r="AW629">
        <v>4</v>
      </c>
      <c r="AX629" t="s">
        <v>74</v>
      </c>
      <c r="AY629" t="s">
        <v>74</v>
      </c>
      <c r="AZ629" t="s">
        <v>74</v>
      </c>
      <c r="BA629" t="s">
        <v>74</v>
      </c>
      <c r="BB629">
        <v>341</v>
      </c>
      <c r="BC629">
        <v>353</v>
      </c>
      <c r="BD629" t="s">
        <v>74</v>
      </c>
      <c r="BE629" t="s">
        <v>11596</v>
      </c>
      <c r="BF629" t="str">
        <f>HYPERLINK("http://dx.doi.org/10.1017/S0954102009002016","http://dx.doi.org/10.1017/S0954102009002016")</f>
        <v>http://dx.doi.org/10.1017/S0954102009002016</v>
      </c>
      <c r="BG629" t="s">
        <v>74</v>
      </c>
      <c r="BH629" t="s">
        <v>74</v>
      </c>
      <c r="BI629">
        <v>13</v>
      </c>
      <c r="BJ629" t="s">
        <v>1232</v>
      </c>
      <c r="BK629" t="s">
        <v>98</v>
      </c>
      <c r="BL629" t="s">
        <v>1233</v>
      </c>
      <c r="BM629" t="s">
        <v>11550</v>
      </c>
      <c r="BN629" t="s">
        <v>74</v>
      </c>
      <c r="BO629" t="s">
        <v>74</v>
      </c>
      <c r="BP629" t="s">
        <v>74</v>
      </c>
      <c r="BQ629" t="s">
        <v>74</v>
      </c>
      <c r="BR629" t="s">
        <v>101</v>
      </c>
      <c r="BS629" t="s">
        <v>11597</v>
      </c>
      <c r="BT629" t="str">
        <f>HYPERLINK("https%3A%2F%2Fwww.webofscience.com%2Fwos%2Fwoscc%2Ffull-record%2FWOS:000268081200004","View Full Record in Web of Science")</f>
        <v>View Full Record in Web of Science</v>
      </c>
    </row>
    <row r="630" spans="1:72" x14ac:dyDescent="0.15">
      <c r="A630" t="s">
        <v>72</v>
      </c>
      <c r="B630" t="s">
        <v>11598</v>
      </c>
      <c r="C630" t="s">
        <v>74</v>
      </c>
      <c r="D630" t="s">
        <v>74</v>
      </c>
      <c r="E630" t="s">
        <v>74</v>
      </c>
      <c r="F630" t="s">
        <v>11599</v>
      </c>
      <c r="G630" t="s">
        <v>74</v>
      </c>
      <c r="H630" t="s">
        <v>74</v>
      </c>
      <c r="I630" t="s">
        <v>11600</v>
      </c>
      <c r="J630" t="s">
        <v>1224</v>
      </c>
      <c r="K630" t="s">
        <v>74</v>
      </c>
      <c r="L630" t="s">
        <v>74</v>
      </c>
      <c r="M630" t="s">
        <v>78</v>
      </c>
      <c r="N630" t="s">
        <v>79</v>
      </c>
      <c r="O630" t="s">
        <v>74</v>
      </c>
      <c r="P630" t="s">
        <v>74</v>
      </c>
      <c r="Q630" t="s">
        <v>74</v>
      </c>
      <c r="R630" t="s">
        <v>74</v>
      </c>
      <c r="S630" t="s">
        <v>74</v>
      </c>
      <c r="T630" t="s">
        <v>11601</v>
      </c>
      <c r="U630" t="s">
        <v>11602</v>
      </c>
      <c r="V630" t="s">
        <v>11603</v>
      </c>
      <c r="W630" t="s">
        <v>11604</v>
      </c>
      <c r="X630" t="s">
        <v>11605</v>
      </c>
      <c r="Y630" t="s">
        <v>11606</v>
      </c>
      <c r="Z630" t="s">
        <v>11607</v>
      </c>
      <c r="AA630" t="s">
        <v>74</v>
      </c>
      <c r="AB630" t="s">
        <v>74</v>
      </c>
      <c r="AC630" t="s">
        <v>11608</v>
      </c>
      <c r="AD630" t="s">
        <v>11609</v>
      </c>
      <c r="AE630" t="s">
        <v>11610</v>
      </c>
      <c r="AF630" t="s">
        <v>74</v>
      </c>
      <c r="AG630">
        <v>35</v>
      </c>
      <c r="AH630">
        <v>16</v>
      </c>
      <c r="AI630">
        <v>17</v>
      </c>
      <c r="AJ630">
        <v>0</v>
      </c>
      <c r="AK630">
        <v>20</v>
      </c>
      <c r="AL630" t="s">
        <v>1226</v>
      </c>
      <c r="AM630" t="s">
        <v>684</v>
      </c>
      <c r="AN630" t="s">
        <v>1227</v>
      </c>
      <c r="AO630" t="s">
        <v>1228</v>
      </c>
      <c r="AP630" t="s">
        <v>1250</v>
      </c>
      <c r="AQ630" t="s">
        <v>74</v>
      </c>
      <c r="AR630" t="s">
        <v>1229</v>
      </c>
      <c r="AS630" t="s">
        <v>1230</v>
      </c>
      <c r="AT630" t="s">
        <v>11524</v>
      </c>
      <c r="AU630">
        <v>2009</v>
      </c>
      <c r="AV630">
        <v>21</v>
      </c>
      <c r="AW630">
        <v>4</v>
      </c>
      <c r="AX630" t="s">
        <v>74</v>
      </c>
      <c r="AY630" t="s">
        <v>74</v>
      </c>
      <c r="AZ630" t="s">
        <v>74</v>
      </c>
      <c r="BA630" t="s">
        <v>74</v>
      </c>
      <c r="BB630">
        <v>355</v>
      </c>
      <c r="BC630">
        <v>365</v>
      </c>
      <c r="BD630" t="s">
        <v>74</v>
      </c>
      <c r="BE630" t="s">
        <v>11611</v>
      </c>
      <c r="BF630" t="str">
        <f>HYPERLINK("http://dx.doi.org/10.1017/S0954102009001965","http://dx.doi.org/10.1017/S0954102009001965")</f>
        <v>http://dx.doi.org/10.1017/S0954102009001965</v>
      </c>
      <c r="BG630" t="s">
        <v>74</v>
      </c>
      <c r="BH630" t="s">
        <v>74</v>
      </c>
      <c r="BI630">
        <v>11</v>
      </c>
      <c r="BJ630" t="s">
        <v>1232</v>
      </c>
      <c r="BK630" t="s">
        <v>98</v>
      </c>
      <c r="BL630" t="s">
        <v>1233</v>
      </c>
      <c r="BM630" t="s">
        <v>11550</v>
      </c>
      <c r="BN630" t="s">
        <v>74</v>
      </c>
      <c r="BO630" t="s">
        <v>1119</v>
      </c>
      <c r="BP630" t="s">
        <v>74</v>
      </c>
      <c r="BQ630" t="s">
        <v>74</v>
      </c>
      <c r="BR630" t="s">
        <v>101</v>
      </c>
      <c r="BS630" t="s">
        <v>11612</v>
      </c>
      <c r="BT630" t="str">
        <f>HYPERLINK("https%3A%2F%2Fwww.webofscience.com%2Fwos%2Fwoscc%2Ffull-record%2FWOS:000268081200005","View Full Record in Web of Science")</f>
        <v>View Full Record in Web of Science</v>
      </c>
    </row>
    <row r="631" spans="1:72" x14ac:dyDescent="0.15">
      <c r="A631" t="s">
        <v>72</v>
      </c>
      <c r="B631" t="s">
        <v>11613</v>
      </c>
      <c r="C631" t="s">
        <v>74</v>
      </c>
      <c r="D631" t="s">
        <v>74</v>
      </c>
      <c r="E631" t="s">
        <v>74</v>
      </c>
      <c r="F631" t="s">
        <v>11614</v>
      </c>
      <c r="G631" t="s">
        <v>74</v>
      </c>
      <c r="H631" t="s">
        <v>74</v>
      </c>
      <c r="I631" t="s">
        <v>11615</v>
      </c>
      <c r="J631" t="s">
        <v>1224</v>
      </c>
      <c r="K631" t="s">
        <v>74</v>
      </c>
      <c r="L631" t="s">
        <v>74</v>
      </c>
      <c r="M631" t="s">
        <v>78</v>
      </c>
      <c r="N631" t="s">
        <v>79</v>
      </c>
      <c r="O631" t="s">
        <v>74</v>
      </c>
      <c r="P631" t="s">
        <v>74</v>
      </c>
      <c r="Q631" t="s">
        <v>74</v>
      </c>
      <c r="R631" t="s">
        <v>74</v>
      </c>
      <c r="S631" t="s">
        <v>74</v>
      </c>
      <c r="T631" t="s">
        <v>11616</v>
      </c>
      <c r="U631" t="s">
        <v>74</v>
      </c>
      <c r="V631" t="s">
        <v>11617</v>
      </c>
      <c r="W631" t="s">
        <v>11618</v>
      </c>
      <c r="X631" t="s">
        <v>10561</v>
      </c>
      <c r="Y631" t="s">
        <v>11619</v>
      </c>
      <c r="Z631" t="s">
        <v>11620</v>
      </c>
      <c r="AA631" t="s">
        <v>11621</v>
      </c>
      <c r="AB631" t="s">
        <v>11622</v>
      </c>
      <c r="AC631" t="s">
        <v>74</v>
      </c>
      <c r="AD631" t="s">
        <v>74</v>
      </c>
      <c r="AE631" t="s">
        <v>74</v>
      </c>
      <c r="AF631" t="s">
        <v>74</v>
      </c>
      <c r="AG631">
        <v>8</v>
      </c>
      <c r="AH631">
        <v>1</v>
      </c>
      <c r="AI631">
        <v>1</v>
      </c>
      <c r="AJ631">
        <v>0</v>
      </c>
      <c r="AK631">
        <v>1</v>
      </c>
      <c r="AL631" t="s">
        <v>1226</v>
      </c>
      <c r="AM631" t="s">
        <v>684</v>
      </c>
      <c r="AN631" t="s">
        <v>1227</v>
      </c>
      <c r="AO631" t="s">
        <v>1228</v>
      </c>
      <c r="AP631" t="s">
        <v>74</v>
      </c>
      <c r="AQ631" t="s">
        <v>74</v>
      </c>
      <c r="AR631" t="s">
        <v>1229</v>
      </c>
      <c r="AS631" t="s">
        <v>1230</v>
      </c>
      <c r="AT631" t="s">
        <v>11524</v>
      </c>
      <c r="AU631">
        <v>2009</v>
      </c>
      <c r="AV631">
        <v>21</v>
      </c>
      <c r="AW631">
        <v>4</v>
      </c>
      <c r="AX631" t="s">
        <v>74</v>
      </c>
      <c r="AY631" t="s">
        <v>74</v>
      </c>
      <c r="AZ631" t="s">
        <v>74</v>
      </c>
      <c r="BA631" t="s">
        <v>74</v>
      </c>
      <c r="BB631">
        <v>367</v>
      </c>
      <c r="BC631">
        <v>372</v>
      </c>
      <c r="BD631" t="s">
        <v>74</v>
      </c>
      <c r="BE631" t="s">
        <v>11623</v>
      </c>
      <c r="BF631" t="str">
        <f>HYPERLINK("http://dx.doi.org/10.1017/S0954102009001977","http://dx.doi.org/10.1017/S0954102009001977")</f>
        <v>http://dx.doi.org/10.1017/S0954102009001977</v>
      </c>
      <c r="BG631" t="s">
        <v>74</v>
      </c>
      <c r="BH631" t="s">
        <v>74</v>
      </c>
      <c r="BI631">
        <v>6</v>
      </c>
      <c r="BJ631" t="s">
        <v>1232</v>
      </c>
      <c r="BK631" t="s">
        <v>98</v>
      </c>
      <c r="BL631" t="s">
        <v>1233</v>
      </c>
      <c r="BM631" t="s">
        <v>11550</v>
      </c>
      <c r="BN631" t="s">
        <v>74</v>
      </c>
      <c r="BO631" t="s">
        <v>74</v>
      </c>
      <c r="BP631" t="s">
        <v>74</v>
      </c>
      <c r="BQ631" t="s">
        <v>74</v>
      </c>
      <c r="BR631" t="s">
        <v>101</v>
      </c>
      <c r="BS631" t="s">
        <v>11624</v>
      </c>
      <c r="BT631" t="str">
        <f>HYPERLINK("https%3A%2F%2Fwww.webofscience.com%2Fwos%2Fwoscc%2Ffull-record%2FWOS:000268081200006","View Full Record in Web of Science")</f>
        <v>View Full Record in Web of Science</v>
      </c>
    </row>
    <row r="632" spans="1:72" x14ac:dyDescent="0.15">
      <c r="A632" t="s">
        <v>72</v>
      </c>
      <c r="B632" t="s">
        <v>11625</v>
      </c>
      <c r="C632" t="s">
        <v>74</v>
      </c>
      <c r="D632" t="s">
        <v>74</v>
      </c>
      <c r="E632" t="s">
        <v>74</v>
      </c>
      <c r="F632" t="s">
        <v>11626</v>
      </c>
      <c r="G632" t="s">
        <v>74</v>
      </c>
      <c r="H632" t="s">
        <v>74</v>
      </c>
      <c r="I632" t="s">
        <v>11627</v>
      </c>
      <c r="J632" t="s">
        <v>1224</v>
      </c>
      <c r="K632" t="s">
        <v>74</v>
      </c>
      <c r="L632" t="s">
        <v>74</v>
      </c>
      <c r="M632" t="s">
        <v>78</v>
      </c>
      <c r="N632" t="s">
        <v>79</v>
      </c>
      <c r="O632" t="s">
        <v>74</v>
      </c>
      <c r="P632" t="s">
        <v>74</v>
      </c>
      <c r="Q632" t="s">
        <v>74</v>
      </c>
      <c r="R632" t="s">
        <v>74</v>
      </c>
      <c r="S632" t="s">
        <v>74</v>
      </c>
      <c r="T632" t="s">
        <v>11628</v>
      </c>
      <c r="U632" t="s">
        <v>11629</v>
      </c>
      <c r="V632" t="s">
        <v>11630</v>
      </c>
      <c r="W632" t="s">
        <v>11631</v>
      </c>
      <c r="X632" t="s">
        <v>11632</v>
      </c>
      <c r="Y632" t="s">
        <v>11633</v>
      </c>
      <c r="Z632" t="s">
        <v>11634</v>
      </c>
      <c r="AA632" t="s">
        <v>11635</v>
      </c>
      <c r="AB632" t="s">
        <v>11636</v>
      </c>
      <c r="AC632" t="s">
        <v>11637</v>
      </c>
      <c r="AD632" t="s">
        <v>11638</v>
      </c>
      <c r="AE632" t="s">
        <v>11639</v>
      </c>
      <c r="AF632" t="s">
        <v>74</v>
      </c>
      <c r="AG632">
        <v>30</v>
      </c>
      <c r="AH632">
        <v>30</v>
      </c>
      <c r="AI632">
        <v>32</v>
      </c>
      <c r="AJ632">
        <v>0</v>
      </c>
      <c r="AK632">
        <v>21</v>
      </c>
      <c r="AL632" t="s">
        <v>1226</v>
      </c>
      <c r="AM632" t="s">
        <v>684</v>
      </c>
      <c r="AN632" t="s">
        <v>1227</v>
      </c>
      <c r="AO632" t="s">
        <v>1228</v>
      </c>
      <c r="AP632" t="s">
        <v>74</v>
      </c>
      <c r="AQ632" t="s">
        <v>74</v>
      </c>
      <c r="AR632" t="s">
        <v>1229</v>
      </c>
      <c r="AS632" t="s">
        <v>1230</v>
      </c>
      <c r="AT632" t="s">
        <v>11524</v>
      </c>
      <c r="AU632">
        <v>2009</v>
      </c>
      <c r="AV632">
        <v>21</v>
      </c>
      <c r="AW632">
        <v>4</v>
      </c>
      <c r="AX632" t="s">
        <v>74</v>
      </c>
      <c r="AY632" t="s">
        <v>74</v>
      </c>
      <c r="AZ632" t="s">
        <v>74</v>
      </c>
      <c r="BA632" t="s">
        <v>74</v>
      </c>
      <c r="BB632">
        <v>373</v>
      </c>
      <c r="BC632">
        <v>382</v>
      </c>
      <c r="BD632" t="s">
        <v>74</v>
      </c>
      <c r="BE632" t="s">
        <v>11640</v>
      </c>
      <c r="BF632" t="str">
        <f>HYPERLINK("http://dx.doi.org/10.1017/S0954102009002028","http://dx.doi.org/10.1017/S0954102009002028")</f>
        <v>http://dx.doi.org/10.1017/S0954102009002028</v>
      </c>
      <c r="BG632" t="s">
        <v>74</v>
      </c>
      <c r="BH632" t="s">
        <v>74</v>
      </c>
      <c r="BI632">
        <v>10</v>
      </c>
      <c r="BJ632" t="s">
        <v>1232</v>
      </c>
      <c r="BK632" t="s">
        <v>98</v>
      </c>
      <c r="BL632" t="s">
        <v>1233</v>
      </c>
      <c r="BM632" t="s">
        <v>11550</v>
      </c>
      <c r="BN632" t="s">
        <v>74</v>
      </c>
      <c r="BO632" t="s">
        <v>74</v>
      </c>
      <c r="BP632" t="s">
        <v>74</v>
      </c>
      <c r="BQ632" t="s">
        <v>74</v>
      </c>
      <c r="BR632" t="s">
        <v>101</v>
      </c>
      <c r="BS632" t="s">
        <v>11641</v>
      </c>
      <c r="BT632" t="str">
        <f>HYPERLINK("https%3A%2F%2Fwww.webofscience.com%2Fwos%2Fwoscc%2Ffull-record%2FWOS:000268081200007","View Full Record in Web of Science")</f>
        <v>View Full Record in Web of Science</v>
      </c>
    </row>
    <row r="633" spans="1:72" x14ac:dyDescent="0.15">
      <c r="A633" t="s">
        <v>72</v>
      </c>
      <c r="B633" t="s">
        <v>11642</v>
      </c>
      <c r="C633" t="s">
        <v>74</v>
      </c>
      <c r="D633" t="s">
        <v>74</v>
      </c>
      <c r="E633" t="s">
        <v>74</v>
      </c>
      <c r="F633" t="s">
        <v>11643</v>
      </c>
      <c r="G633" t="s">
        <v>74</v>
      </c>
      <c r="H633" t="s">
        <v>74</v>
      </c>
      <c r="I633" t="s">
        <v>11644</v>
      </c>
      <c r="J633" t="s">
        <v>1224</v>
      </c>
      <c r="K633" t="s">
        <v>74</v>
      </c>
      <c r="L633" t="s">
        <v>74</v>
      </c>
      <c r="M633" t="s">
        <v>78</v>
      </c>
      <c r="N633" t="s">
        <v>79</v>
      </c>
      <c r="O633" t="s">
        <v>74</v>
      </c>
      <c r="P633" t="s">
        <v>74</v>
      </c>
      <c r="Q633" t="s">
        <v>74</v>
      </c>
      <c r="R633" t="s">
        <v>74</v>
      </c>
      <c r="S633" t="s">
        <v>74</v>
      </c>
      <c r="T633" t="s">
        <v>11645</v>
      </c>
      <c r="U633" t="s">
        <v>11646</v>
      </c>
      <c r="V633" t="s">
        <v>11647</v>
      </c>
      <c r="W633" t="s">
        <v>11648</v>
      </c>
      <c r="X633" t="s">
        <v>1886</v>
      </c>
      <c r="Y633" t="s">
        <v>11649</v>
      </c>
      <c r="Z633" t="s">
        <v>11650</v>
      </c>
      <c r="AA633" t="s">
        <v>11651</v>
      </c>
      <c r="AB633" t="s">
        <v>11652</v>
      </c>
      <c r="AC633" t="s">
        <v>11653</v>
      </c>
      <c r="AD633" t="s">
        <v>11654</v>
      </c>
      <c r="AE633" t="s">
        <v>11655</v>
      </c>
      <c r="AF633" t="s">
        <v>74</v>
      </c>
      <c r="AG633">
        <v>63</v>
      </c>
      <c r="AH633">
        <v>26</v>
      </c>
      <c r="AI633">
        <v>26</v>
      </c>
      <c r="AJ633">
        <v>0</v>
      </c>
      <c r="AK633">
        <v>12</v>
      </c>
      <c r="AL633" t="s">
        <v>1226</v>
      </c>
      <c r="AM633" t="s">
        <v>684</v>
      </c>
      <c r="AN633" t="s">
        <v>1227</v>
      </c>
      <c r="AO633" t="s">
        <v>1228</v>
      </c>
      <c r="AP633" t="s">
        <v>1250</v>
      </c>
      <c r="AQ633" t="s">
        <v>74</v>
      </c>
      <c r="AR633" t="s">
        <v>1229</v>
      </c>
      <c r="AS633" t="s">
        <v>1230</v>
      </c>
      <c r="AT633" t="s">
        <v>11524</v>
      </c>
      <c r="AU633">
        <v>2009</v>
      </c>
      <c r="AV633">
        <v>21</v>
      </c>
      <c r="AW633">
        <v>4</v>
      </c>
      <c r="AX633" t="s">
        <v>74</v>
      </c>
      <c r="AY633" t="s">
        <v>74</v>
      </c>
      <c r="AZ633" t="s">
        <v>74</v>
      </c>
      <c r="BA633" t="s">
        <v>74</v>
      </c>
      <c r="BB633">
        <v>383</v>
      </c>
      <c r="BC633">
        <v>400</v>
      </c>
      <c r="BD633" t="s">
        <v>74</v>
      </c>
      <c r="BE633" t="s">
        <v>11656</v>
      </c>
      <c r="BF633" t="str">
        <f>HYPERLINK("http://dx.doi.org/10.1017/S0954102009001990","http://dx.doi.org/10.1017/S0954102009001990")</f>
        <v>http://dx.doi.org/10.1017/S0954102009001990</v>
      </c>
      <c r="BG633" t="s">
        <v>74</v>
      </c>
      <c r="BH633" t="s">
        <v>74</v>
      </c>
      <c r="BI633">
        <v>18</v>
      </c>
      <c r="BJ633" t="s">
        <v>1232</v>
      </c>
      <c r="BK633" t="s">
        <v>98</v>
      </c>
      <c r="BL633" t="s">
        <v>1233</v>
      </c>
      <c r="BM633" t="s">
        <v>11550</v>
      </c>
      <c r="BN633" t="s">
        <v>74</v>
      </c>
      <c r="BO633" t="s">
        <v>74</v>
      </c>
      <c r="BP633" t="s">
        <v>74</v>
      </c>
      <c r="BQ633" t="s">
        <v>74</v>
      </c>
      <c r="BR633" t="s">
        <v>101</v>
      </c>
      <c r="BS633" t="s">
        <v>11657</v>
      </c>
      <c r="BT633" t="str">
        <f>HYPERLINK("https%3A%2F%2Fwww.webofscience.com%2Fwos%2Fwoscc%2Ffull-record%2FWOS:000268081200008","View Full Record in Web of Science")</f>
        <v>View Full Record in Web of Science</v>
      </c>
    </row>
    <row r="634" spans="1:72" x14ac:dyDescent="0.15">
      <c r="A634" t="s">
        <v>72</v>
      </c>
      <c r="B634" t="s">
        <v>11658</v>
      </c>
      <c r="C634" t="s">
        <v>74</v>
      </c>
      <c r="D634" t="s">
        <v>74</v>
      </c>
      <c r="E634" t="s">
        <v>74</v>
      </c>
      <c r="F634" t="s">
        <v>11659</v>
      </c>
      <c r="G634" t="s">
        <v>74</v>
      </c>
      <c r="H634" t="s">
        <v>74</v>
      </c>
      <c r="I634" t="s">
        <v>11660</v>
      </c>
      <c r="J634" t="s">
        <v>1224</v>
      </c>
      <c r="K634" t="s">
        <v>74</v>
      </c>
      <c r="L634" t="s">
        <v>74</v>
      </c>
      <c r="M634" t="s">
        <v>78</v>
      </c>
      <c r="N634" t="s">
        <v>79</v>
      </c>
      <c r="O634" t="s">
        <v>74</v>
      </c>
      <c r="P634" t="s">
        <v>74</v>
      </c>
      <c r="Q634" t="s">
        <v>74</v>
      </c>
      <c r="R634" t="s">
        <v>74</v>
      </c>
      <c r="S634" t="s">
        <v>74</v>
      </c>
      <c r="T634" t="s">
        <v>11661</v>
      </c>
      <c r="U634" t="s">
        <v>11662</v>
      </c>
      <c r="V634" t="s">
        <v>11663</v>
      </c>
      <c r="W634" t="s">
        <v>11664</v>
      </c>
      <c r="X634" t="s">
        <v>11665</v>
      </c>
      <c r="Y634" t="s">
        <v>11666</v>
      </c>
      <c r="Z634" t="s">
        <v>11667</v>
      </c>
      <c r="AA634" t="s">
        <v>11668</v>
      </c>
      <c r="AB634" t="s">
        <v>11669</v>
      </c>
      <c r="AC634" t="s">
        <v>11670</v>
      </c>
      <c r="AD634" t="s">
        <v>11671</v>
      </c>
      <c r="AE634" t="s">
        <v>11672</v>
      </c>
      <c r="AF634" t="s">
        <v>74</v>
      </c>
      <c r="AG634">
        <v>32</v>
      </c>
      <c r="AH634">
        <v>8</v>
      </c>
      <c r="AI634">
        <v>10</v>
      </c>
      <c r="AJ634">
        <v>0</v>
      </c>
      <c r="AK634">
        <v>12</v>
      </c>
      <c r="AL634" t="s">
        <v>1226</v>
      </c>
      <c r="AM634" t="s">
        <v>684</v>
      </c>
      <c r="AN634" t="s">
        <v>1227</v>
      </c>
      <c r="AO634" t="s">
        <v>1228</v>
      </c>
      <c r="AP634" t="s">
        <v>1250</v>
      </c>
      <c r="AQ634" t="s">
        <v>74</v>
      </c>
      <c r="AR634" t="s">
        <v>1229</v>
      </c>
      <c r="AS634" t="s">
        <v>1230</v>
      </c>
      <c r="AT634" t="s">
        <v>11524</v>
      </c>
      <c r="AU634">
        <v>2009</v>
      </c>
      <c r="AV634">
        <v>21</v>
      </c>
      <c r="AW634">
        <v>4</v>
      </c>
      <c r="AX634" t="s">
        <v>74</v>
      </c>
      <c r="AY634" t="s">
        <v>74</v>
      </c>
      <c r="AZ634" t="s">
        <v>74</v>
      </c>
      <c r="BA634" t="s">
        <v>74</v>
      </c>
      <c r="BB634">
        <v>401</v>
      </c>
      <c r="BC634">
        <v>409</v>
      </c>
      <c r="BD634" t="s">
        <v>74</v>
      </c>
      <c r="BE634" t="s">
        <v>11673</v>
      </c>
      <c r="BF634" t="str">
        <f>HYPERLINK("http://dx.doi.org/10.1017/S0954102009001989","http://dx.doi.org/10.1017/S0954102009001989")</f>
        <v>http://dx.doi.org/10.1017/S0954102009001989</v>
      </c>
      <c r="BG634" t="s">
        <v>74</v>
      </c>
      <c r="BH634" t="s">
        <v>74</v>
      </c>
      <c r="BI634">
        <v>9</v>
      </c>
      <c r="BJ634" t="s">
        <v>1232</v>
      </c>
      <c r="BK634" t="s">
        <v>98</v>
      </c>
      <c r="BL634" t="s">
        <v>1233</v>
      </c>
      <c r="BM634" t="s">
        <v>11550</v>
      </c>
      <c r="BN634" t="s">
        <v>74</v>
      </c>
      <c r="BO634" t="s">
        <v>74</v>
      </c>
      <c r="BP634" t="s">
        <v>74</v>
      </c>
      <c r="BQ634" t="s">
        <v>74</v>
      </c>
      <c r="BR634" t="s">
        <v>101</v>
      </c>
      <c r="BS634" t="s">
        <v>11674</v>
      </c>
      <c r="BT634" t="str">
        <f>HYPERLINK("https%3A%2F%2Fwww.webofscience.com%2Fwos%2Fwoscc%2Ffull-record%2FWOS:000268081200009","View Full Record in Web of Science")</f>
        <v>View Full Record in Web of Science</v>
      </c>
    </row>
    <row r="635" spans="1:72" x14ac:dyDescent="0.15">
      <c r="A635" t="s">
        <v>72</v>
      </c>
      <c r="B635" t="s">
        <v>11675</v>
      </c>
      <c r="C635" t="s">
        <v>74</v>
      </c>
      <c r="D635" t="s">
        <v>74</v>
      </c>
      <c r="E635" t="s">
        <v>74</v>
      </c>
      <c r="F635" t="s">
        <v>11676</v>
      </c>
      <c r="G635" t="s">
        <v>74</v>
      </c>
      <c r="H635" t="s">
        <v>74</v>
      </c>
      <c r="I635" t="s">
        <v>11677</v>
      </c>
      <c r="J635" t="s">
        <v>1414</v>
      </c>
      <c r="K635" t="s">
        <v>74</v>
      </c>
      <c r="L635" t="s">
        <v>74</v>
      </c>
      <c r="M635" t="s">
        <v>78</v>
      </c>
      <c r="N635" t="s">
        <v>79</v>
      </c>
      <c r="O635" t="s">
        <v>74</v>
      </c>
      <c r="P635" t="s">
        <v>74</v>
      </c>
      <c r="Q635" t="s">
        <v>74</v>
      </c>
      <c r="R635" t="s">
        <v>74</v>
      </c>
      <c r="S635" t="s">
        <v>74</v>
      </c>
      <c r="T635" t="s">
        <v>74</v>
      </c>
      <c r="U635" t="s">
        <v>11678</v>
      </c>
      <c r="V635" t="s">
        <v>11679</v>
      </c>
      <c r="W635" t="s">
        <v>11680</v>
      </c>
      <c r="X635" t="s">
        <v>2930</v>
      </c>
      <c r="Y635" t="s">
        <v>11681</v>
      </c>
      <c r="Z635" t="s">
        <v>11682</v>
      </c>
      <c r="AA635" t="s">
        <v>11683</v>
      </c>
      <c r="AB635" t="s">
        <v>11684</v>
      </c>
      <c r="AC635" t="s">
        <v>11685</v>
      </c>
      <c r="AD635" t="s">
        <v>278</v>
      </c>
      <c r="AE635" t="s">
        <v>11686</v>
      </c>
      <c r="AF635" t="s">
        <v>74</v>
      </c>
      <c r="AG635">
        <v>59</v>
      </c>
      <c r="AH635">
        <v>112</v>
      </c>
      <c r="AI635">
        <v>132</v>
      </c>
      <c r="AJ635">
        <v>2</v>
      </c>
      <c r="AK635">
        <v>55</v>
      </c>
      <c r="AL635" t="s">
        <v>1426</v>
      </c>
      <c r="AM635" t="s">
        <v>227</v>
      </c>
      <c r="AN635" t="s">
        <v>1427</v>
      </c>
      <c r="AO635" t="s">
        <v>1428</v>
      </c>
      <c r="AP635" t="s">
        <v>7350</v>
      </c>
      <c r="AQ635" t="s">
        <v>74</v>
      </c>
      <c r="AR635" t="s">
        <v>1429</v>
      </c>
      <c r="AS635" t="s">
        <v>1430</v>
      </c>
      <c r="AT635" t="s">
        <v>11687</v>
      </c>
      <c r="AU635">
        <v>2009</v>
      </c>
      <c r="AV635">
        <v>75</v>
      </c>
      <c r="AW635">
        <v>15</v>
      </c>
      <c r="AX635" t="s">
        <v>74</v>
      </c>
      <c r="AY635" t="s">
        <v>74</v>
      </c>
      <c r="AZ635" t="s">
        <v>74</v>
      </c>
      <c r="BA635" t="s">
        <v>74</v>
      </c>
      <c r="BB635">
        <v>4958</v>
      </c>
      <c r="BC635">
        <v>4966</v>
      </c>
      <c r="BD635" t="s">
        <v>74</v>
      </c>
      <c r="BE635" t="s">
        <v>11688</v>
      </c>
      <c r="BF635" t="str">
        <f>HYPERLINK("http://dx.doi.org/10.1128/AEM.00117-09","http://dx.doi.org/10.1128/AEM.00117-09")</f>
        <v>http://dx.doi.org/10.1128/AEM.00117-09</v>
      </c>
      <c r="BG635" t="s">
        <v>74</v>
      </c>
      <c r="BH635" t="s">
        <v>74</v>
      </c>
      <c r="BI635">
        <v>9</v>
      </c>
      <c r="BJ635" t="s">
        <v>1433</v>
      </c>
      <c r="BK635" t="s">
        <v>98</v>
      </c>
      <c r="BL635" t="s">
        <v>1433</v>
      </c>
      <c r="BM635" t="s">
        <v>11689</v>
      </c>
      <c r="BN635">
        <v>19502441</v>
      </c>
      <c r="BO635" t="s">
        <v>239</v>
      </c>
      <c r="BP635" t="s">
        <v>74</v>
      </c>
      <c r="BQ635" t="s">
        <v>74</v>
      </c>
      <c r="BR635" t="s">
        <v>101</v>
      </c>
      <c r="BS635" t="s">
        <v>11690</v>
      </c>
      <c r="BT635" t="str">
        <f>HYPERLINK("https%3A%2F%2Fwww.webofscience.com%2Fwos%2Fwoscc%2Ffull-record%2FWOS:000268311600004","View Full Record in Web of Science")</f>
        <v>View Full Record in Web of Science</v>
      </c>
    </row>
    <row r="636" spans="1:72" x14ac:dyDescent="0.15">
      <c r="A636" t="s">
        <v>72</v>
      </c>
      <c r="B636" t="s">
        <v>11691</v>
      </c>
      <c r="C636" t="s">
        <v>74</v>
      </c>
      <c r="D636" t="s">
        <v>74</v>
      </c>
      <c r="E636" t="s">
        <v>74</v>
      </c>
      <c r="F636" t="s">
        <v>11692</v>
      </c>
      <c r="G636" t="s">
        <v>74</v>
      </c>
      <c r="H636" t="s">
        <v>74</v>
      </c>
      <c r="I636" t="s">
        <v>11693</v>
      </c>
      <c r="J636" t="s">
        <v>4483</v>
      </c>
      <c r="K636" t="s">
        <v>74</v>
      </c>
      <c r="L636" t="s">
        <v>74</v>
      </c>
      <c r="M636" t="s">
        <v>78</v>
      </c>
      <c r="N636" t="s">
        <v>297</v>
      </c>
      <c r="O636" t="s">
        <v>74</v>
      </c>
      <c r="P636" t="s">
        <v>74</v>
      </c>
      <c r="Q636" t="s">
        <v>74</v>
      </c>
      <c r="R636" t="s">
        <v>74</v>
      </c>
      <c r="S636" t="s">
        <v>74</v>
      </c>
      <c r="T636" t="s">
        <v>74</v>
      </c>
      <c r="U636" t="s">
        <v>11694</v>
      </c>
      <c r="V636" t="s">
        <v>11695</v>
      </c>
      <c r="W636" t="s">
        <v>11696</v>
      </c>
      <c r="X636" t="s">
        <v>11697</v>
      </c>
      <c r="Y636" t="s">
        <v>11698</v>
      </c>
      <c r="Z636" t="s">
        <v>11699</v>
      </c>
      <c r="AA636" t="s">
        <v>74</v>
      </c>
      <c r="AB636" t="s">
        <v>11700</v>
      </c>
      <c r="AC636" t="s">
        <v>11701</v>
      </c>
      <c r="AD636" t="s">
        <v>11702</v>
      </c>
      <c r="AE636" t="s">
        <v>11703</v>
      </c>
      <c r="AF636" t="s">
        <v>74</v>
      </c>
      <c r="AG636">
        <v>109</v>
      </c>
      <c r="AH636">
        <v>5</v>
      </c>
      <c r="AI636">
        <v>5</v>
      </c>
      <c r="AJ636">
        <v>2</v>
      </c>
      <c r="AK636">
        <v>10</v>
      </c>
      <c r="AL636" t="s">
        <v>2614</v>
      </c>
      <c r="AM636" t="s">
        <v>2615</v>
      </c>
      <c r="AN636" t="s">
        <v>2910</v>
      </c>
      <c r="AO636" t="s">
        <v>4493</v>
      </c>
      <c r="AP636" t="s">
        <v>4494</v>
      </c>
      <c r="AQ636" t="s">
        <v>74</v>
      </c>
      <c r="AR636" t="s">
        <v>4495</v>
      </c>
      <c r="AS636" t="s">
        <v>4496</v>
      </c>
      <c r="AT636" t="s">
        <v>11524</v>
      </c>
      <c r="AU636">
        <v>2009</v>
      </c>
      <c r="AV636">
        <v>41</v>
      </c>
      <c r="AW636">
        <v>3</v>
      </c>
      <c r="AX636" t="s">
        <v>74</v>
      </c>
      <c r="AY636" t="s">
        <v>74</v>
      </c>
      <c r="AZ636" t="s">
        <v>74</v>
      </c>
      <c r="BA636" t="s">
        <v>74</v>
      </c>
      <c r="BB636">
        <v>285</v>
      </c>
      <c r="BC636">
        <v>300</v>
      </c>
      <c r="BD636" t="s">
        <v>74</v>
      </c>
      <c r="BE636" t="s">
        <v>11704</v>
      </c>
      <c r="BF636" t="str">
        <f>HYPERLINK("http://dx.doi.org/10.1657/1938-4246-41.3.285","http://dx.doi.org/10.1657/1938-4246-41.3.285")</f>
        <v>http://dx.doi.org/10.1657/1938-4246-41.3.285</v>
      </c>
      <c r="BG636" t="s">
        <v>74</v>
      </c>
      <c r="BH636" t="s">
        <v>74</v>
      </c>
      <c r="BI636">
        <v>16</v>
      </c>
      <c r="BJ636" t="s">
        <v>4498</v>
      </c>
      <c r="BK636" t="s">
        <v>98</v>
      </c>
      <c r="BL636" t="s">
        <v>4499</v>
      </c>
      <c r="BM636" t="s">
        <v>11705</v>
      </c>
      <c r="BN636" t="s">
        <v>74</v>
      </c>
      <c r="BO636" t="s">
        <v>1119</v>
      </c>
      <c r="BP636" t="s">
        <v>74</v>
      </c>
      <c r="BQ636" t="s">
        <v>74</v>
      </c>
      <c r="BR636" t="s">
        <v>101</v>
      </c>
      <c r="BS636" t="s">
        <v>11706</v>
      </c>
      <c r="BT636" t="str">
        <f>HYPERLINK("https%3A%2F%2Fwww.webofscience.com%2Fwos%2Fwoscc%2Ffull-record%2FWOS:000269019100001","View Full Record in Web of Science")</f>
        <v>View Full Record in Web of Science</v>
      </c>
    </row>
    <row r="637" spans="1:72" x14ac:dyDescent="0.15">
      <c r="A637" t="s">
        <v>72</v>
      </c>
      <c r="B637" t="s">
        <v>11707</v>
      </c>
      <c r="C637" t="s">
        <v>74</v>
      </c>
      <c r="D637" t="s">
        <v>74</v>
      </c>
      <c r="E637" t="s">
        <v>74</v>
      </c>
      <c r="F637" t="s">
        <v>11708</v>
      </c>
      <c r="G637" t="s">
        <v>74</v>
      </c>
      <c r="H637" t="s">
        <v>74</v>
      </c>
      <c r="I637" t="s">
        <v>11709</v>
      </c>
      <c r="J637" t="s">
        <v>4483</v>
      </c>
      <c r="K637" t="s">
        <v>74</v>
      </c>
      <c r="L637" t="s">
        <v>74</v>
      </c>
      <c r="M637" t="s">
        <v>78</v>
      </c>
      <c r="N637" t="s">
        <v>79</v>
      </c>
      <c r="O637" t="s">
        <v>74</v>
      </c>
      <c r="P637" t="s">
        <v>74</v>
      </c>
      <c r="Q637" t="s">
        <v>74</v>
      </c>
      <c r="R637" t="s">
        <v>74</v>
      </c>
      <c r="S637" t="s">
        <v>74</v>
      </c>
      <c r="T637" t="s">
        <v>74</v>
      </c>
      <c r="U637" t="s">
        <v>11710</v>
      </c>
      <c r="V637" t="s">
        <v>11711</v>
      </c>
      <c r="W637" t="s">
        <v>11712</v>
      </c>
      <c r="X637" t="s">
        <v>11713</v>
      </c>
      <c r="Y637" t="s">
        <v>74</v>
      </c>
      <c r="Z637" t="s">
        <v>11714</v>
      </c>
      <c r="AA637" t="s">
        <v>11715</v>
      </c>
      <c r="AB637" t="s">
        <v>74</v>
      </c>
      <c r="AC637" t="s">
        <v>11716</v>
      </c>
      <c r="AD637" t="s">
        <v>11717</v>
      </c>
      <c r="AE637" t="s">
        <v>11718</v>
      </c>
      <c r="AF637" t="s">
        <v>74</v>
      </c>
      <c r="AG637">
        <v>67</v>
      </c>
      <c r="AH637">
        <v>5</v>
      </c>
      <c r="AI637">
        <v>6</v>
      </c>
      <c r="AJ637">
        <v>0</v>
      </c>
      <c r="AK637">
        <v>57</v>
      </c>
      <c r="AL637" t="s">
        <v>2614</v>
      </c>
      <c r="AM637" t="s">
        <v>2615</v>
      </c>
      <c r="AN637" t="s">
        <v>2910</v>
      </c>
      <c r="AO637" t="s">
        <v>4493</v>
      </c>
      <c r="AP637" t="s">
        <v>4494</v>
      </c>
      <c r="AQ637" t="s">
        <v>74</v>
      </c>
      <c r="AR637" t="s">
        <v>4495</v>
      </c>
      <c r="AS637" t="s">
        <v>4496</v>
      </c>
      <c r="AT637" t="s">
        <v>11524</v>
      </c>
      <c r="AU637">
        <v>2009</v>
      </c>
      <c r="AV637">
        <v>41</v>
      </c>
      <c r="AW637">
        <v>3</v>
      </c>
      <c r="AX637" t="s">
        <v>74</v>
      </c>
      <c r="AY637" t="s">
        <v>74</v>
      </c>
      <c r="AZ637" t="s">
        <v>74</v>
      </c>
      <c r="BA637" t="s">
        <v>74</v>
      </c>
      <c r="BB637">
        <v>301</v>
      </c>
      <c r="BC637">
        <v>308</v>
      </c>
      <c r="BD637" t="s">
        <v>74</v>
      </c>
      <c r="BE637" t="s">
        <v>11719</v>
      </c>
      <c r="BF637" t="str">
        <f>HYPERLINK("http://dx.doi.org/10.1657/1938-4246-41.3.301","http://dx.doi.org/10.1657/1938-4246-41.3.301")</f>
        <v>http://dx.doi.org/10.1657/1938-4246-41.3.301</v>
      </c>
      <c r="BG637" t="s">
        <v>74</v>
      </c>
      <c r="BH637" t="s">
        <v>74</v>
      </c>
      <c r="BI637">
        <v>8</v>
      </c>
      <c r="BJ637" t="s">
        <v>4498</v>
      </c>
      <c r="BK637" t="s">
        <v>98</v>
      </c>
      <c r="BL637" t="s">
        <v>4499</v>
      </c>
      <c r="BM637" t="s">
        <v>11705</v>
      </c>
      <c r="BN637" t="s">
        <v>74</v>
      </c>
      <c r="BO637" t="s">
        <v>1119</v>
      </c>
      <c r="BP637" t="s">
        <v>74</v>
      </c>
      <c r="BQ637" t="s">
        <v>74</v>
      </c>
      <c r="BR637" t="s">
        <v>101</v>
      </c>
      <c r="BS637" t="s">
        <v>11720</v>
      </c>
      <c r="BT637" t="str">
        <f>HYPERLINK("https%3A%2F%2Fwww.webofscience.com%2Fwos%2Fwoscc%2Ffull-record%2FWOS:000269019100002","View Full Record in Web of Science")</f>
        <v>View Full Record in Web of Science</v>
      </c>
    </row>
    <row r="638" spans="1:72" x14ac:dyDescent="0.15">
      <c r="A638" t="s">
        <v>72</v>
      </c>
      <c r="B638" t="s">
        <v>11721</v>
      </c>
      <c r="C638" t="s">
        <v>74</v>
      </c>
      <c r="D638" t="s">
        <v>74</v>
      </c>
      <c r="E638" t="s">
        <v>74</v>
      </c>
      <c r="F638" t="s">
        <v>11722</v>
      </c>
      <c r="G638" t="s">
        <v>74</v>
      </c>
      <c r="H638" t="s">
        <v>74</v>
      </c>
      <c r="I638" t="s">
        <v>11723</v>
      </c>
      <c r="J638" t="s">
        <v>4483</v>
      </c>
      <c r="K638" t="s">
        <v>74</v>
      </c>
      <c r="L638" t="s">
        <v>74</v>
      </c>
      <c r="M638" t="s">
        <v>78</v>
      </c>
      <c r="N638" t="s">
        <v>79</v>
      </c>
      <c r="O638" t="s">
        <v>74</v>
      </c>
      <c r="P638" t="s">
        <v>74</v>
      </c>
      <c r="Q638" t="s">
        <v>74</v>
      </c>
      <c r="R638" t="s">
        <v>74</v>
      </c>
      <c r="S638" t="s">
        <v>74</v>
      </c>
      <c r="T638" t="s">
        <v>74</v>
      </c>
      <c r="U638" t="s">
        <v>11724</v>
      </c>
      <c r="V638" t="s">
        <v>11725</v>
      </c>
      <c r="W638" t="s">
        <v>11726</v>
      </c>
      <c r="X638" t="s">
        <v>11727</v>
      </c>
      <c r="Y638" t="s">
        <v>11728</v>
      </c>
      <c r="Z638" t="s">
        <v>11729</v>
      </c>
      <c r="AA638" t="s">
        <v>11730</v>
      </c>
      <c r="AB638" t="s">
        <v>11731</v>
      </c>
      <c r="AC638" t="s">
        <v>11732</v>
      </c>
      <c r="AD638" t="s">
        <v>11733</v>
      </c>
      <c r="AE638" t="s">
        <v>11734</v>
      </c>
      <c r="AF638" t="s">
        <v>74</v>
      </c>
      <c r="AG638">
        <v>27</v>
      </c>
      <c r="AH638">
        <v>104</v>
      </c>
      <c r="AI638">
        <v>122</v>
      </c>
      <c r="AJ638">
        <v>1</v>
      </c>
      <c r="AK638">
        <v>36</v>
      </c>
      <c r="AL638" t="s">
        <v>2614</v>
      </c>
      <c r="AM638" t="s">
        <v>2615</v>
      </c>
      <c r="AN638" t="s">
        <v>2910</v>
      </c>
      <c r="AO638" t="s">
        <v>4493</v>
      </c>
      <c r="AP638" t="s">
        <v>4494</v>
      </c>
      <c r="AQ638" t="s">
        <v>74</v>
      </c>
      <c r="AR638" t="s">
        <v>4495</v>
      </c>
      <c r="AS638" t="s">
        <v>4496</v>
      </c>
      <c r="AT638" t="s">
        <v>11524</v>
      </c>
      <c r="AU638">
        <v>2009</v>
      </c>
      <c r="AV638">
        <v>41</v>
      </c>
      <c r="AW638">
        <v>3</v>
      </c>
      <c r="AX638" t="s">
        <v>74</v>
      </c>
      <c r="AY638" t="s">
        <v>74</v>
      </c>
      <c r="AZ638" t="s">
        <v>74</v>
      </c>
      <c r="BA638" t="s">
        <v>74</v>
      </c>
      <c r="BB638">
        <v>309</v>
      </c>
      <c r="BC638">
        <v>316</v>
      </c>
      <c r="BD638" t="s">
        <v>74</v>
      </c>
      <c r="BE638" t="s">
        <v>11735</v>
      </c>
      <c r="BF638" t="str">
        <f>HYPERLINK("http://dx.doi.org/10.1657/1938-4246-41.3.309","http://dx.doi.org/10.1657/1938-4246-41.3.309")</f>
        <v>http://dx.doi.org/10.1657/1938-4246-41.3.309</v>
      </c>
      <c r="BG638" t="s">
        <v>74</v>
      </c>
      <c r="BH638" t="s">
        <v>74</v>
      </c>
      <c r="BI638">
        <v>8</v>
      </c>
      <c r="BJ638" t="s">
        <v>4498</v>
      </c>
      <c r="BK638" t="s">
        <v>98</v>
      </c>
      <c r="BL638" t="s">
        <v>4499</v>
      </c>
      <c r="BM638" t="s">
        <v>11705</v>
      </c>
      <c r="BN638" t="s">
        <v>74</v>
      </c>
      <c r="BO638" t="s">
        <v>4550</v>
      </c>
      <c r="BP638" t="s">
        <v>74</v>
      </c>
      <c r="BQ638" t="s">
        <v>74</v>
      </c>
      <c r="BR638" t="s">
        <v>101</v>
      </c>
      <c r="BS638" t="s">
        <v>11736</v>
      </c>
      <c r="BT638" t="str">
        <f>HYPERLINK("https%3A%2F%2Fwww.webofscience.com%2Fwos%2Fwoscc%2Ffull-record%2FWOS:000269019100003","View Full Record in Web of Science")</f>
        <v>View Full Record in Web of Science</v>
      </c>
    </row>
    <row r="639" spans="1:72" x14ac:dyDescent="0.15">
      <c r="A639" t="s">
        <v>72</v>
      </c>
      <c r="B639" t="s">
        <v>11737</v>
      </c>
      <c r="C639" t="s">
        <v>74</v>
      </c>
      <c r="D639" t="s">
        <v>74</v>
      </c>
      <c r="E639" t="s">
        <v>74</v>
      </c>
      <c r="F639" t="s">
        <v>11738</v>
      </c>
      <c r="G639" t="s">
        <v>74</v>
      </c>
      <c r="H639" t="s">
        <v>74</v>
      </c>
      <c r="I639" t="s">
        <v>11739</v>
      </c>
      <c r="J639" t="s">
        <v>4483</v>
      </c>
      <c r="K639" t="s">
        <v>74</v>
      </c>
      <c r="L639" t="s">
        <v>74</v>
      </c>
      <c r="M639" t="s">
        <v>78</v>
      </c>
      <c r="N639" t="s">
        <v>79</v>
      </c>
      <c r="O639" t="s">
        <v>74</v>
      </c>
      <c r="P639" t="s">
        <v>74</v>
      </c>
      <c r="Q639" t="s">
        <v>74</v>
      </c>
      <c r="R639" t="s">
        <v>74</v>
      </c>
      <c r="S639" t="s">
        <v>74</v>
      </c>
      <c r="T639" t="s">
        <v>74</v>
      </c>
      <c r="U639" t="s">
        <v>11740</v>
      </c>
      <c r="V639" t="s">
        <v>11741</v>
      </c>
      <c r="W639" t="s">
        <v>11742</v>
      </c>
      <c r="X639" t="s">
        <v>11743</v>
      </c>
      <c r="Y639" t="s">
        <v>11744</v>
      </c>
      <c r="Z639" t="s">
        <v>11745</v>
      </c>
      <c r="AA639" t="s">
        <v>11746</v>
      </c>
      <c r="AB639" t="s">
        <v>74</v>
      </c>
      <c r="AC639" t="s">
        <v>11747</v>
      </c>
      <c r="AD639" t="s">
        <v>11748</v>
      </c>
      <c r="AE639" t="s">
        <v>11749</v>
      </c>
      <c r="AF639" t="s">
        <v>74</v>
      </c>
      <c r="AG639">
        <v>38</v>
      </c>
      <c r="AH639">
        <v>14</v>
      </c>
      <c r="AI639">
        <v>16</v>
      </c>
      <c r="AJ639">
        <v>1</v>
      </c>
      <c r="AK639">
        <v>24</v>
      </c>
      <c r="AL639" t="s">
        <v>2614</v>
      </c>
      <c r="AM639" t="s">
        <v>2615</v>
      </c>
      <c r="AN639" t="s">
        <v>2910</v>
      </c>
      <c r="AO639" t="s">
        <v>4493</v>
      </c>
      <c r="AP639" t="s">
        <v>4494</v>
      </c>
      <c r="AQ639" t="s">
        <v>74</v>
      </c>
      <c r="AR639" t="s">
        <v>4495</v>
      </c>
      <c r="AS639" t="s">
        <v>4496</v>
      </c>
      <c r="AT639" t="s">
        <v>11524</v>
      </c>
      <c r="AU639">
        <v>2009</v>
      </c>
      <c r="AV639">
        <v>41</v>
      </c>
      <c r="AW639">
        <v>3</v>
      </c>
      <c r="AX639" t="s">
        <v>74</v>
      </c>
      <c r="AY639" t="s">
        <v>74</v>
      </c>
      <c r="AZ639" t="s">
        <v>74</v>
      </c>
      <c r="BA639" t="s">
        <v>74</v>
      </c>
      <c r="BB639">
        <v>317</v>
      </c>
      <c r="BC639">
        <v>322</v>
      </c>
      <c r="BD639" t="s">
        <v>74</v>
      </c>
      <c r="BE639" t="s">
        <v>11750</v>
      </c>
      <c r="BF639" t="str">
        <f>HYPERLINK("http://dx.doi.org/10.1657/1938.4246-41.3.317","http://dx.doi.org/10.1657/1938.4246-41.3.317")</f>
        <v>http://dx.doi.org/10.1657/1938.4246-41.3.317</v>
      </c>
      <c r="BG639" t="s">
        <v>74</v>
      </c>
      <c r="BH639" t="s">
        <v>74</v>
      </c>
      <c r="BI639">
        <v>6</v>
      </c>
      <c r="BJ639" t="s">
        <v>4498</v>
      </c>
      <c r="BK639" t="s">
        <v>98</v>
      </c>
      <c r="BL639" t="s">
        <v>4499</v>
      </c>
      <c r="BM639" t="s">
        <v>11705</v>
      </c>
      <c r="BN639" t="s">
        <v>74</v>
      </c>
      <c r="BO639" t="s">
        <v>4550</v>
      </c>
      <c r="BP639" t="s">
        <v>74</v>
      </c>
      <c r="BQ639" t="s">
        <v>74</v>
      </c>
      <c r="BR639" t="s">
        <v>101</v>
      </c>
      <c r="BS639" t="s">
        <v>11751</v>
      </c>
      <c r="BT639" t="str">
        <f>HYPERLINK("https%3A%2F%2Fwww.webofscience.com%2Fwos%2Fwoscc%2Ffull-record%2FWOS:000269019100004","View Full Record in Web of Science")</f>
        <v>View Full Record in Web of Science</v>
      </c>
    </row>
    <row r="640" spans="1:72" x14ac:dyDescent="0.15">
      <c r="A640" t="s">
        <v>72</v>
      </c>
      <c r="B640" t="s">
        <v>11752</v>
      </c>
      <c r="C640" t="s">
        <v>74</v>
      </c>
      <c r="D640" t="s">
        <v>74</v>
      </c>
      <c r="E640" t="s">
        <v>74</v>
      </c>
      <c r="F640" t="s">
        <v>11753</v>
      </c>
      <c r="G640" t="s">
        <v>74</v>
      </c>
      <c r="H640" t="s">
        <v>74</v>
      </c>
      <c r="I640" t="s">
        <v>11754</v>
      </c>
      <c r="J640" t="s">
        <v>4483</v>
      </c>
      <c r="K640" t="s">
        <v>74</v>
      </c>
      <c r="L640" t="s">
        <v>74</v>
      </c>
      <c r="M640" t="s">
        <v>78</v>
      </c>
      <c r="N640" t="s">
        <v>79</v>
      </c>
      <c r="O640" t="s">
        <v>74</v>
      </c>
      <c r="P640" t="s">
        <v>74</v>
      </c>
      <c r="Q640" t="s">
        <v>74</v>
      </c>
      <c r="R640" t="s">
        <v>74</v>
      </c>
      <c r="S640" t="s">
        <v>74</v>
      </c>
      <c r="T640" t="s">
        <v>74</v>
      </c>
      <c r="U640" t="s">
        <v>11755</v>
      </c>
      <c r="V640" t="s">
        <v>11756</v>
      </c>
      <c r="W640" t="s">
        <v>11757</v>
      </c>
      <c r="X640" t="s">
        <v>11758</v>
      </c>
      <c r="Y640" t="s">
        <v>11759</v>
      </c>
      <c r="Z640" t="s">
        <v>11760</v>
      </c>
      <c r="AA640" t="s">
        <v>74</v>
      </c>
      <c r="AB640" t="s">
        <v>74</v>
      </c>
      <c r="AC640" t="s">
        <v>11761</v>
      </c>
      <c r="AD640" t="s">
        <v>11762</v>
      </c>
      <c r="AE640" t="s">
        <v>11763</v>
      </c>
      <c r="AF640" t="s">
        <v>74</v>
      </c>
      <c r="AG640">
        <v>32</v>
      </c>
      <c r="AH640">
        <v>9</v>
      </c>
      <c r="AI640">
        <v>9</v>
      </c>
      <c r="AJ640">
        <v>1</v>
      </c>
      <c r="AK640">
        <v>14</v>
      </c>
      <c r="AL640" t="s">
        <v>2614</v>
      </c>
      <c r="AM640" t="s">
        <v>2615</v>
      </c>
      <c r="AN640" t="s">
        <v>2910</v>
      </c>
      <c r="AO640" t="s">
        <v>4493</v>
      </c>
      <c r="AP640" t="s">
        <v>4494</v>
      </c>
      <c r="AQ640" t="s">
        <v>74</v>
      </c>
      <c r="AR640" t="s">
        <v>4495</v>
      </c>
      <c r="AS640" t="s">
        <v>4496</v>
      </c>
      <c r="AT640" t="s">
        <v>11524</v>
      </c>
      <c r="AU640">
        <v>2009</v>
      </c>
      <c r="AV640">
        <v>41</v>
      </c>
      <c r="AW640">
        <v>3</v>
      </c>
      <c r="AX640" t="s">
        <v>74</v>
      </c>
      <c r="AY640" t="s">
        <v>74</v>
      </c>
      <c r="AZ640" t="s">
        <v>74</v>
      </c>
      <c r="BA640" t="s">
        <v>74</v>
      </c>
      <c r="BB640">
        <v>323</v>
      </c>
      <c r="BC640">
        <v>329</v>
      </c>
      <c r="BD640" t="s">
        <v>74</v>
      </c>
      <c r="BE640" t="s">
        <v>11764</v>
      </c>
      <c r="BF640" t="str">
        <f>HYPERLINK("http://dx.doi.org/10.1657/1938-4246-41.3.323","http://dx.doi.org/10.1657/1938-4246-41.3.323")</f>
        <v>http://dx.doi.org/10.1657/1938-4246-41.3.323</v>
      </c>
      <c r="BG640" t="s">
        <v>74</v>
      </c>
      <c r="BH640" t="s">
        <v>74</v>
      </c>
      <c r="BI640">
        <v>7</v>
      </c>
      <c r="BJ640" t="s">
        <v>4498</v>
      </c>
      <c r="BK640" t="s">
        <v>98</v>
      </c>
      <c r="BL640" t="s">
        <v>4499</v>
      </c>
      <c r="BM640" t="s">
        <v>11705</v>
      </c>
      <c r="BN640" t="s">
        <v>74</v>
      </c>
      <c r="BO640" t="s">
        <v>1119</v>
      </c>
      <c r="BP640" t="s">
        <v>74</v>
      </c>
      <c r="BQ640" t="s">
        <v>74</v>
      </c>
      <c r="BR640" t="s">
        <v>101</v>
      </c>
      <c r="BS640" t="s">
        <v>11765</v>
      </c>
      <c r="BT640" t="str">
        <f>HYPERLINK("https%3A%2F%2Fwww.webofscience.com%2Fwos%2Fwoscc%2Ffull-record%2FWOS:000269019100005","View Full Record in Web of Science")</f>
        <v>View Full Record in Web of Science</v>
      </c>
    </row>
    <row r="641" spans="1:72" x14ac:dyDescent="0.15">
      <c r="A641" t="s">
        <v>72</v>
      </c>
      <c r="B641" t="s">
        <v>11766</v>
      </c>
      <c r="C641" t="s">
        <v>74</v>
      </c>
      <c r="D641" t="s">
        <v>74</v>
      </c>
      <c r="E641" t="s">
        <v>74</v>
      </c>
      <c r="F641" t="s">
        <v>11767</v>
      </c>
      <c r="G641" t="s">
        <v>74</v>
      </c>
      <c r="H641" t="s">
        <v>74</v>
      </c>
      <c r="I641" t="s">
        <v>11768</v>
      </c>
      <c r="J641" t="s">
        <v>4483</v>
      </c>
      <c r="K641" t="s">
        <v>74</v>
      </c>
      <c r="L641" t="s">
        <v>74</v>
      </c>
      <c r="M641" t="s">
        <v>78</v>
      </c>
      <c r="N641" t="s">
        <v>79</v>
      </c>
      <c r="O641" t="s">
        <v>74</v>
      </c>
      <c r="P641" t="s">
        <v>74</v>
      </c>
      <c r="Q641" t="s">
        <v>74</v>
      </c>
      <c r="R641" t="s">
        <v>74</v>
      </c>
      <c r="S641" t="s">
        <v>74</v>
      </c>
      <c r="T641" t="s">
        <v>74</v>
      </c>
      <c r="U641" t="s">
        <v>11769</v>
      </c>
      <c r="V641" t="s">
        <v>11770</v>
      </c>
      <c r="W641" t="s">
        <v>11771</v>
      </c>
      <c r="X641" t="s">
        <v>11772</v>
      </c>
      <c r="Y641" t="s">
        <v>11773</v>
      </c>
      <c r="Z641" t="s">
        <v>11774</v>
      </c>
      <c r="AA641" t="s">
        <v>11775</v>
      </c>
      <c r="AB641" t="s">
        <v>74</v>
      </c>
      <c r="AC641" t="s">
        <v>11776</v>
      </c>
      <c r="AD641" t="s">
        <v>11777</v>
      </c>
      <c r="AE641" t="s">
        <v>11778</v>
      </c>
      <c r="AF641" t="s">
        <v>74</v>
      </c>
      <c r="AG641">
        <v>74</v>
      </c>
      <c r="AH641">
        <v>29</v>
      </c>
      <c r="AI641">
        <v>35</v>
      </c>
      <c r="AJ641">
        <v>4</v>
      </c>
      <c r="AK641">
        <v>112</v>
      </c>
      <c r="AL641" t="s">
        <v>4514</v>
      </c>
      <c r="AM641" t="s">
        <v>4515</v>
      </c>
      <c r="AN641" t="s">
        <v>4516</v>
      </c>
      <c r="AO641" t="s">
        <v>4493</v>
      </c>
      <c r="AP641" t="s">
        <v>74</v>
      </c>
      <c r="AQ641" t="s">
        <v>74</v>
      </c>
      <c r="AR641" t="s">
        <v>4495</v>
      </c>
      <c r="AS641" t="s">
        <v>4496</v>
      </c>
      <c r="AT641" t="s">
        <v>11524</v>
      </c>
      <c r="AU641">
        <v>2009</v>
      </c>
      <c r="AV641">
        <v>41</v>
      </c>
      <c r="AW641">
        <v>3</v>
      </c>
      <c r="AX641" t="s">
        <v>74</v>
      </c>
      <c r="AY641" t="s">
        <v>74</v>
      </c>
      <c r="AZ641" t="s">
        <v>74</v>
      </c>
      <c r="BA641" t="s">
        <v>74</v>
      </c>
      <c r="BB641">
        <v>330</v>
      </c>
      <c r="BC641">
        <v>338</v>
      </c>
      <c r="BD641" t="s">
        <v>74</v>
      </c>
      <c r="BE641" t="s">
        <v>11779</v>
      </c>
      <c r="BF641" t="str">
        <f>HYPERLINK("http://dx.doi.org/10.1657/1938-4246-41.3.330","http://dx.doi.org/10.1657/1938-4246-41.3.330")</f>
        <v>http://dx.doi.org/10.1657/1938-4246-41.3.330</v>
      </c>
      <c r="BG641" t="s">
        <v>74</v>
      </c>
      <c r="BH641" t="s">
        <v>74</v>
      </c>
      <c r="BI641">
        <v>9</v>
      </c>
      <c r="BJ641" t="s">
        <v>4498</v>
      </c>
      <c r="BK641" t="s">
        <v>98</v>
      </c>
      <c r="BL641" t="s">
        <v>4499</v>
      </c>
      <c r="BM641" t="s">
        <v>11705</v>
      </c>
      <c r="BN641" t="s">
        <v>74</v>
      </c>
      <c r="BO641" t="s">
        <v>627</v>
      </c>
      <c r="BP641" t="s">
        <v>74</v>
      </c>
      <c r="BQ641" t="s">
        <v>74</v>
      </c>
      <c r="BR641" t="s">
        <v>101</v>
      </c>
      <c r="BS641" t="s">
        <v>11780</v>
      </c>
      <c r="BT641" t="str">
        <f>HYPERLINK("https%3A%2F%2Fwww.webofscience.com%2Fwos%2Fwoscc%2Ffull-record%2FWOS:000269019100006","View Full Record in Web of Science")</f>
        <v>View Full Record in Web of Science</v>
      </c>
    </row>
    <row r="642" spans="1:72" x14ac:dyDescent="0.15">
      <c r="A642" t="s">
        <v>72</v>
      </c>
      <c r="B642" t="s">
        <v>11781</v>
      </c>
      <c r="C642" t="s">
        <v>74</v>
      </c>
      <c r="D642" t="s">
        <v>74</v>
      </c>
      <c r="E642" t="s">
        <v>74</v>
      </c>
      <c r="F642" t="s">
        <v>11782</v>
      </c>
      <c r="G642" t="s">
        <v>74</v>
      </c>
      <c r="H642" t="s">
        <v>74</v>
      </c>
      <c r="I642" t="s">
        <v>11783</v>
      </c>
      <c r="J642" t="s">
        <v>4483</v>
      </c>
      <c r="K642" t="s">
        <v>74</v>
      </c>
      <c r="L642" t="s">
        <v>74</v>
      </c>
      <c r="M642" t="s">
        <v>78</v>
      </c>
      <c r="N642" t="s">
        <v>79</v>
      </c>
      <c r="O642" t="s">
        <v>74</v>
      </c>
      <c r="P642" t="s">
        <v>74</v>
      </c>
      <c r="Q642" t="s">
        <v>74</v>
      </c>
      <c r="R642" t="s">
        <v>74</v>
      </c>
      <c r="S642" t="s">
        <v>74</v>
      </c>
      <c r="T642" t="s">
        <v>74</v>
      </c>
      <c r="U642" t="s">
        <v>11784</v>
      </c>
      <c r="V642" t="s">
        <v>11785</v>
      </c>
      <c r="W642" t="s">
        <v>11786</v>
      </c>
      <c r="X642" t="s">
        <v>11787</v>
      </c>
      <c r="Y642" t="s">
        <v>11788</v>
      </c>
      <c r="Z642" t="s">
        <v>11789</v>
      </c>
      <c r="AA642" t="s">
        <v>74</v>
      </c>
      <c r="AB642" t="s">
        <v>11790</v>
      </c>
      <c r="AC642" t="s">
        <v>74</v>
      </c>
      <c r="AD642" t="s">
        <v>74</v>
      </c>
      <c r="AE642" t="s">
        <v>74</v>
      </c>
      <c r="AF642" t="s">
        <v>74</v>
      </c>
      <c r="AG642">
        <v>27</v>
      </c>
      <c r="AH642">
        <v>5</v>
      </c>
      <c r="AI642">
        <v>6</v>
      </c>
      <c r="AJ642">
        <v>2</v>
      </c>
      <c r="AK642">
        <v>13</v>
      </c>
      <c r="AL642" t="s">
        <v>2614</v>
      </c>
      <c r="AM642" t="s">
        <v>2615</v>
      </c>
      <c r="AN642" t="s">
        <v>2910</v>
      </c>
      <c r="AO642" t="s">
        <v>4493</v>
      </c>
      <c r="AP642" t="s">
        <v>4494</v>
      </c>
      <c r="AQ642" t="s">
        <v>74</v>
      </c>
      <c r="AR642" t="s">
        <v>4495</v>
      </c>
      <c r="AS642" t="s">
        <v>4496</v>
      </c>
      <c r="AT642" t="s">
        <v>11524</v>
      </c>
      <c r="AU642">
        <v>2009</v>
      </c>
      <c r="AV642">
        <v>41</v>
      </c>
      <c r="AW642">
        <v>3</v>
      </c>
      <c r="AX642" t="s">
        <v>74</v>
      </c>
      <c r="AY642" t="s">
        <v>74</v>
      </c>
      <c r="AZ642" t="s">
        <v>74</v>
      </c>
      <c r="BA642" t="s">
        <v>74</v>
      </c>
      <c r="BB642">
        <v>339</v>
      </c>
      <c r="BC642">
        <v>346</v>
      </c>
      <c r="BD642" t="s">
        <v>74</v>
      </c>
      <c r="BE642" t="s">
        <v>11791</v>
      </c>
      <c r="BF642" t="str">
        <f>HYPERLINK("http://dx.doi.org/10.1657/1938-4246-41.3.339","http://dx.doi.org/10.1657/1938-4246-41.3.339")</f>
        <v>http://dx.doi.org/10.1657/1938-4246-41.3.339</v>
      </c>
      <c r="BG642" t="s">
        <v>74</v>
      </c>
      <c r="BH642" t="s">
        <v>74</v>
      </c>
      <c r="BI642">
        <v>8</v>
      </c>
      <c r="BJ642" t="s">
        <v>4498</v>
      </c>
      <c r="BK642" t="s">
        <v>98</v>
      </c>
      <c r="BL642" t="s">
        <v>4499</v>
      </c>
      <c r="BM642" t="s">
        <v>11705</v>
      </c>
      <c r="BN642" t="s">
        <v>74</v>
      </c>
      <c r="BO642" t="s">
        <v>11792</v>
      </c>
      <c r="BP642" t="s">
        <v>74</v>
      </c>
      <c r="BQ642" t="s">
        <v>74</v>
      </c>
      <c r="BR642" t="s">
        <v>101</v>
      </c>
      <c r="BS642" t="s">
        <v>11793</v>
      </c>
      <c r="BT642" t="str">
        <f>HYPERLINK("https%3A%2F%2Fwww.webofscience.com%2Fwos%2Fwoscc%2Ffull-record%2FWOS:000269019100007","View Full Record in Web of Science")</f>
        <v>View Full Record in Web of Science</v>
      </c>
    </row>
    <row r="643" spans="1:72" x14ac:dyDescent="0.15">
      <c r="A643" t="s">
        <v>72</v>
      </c>
      <c r="B643" t="s">
        <v>11794</v>
      </c>
      <c r="C643" t="s">
        <v>74</v>
      </c>
      <c r="D643" t="s">
        <v>74</v>
      </c>
      <c r="E643" t="s">
        <v>74</v>
      </c>
      <c r="F643" t="s">
        <v>11795</v>
      </c>
      <c r="G643" t="s">
        <v>74</v>
      </c>
      <c r="H643" t="s">
        <v>74</v>
      </c>
      <c r="I643" t="s">
        <v>11796</v>
      </c>
      <c r="J643" t="s">
        <v>4483</v>
      </c>
      <c r="K643" t="s">
        <v>74</v>
      </c>
      <c r="L643" t="s">
        <v>74</v>
      </c>
      <c r="M643" t="s">
        <v>78</v>
      </c>
      <c r="N643" t="s">
        <v>297</v>
      </c>
      <c r="O643" t="s">
        <v>74</v>
      </c>
      <c r="P643" t="s">
        <v>74</v>
      </c>
      <c r="Q643" t="s">
        <v>74</v>
      </c>
      <c r="R643" t="s">
        <v>74</v>
      </c>
      <c r="S643" t="s">
        <v>74</v>
      </c>
      <c r="T643" t="s">
        <v>74</v>
      </c>
      <c r="U643" t="s">
        <v>11797</v>
      </c>
      <c r="V643" t="s">
        <v>11798</v>
      </c>
      <c r="W643" t="s">
        <v>11799</v>
      </c>
      <c r="X643" t="s">
        <v>11800</v>
      </c>
      <c r="Y643" t="s">
        <v>11801</v>
      </c>
      <c r="Z643" t="s">
        <v>11802</v>
      </c>
      <c r="AA643" t="s">
        <v>11803</v>
      </c>
      <c r="AB643" t="s">
        <v>11804</v>
      </c>
      <c r="AC643" t="s">
        <v>11805</v>
      </c>
      <c r="AD643" t="s">
        <v>11806</v>
      </c>
      <c r="AE643" t="s">
        <v>11807</v>
      </c>
      <c r="AF643" t="s">
        <v>74</v>
      </c>
      <c r="AG643">
        <v>101</v>
      </c>
      <c r="AH643">
        <v>56</v>
      </c>
      <c r="AI643">
        <v>62</v>
      </c>
      <c r="AJ643">
        <v>3</v>
      </c>
      <c r="AK643">
        <v>27</v>
      </c>
      <c r="AL643" t="s">
        <v>2614</v>
      </c>
      <c r="AM643" t="s">
        <v>2615</v>
      </c>
      <c r="AN643" t="s">
        <v>2910</v>
      </c>
      <c r="AO643" t="s">
        <v>4493</v>
      </c>
      <c r="AP643" t="s">
        <v>4494</v>
      </c>
      <c r="AQ643" t="s">
        <v>74</v>
      </c>
      <c r="AR643" t="s">
        <v>4495</v>
      </c>
      <c r="AS643" t="s">
        <v>4496</v>
      </c>
      <c r="AT643" t="s">
        <v>11524</v>
      </c>
      <c r="AU643">
        <v>2009</v>
      </c>
      <c r="AV643">
        <v>41</v>
      </c>
      <c r="AW643">
        <v>3</v>
      </c>
      <c r="AX643" t="s">
        <v>74</v>
      </c>
      <c r="AY643" t="s">
        <v>74</v>
      </c>
      <c r="AZ643" t="s">
        <v>74</v>
      </c>
      <c r="BA643" t="s">
        <v>74</v>
      </c>
      <c r="BB643">
        <v>347</v>
      </c>
      <c r="BC643">
        <v>361</v>
      </c>
      <c r="BD643" t="s">
        <v>74</v>
      </c>
      <c r="BE643" t="s">
        <v>11808</v>
      </c>
      <c r="BF643" t="str">
        <f>HYPERLINK("http://dx.doi.org/10.1657/1938-4246-41.3.347","http://dx.doi.org/10.1657/1938-4246-41.3.347")</f>
        <v>http://dx.doi.org/10.1657/1938-4246-41.3.347</v>
      </c>
      <c r="BG643" t="s">
        <v>74</v>
      </c>
      <c r="BH643" t="s">
        <v>74</v>
      </c>
      <c r="BI643">
        <v>15</v>
      </c>
      <c r="BJ643" t="s">
        <v>4498</v>
      </c>
      <c r="BK643" t="s">
        <v>98</v>
      </c>
      <c r="BL643" t="s">
        <v>4499</v>
      </c>
      <c r="BM643" t="s">
        <v>11705</v>
      </c>
      <c r="BN643" t="s">
        <v>74</v>
      </c>
      <c r="BO643" t="s">
        <v>4550</v>
      </c>
      <c r="BP643" t="s">
        <v>74</v>
      </c>
      <c r="BQ643" t="s">
        <v>74</v>
      </c>
      <c r="BR643" t="s">
        <v>101</v>
      </c>
      <c r="BS643" t="s">
        <v>11809</v>
      </c>
      <c r="BT643" t="str">
        <f>HYPERLINK("https%3A%2F%2Fwww.webofscience.com%2Fwos%2Fwoscc%2Ffull-record%2FWOS:000269019100008","View Full Record in Web of Science")</f>
        <v>View Full Record in Web of Science</v>
      </c>
    </row>
    <row r="644" spans="1:72" x14ac:dyDescent="0.15">
      <c r="A644" t="s">
        <v>72</v>
      </c>
      <c r="B644" t="s">
        <v>11810</v>
      </c>
      <c r="C644" t="s">
        <v>74</v>
      </c>
      <c r="D644" t="s">
        <v>74</v>
      </c>
      <c r="E644" t="s">
        <v>74</v>
      </c>
      <c r="F644" t="s">
        <v>11811</v>
      </c>
      <c r="G644" t="s">
        <v>74</v>
      </c>
      <c r="H644" t="s">
        <v>74</v>
      </c>
      <c r="I644" t="s">
        <v>11812</v>
      </c>
      <c r="J644" t="s">
        <v>4483</v>
      </c>
      <c r="K644" t="s">
        <v>74</v>
      </c>
      <c r="L644" t="s">
        <v>74</v>
      </c>
      <c r="M644" t="s">
        <v>78</v>
      </c>
      <c r="N644" t="s">
        <v>79</v>
      </c>
      <c r="O644" t="s">
        <v>74</v>
      </c>
      <c r="P644" t="s">
        <v>74</v>
      </c>
      <c r="Q644" t="s">
        <v>74</v>
      </c>
      <c r="R644" t="s">
        <v>74</v>
      </c>
      <c r="S644" t="s">
        <v>74</v>
      </c>
      <c r="T644" t="s">
        <v>74</v>
      </c>
      <c r="U644" t="s">
        <v>11813</v>
      </c>
      <c r="V644" t="s">
        <v>11814</v>
      </c>
      <c r="W644" t="s">
        <v>11815</v>
      </c>
      <c r="X644" t="s">
        <v>11816</v>
      </c>
      <c r="Y644" t="s">
        <v>11817</v>
      </c>
      <c r="Z644" t="s">
        <v>11818</v>
      </c>
      <c r="AA644" t="s">
        <v>74</v>
      </c>
      <c r="AB644" t="s">
        <v>11819</v>
      </c>
      <c r="AC644" t="s">
        <v>11820</v>
      </c>
      <c r="AD644" t="s">
        <v>11821</v>
      </c>
      <c r="AE644" t="s">
        <v>11822</v>
      </c>
      <c r="AF644" t="s">
        <v>74</v>
      </c>
      <c r="AG644">
        <v>72</v>
      </c>
      <c r="AH644">
        <v>38</v>
      </c>
      <c r="AI644">
        <v>43</v>
      </c>
      <c r="AJ644">
        <v>0</v>
      </c>
      <c r="AK644">
        <v>18</v>
      </c>
      <c r="AL644" t="s">
        <v>2614</v>
      </c>
      <c r="AM644" t="s">
        <v>2615</v>
      </c>
      <c r="AN644" t="s">
        <v>2910</v>
      </c>
      <c r="AO644" t="s">
        <v>4493</v>
      </c>
      <c r="AP644" t="s">
        <v>4494</v>
      </c>
      <c r="AQ644" t="s">
        <v>74</v>
      </c>
      <c r="AR644" t="s">
        <v>4495</v>
      </c>
      <c r="AS644" t="s">
        <v>4496</v>
      </c>
      <c r="AT644" t="s">
        <v>11524</v>
      </c>
      <c r="AU644">
        <v>2009</v>
      </c>
      <c r="AV644">
        <v>41</v>
      </c>
      <c r="AW644">
        <v>3</v>
      </c>
      <c r="AX644" t="s">
        <v>74</v>
      </c>
      <c r="AY644" t="s">
        <v>74</v>
      </c>
      <c r="AZ644" t="s">
        <v>74</v>
      </c>
      <c r="BA644" t="s">
        <v>74</v>
      </c>
      <c r="BB644">
        <v>362</v>
      </c>
      <c r="BC644">
        <v>372</v>
      </c>
      <c r="BD644" t="s">
        <v>74</v>
      </c>
      <c r="BE644" t="s">
        <v>11823</v>
      </c>
      <c r="BF644" t="str">
        <f>HYPERLINK("http://dx.doi.org/10.1657/1938-4246-41.3.362","http://dx.doi.org/10.1657/1938-4246-41.3.362")</f>
        <v>http://dx.doi.org/10.1657/1938-4246-41.3.362</v>
      </c>
      <c r="BG644" t="s">
        <v>74</v>
      </c>
      <c r="BH644" t="s">
        <v>74</v>
      </c>
      <c r="BI644">
        <v>11</v>
      </c>
      <c r="BJ644" t="s">
        <v>4498</v>
      </c>
      <c r="BK644" t="s">
        <v>98</v>
      </c>
      <c r="BL644" t="s">
        <v>4499</v>
      </c>
      <c r="BM644" t="s">
        <v>11705</v>
      </c>
      <c r="BN644" t="s">
        <v>74</v>
      </c>
      <c r="BO644" t="s">
        <v>4550</v>
      </c>
      <c r="BP644" t="s">
        <v>74</v>
      </c>
      <c r="BQ644" t="s">
        <v>74</v>
      </c>
      <c r="BR644" t="s">
        <v>101</v>
      </c>
      <c r="BS644" t="s">
        <v>11824</v>
      </c>
      <c r="BT644" t="str">
        <f>HYPERLINK("https%3A%2F%2Fwww.webofscience.com%2Fwos%2Fwoscc%2Ffull-record%2FWOS:000269019100009","View Full Record in Web of Science")</f>
        <v>View Full Record in Web of Science</v>
      </c>
    </row>
    <row r="645" spans="1:72" x14ac:dyDescent="0.15">
      <c r="A645" t="s">
        <v>72</v>
      </c>
      <c r="B645" t="s">
        <v>11825</v>
      </c>
      <c r="C645" t="s">
        <v>74</v>
      </c>
      <c r="D645" t="s">
        <v>74</v>
      </c>
      <c r="E645" t="s">
        <v>74</v>
      </c>
      <c r="F645" t="s">
        <v>11826</v>
      </c>
      <c r="G645" t="s">
        <v>74</v>
      </c>
      <c r="H645" t="s">
        <v>74</v>
      </c>
      <c r="I645" t="s">
        <v>11827</v>
      </c>
      <c r="J645" t="s">
        <v>4483</v>
      </c>
      <c r="K645" t="s">
        <v>74</v>
      </c>
      <c r="L645" t="s">
        <v>74</v>
      </c>
      <c r="M645" t="s">
        <v>78</v>
      </c>
      <c r="N645" t="s">
        <v>79</v>
      </c>
      <c r="O645" t="s">
        <v>74</v>
      </c>
      <c r="P645" t="s">
        <v>74</v>
      </c>
      <c r="Q645" t="s">
        <v>74</v>
      </c>
      <c r="R645" t="s">
        <v>74</v>
      </c>
      <c r="S645" t="s">
        <v>74</v>
      </c>
      <c r="T645" t="s">
        <v>74</v>
      </c>
      <c r="U645" t="s">
        <v>11828</v>
      </c>
      <c r="V645" t="s">
        <v>11829</v>
      </c>
      <c r="W645" t="s">
        <v>11830</v>
      </c>
      <c r="X645" t="s">
        <v>11831</v>
      </c>
      <c r="Y645" t="s">
        <v>11832</v>
      </c>
      <c r="Z645" t="s">
        <v>11833</v>
      </c>
      <c r="AA645" t="s">
        <v>74</v>
      </c>
      <c r="AB645" t="s">
        <v>74</v>
      </c>
      <c r="AC645" t="s">
        <v>74</v>
      </c>
      <c r="AD645" t="s">
        <v>74</v>
      </c>
      <c r="AE645" t="s">
        <v>74</v>
      </c>
      <c r="AF645" t="s">
        <v>74</v>
      </c>
      <c r="AG645">
        <v>43</v>
      </c>
      <c r="AH645">
        <v>16</v>
      </c>
      <c r="AI645">
        <v>20</v>
      </c>
      <c r="AJ645">
        <v>2</v>
      </c>
      <c r="AK645">
        <v>16</v>
      </c>
      <c r="AL645" t="s">
        <v>2614</v>
      </c>
      <c r="AM645" t="s">
        <v>2615</v>
      </c>
      <c r="AN645" t="s">
        <v>2910</v>
      </c>
      <c r="AO645" t="s">
        <v>4493</v>
      </c>
      <c r="AP645" t="s">
        <v>4494</v>
      </c>
      <c r="AQ645" t="s">
        <v>74</v>
      </c>
      <c r="AR645" t="s">
        <v>4495</v>
      </c>
      <c r="AS645" t="s">
        <v>4496</v>
      </c>
      <c r="AT645" t="s">
        <v>11524</v>
      </c>
      <c r="AU645">
        <v>2009</v>
      </c>
      <c r="AV645">
        <v>41</v>
      </c>
      <c r="AW645">
        <v>3</v>
      </c>
      <c r="AX645" t="s">
        <v>74</v>
      </c>
      <c r="AY645" t="s">
        <v>74</v>
      </c>
      <c r="AZ645" t="s">
        <v>74</v>
      </c>
      <c r="BA645" t="s">
        <v>74</v>
      </c>
      <c r="BB645">
        <v>373</v>
      </c>
      <c r="BC645">
        <v>380</v>
      </c>
      <c r="BD645" t="s">
        <v>74</v>
      </c>
      <c r="BE645" t="s">
        <v>11834</v>
      </c>
      <c r="BF645" t="str">
        <f>HYPERLINK("http://dx.doi.org/10.1657/1938-4246-41.3.373","http://dx.doi.org/10.1657/1938-4246-41.3.373")</f>
        <v>http://dx.doi.org/10.1657/1938-4246-41.3.373</v>
      </c>
      <c r="BG645" t="s">
        <v>74</v>
      </c>
      <c r="BH645" t="s">
        <v>74</v>
      </c>
      <c r="BI645">
        <v>8</v>
      </c>
      <c r="BJ645" t="s">
        <v>4498</v>
      </c>
      <c r="BK645" t="s">
        <v>98</v>
      </c>
      <c r="BL645" t="s">
        <v>4499</v>
      </c>
      <c r="BM645" t="s">
        <v>11705</v>
      </c>
      <c r="BN645" t="s">
        <v>74</v>
      </c>
      <c r="BO645" t="s">
        <v>4550</v>
      </c>
      <c r="BP645" t="s">
        <v>74</v>
      </c>
      <c r="BQ645" t="s">
        <v>74</v>
      </c>
      <c r="BR645" t="s">
        <v>101</v>
      </c>
      <c r="BS645" t="s">
        <v>11835</v>
      </c>
      <c r="BT645" t="str">
        <f>HYPERLINK("https%3A%2F%2Fwww.webofscience.com%2Fwos%2Fwoscc%2Ffull-record%2FWOS:000269019100010","View Full Record in Web of Science")</f>
        <v>View Full Record in Web of Science</v>
      </c>
    </row>
    <row r="646" spans="1:72" x14ac:dyDescent="0.15">
      <c r="A646" t="s">
        <v>72</v>
      </c>
      <c r="B646" t="s">
        <v>11836</v>
      </c>
      <c r="C646" t="s">
        <v>74</v>
      </c>
      <c r="D646" t="s">
        <v>74</v>
      </c>
      <c r="E646" t="s">
        <v>74</v>
      </c>
      <c r="F646" t="s">
        <v>11837</v>
      </c>
      <c r="G646" t="s">
        <v>74</v>
      </c>
      <c r="H646" t="s">
        <v>74</v>
      </c>
      <c r="I646" t="s">
        <v>11838</v>
      </c>
      <c r="J646" t="s">
        <v>4483</v>
      </c>
      <c r="K646" t="s">
        <v>74</v>
      </c>
      <c r="L646" t="s">
        <v>74</v>
      </c>
      <c r="M646" t="s">
        <v>78</v>
      </c>
      <c r="N646" t="s">
        <v>79</v>
      </c>
      <c r="O646" t="s">
        <v>74</v>
      </c>
      <c r="P646" t="s">
        <v>74</v>
      </c>
      <c r="Q646" t="s">
        <v>74</v>
      </c>
      <c r="R646" t="s">
        <v>74</v>
      </c>
      <c r="S646" t="s">
        <v>74</v>
      </c>
      <c r="T646" t="s">
        <v>74</v>
      </c>
      <c r="U646" t="s">
        <v>11839</v>
      </c>
      <c r="V646" t="s">
        <v>11840</v>
      </c>
      <c r="W646" t="s">
        <v>11841</v>
      </c>
      <c r="X646" t="s">
        <v>11842</v>
      </c>
      <c r="Y646" t="s">
        <v>11843</v>
      </c>
      <c r="Z646" t="s">
        <v>11844</v>
      </c>
      <c r="AA646" t="s">
        <v>74</v>
      </c>
      <c r="AB646" t="s">
        <v>11845</v>
      </c>
      <c r="AC646" t="s">
        <v>11846</v>
      </c>
      <c r="AD646" t="s">
        <v>11846</v>
      </c>
      <c r="AE646" t="s">
        <v>11847</v>
      </c>
      <c r="AF646" t="s">
        <v>74</v>
      </c>
      <c r="AG646">
        <v>47</v>
      </c>
      <c r="AH646">
        <v>28</v>
      </c>
      <c r="AI646">
        <v>29</v>
      </c>
      <c r="AJ646">
        <v>1</v>
      </c>
      <c r="AK646">
        <v>24</v>
      </c>
      <c r="AL646" t="s">
        <v>2614</v>
      </c>
      <c r="AM646" t="s">
        <v>2615</v>
      </c>
      <c r="AN646" t="s">
        <v>2910</v>
      </c>
      <c r="AO646" t="s">
        <v>4493</v>
      </c>
      <c r="AP646" t="s">
        <v>4494</v>
      </c>
      <c r="AQ646" t="s">
        <v>74</v>
      </c>
      <c r="AR646" t="s">
        <v>4495</v>
      </c>
      <c r="AS646" t="s">
        <v>4496</v>
      </c>
      <c r="AT646" t="s">
        <v>11524</v>
      </c>
      <c r="AU646">
        <v>2009</v>
      </c>
      <c r="AV646">
        <v>41</v>
      </c>
      <c r="AW646">
        <v>3</v>
      </c>
      <c r="AX646" t="s">
        <v>74</v>
      </c>
      <c r="AY646" t="s">
        <v>74</v>
      </c>
      <c r="AZ646" t="s">
        <v>74</v>
      </c>
      <c r="BA646" t="s">
        <v>74</v>
      </c>
      <c r="BB646">
        <v>381</v>
      </c>
      <c r="BC646">
        <v>387</v>
      </c>
      <c r="BD646" t="s">
        <v>74</v>
      </c>
      <c r="BE646" t="s">
        <v>11848</v>
      </c>
      <c r="BF646" t="str">
        <f>HYPERLINK("http://dx.doi.org/10.1657/1938-4246-41.3.381","http://dx.doi.org/10.1657/1938-4246-41.3.381")</f>
        <v>http://dx.doi.org/10.1657/1938-4246-41.3.381</v>
      </c>
      <c r="BG646" t="s">
        <v>74</v>
      </c>
      <c r="BH646" t="s">
        <v>74</v>
      </c>
      <c r="BI646">
        <v>7</v>
      </c>
      <c r="BJ646" t="s">
        <v>4498</v>
      </c>
      <c r="BK646" t="s">
        <v>98</v>
      </c>
      <c r="BL646" t="s">
        <v>4499</v>
      </c>
      <c r="BM646" t="s">
        <v>11705</v>
      </c>
      <c r="BN646" t="s">
        <v>74</v>
      </c>
      <c r="BO646" t="s">
        <v>1119</v>
      </c>
      <c r="BP646" t="s">
        <v>74</v>
      </c>
      <c r="BQ646" t="s">
        <v>74</v>
      </c>
      <c r="BR646" t="s">
        <v>101</v>
      </c>
      <c r="BS646" t="s">
        <v>11849</v>
      </c>
      <c r="BT646" t="str">
        <f>HYPERLINK("https%3A%2F%2Fwww.webofscience.com%2Fwos%2Fwoscc%2Ffull-record%2FWOS:000269019100011","View Full Record in Web of Science")</f>
        <v>View Full Record in Web of Science</v>
      </c>
    </row>
    <row r="647" spans="1:72" x14ac:dyDescent="0.15">
      <c r="A647" t="s">
        <v>72</v>
      </c>
      <c r="B647" t="s">
        <v>11850</v>
      </c>
      <c r="C647" t="s">
        <v>74</v>
      </c>
      <c r="D647" t="s">
        <v>74</v>
      </c>
      <c r="E647" t="s">
        <v>74</v>
      </c>
      <c r="F647" t="s">
        <v>11851</v>
      </c>
      <c r="G647" t="s">
        <v>74</v>
      </c>
      <c r="H647" t="s">
        <v>74</v>
      </c>
      <c r="I647" t="s">
        <v>11852</v>
      </c>
      <c r="J647" t="s">
        <v>4483</v>
      </c>
      <c r="K647" t="s">
        <v>74</v>
      </c>
      <c r="L647" t="s">
        <v>74</v>
      </c>
      <c r="M647" t="s">
        <v>78</v>
      </c>
      <c r="N647" t="s">
        <v>79</v>
      </c>
      <c r="O647" t="s">
        <v>74</v>
      </c>
      <c r="P647" t="s">
        <v>74</v>
      </c>
      <c r="Q647" t="s">
        <v>74</v>
      </c>
      <c r="R647" t="s">
        <v>74</v>
      </c>
      <c r="S647" t="s">
        <v>74</v>
      </c>
      <c r="T647" t="s">
        <v>74</v>
      </c>
      <c r="U647" t="s">
        <v>11853</v>
      </c>
      <c r="V647" t="s">
        <v>11854</v>
      </c>
      <c r="W647" t="s">
        <v>11855</v>
      </c>
      <c r="X647" t="s">
        <v>4632</v>
      </c>
      <c r="Y647" t="s">
        <v>11856</v>
      </c>
      <c r="Z647" t="s">
        <v>11857</v>
      </c>
      <c r="AA647" t="s">
        <v>11858</v>
      </c>
      <c r="AB647" t="s">
        <v>11859</v>
      </c>
      <c r="AC647" t="s">
        <v>11860</v>
      </c>
      <c r="AD647" t="s">
        <v>11861</v>
      </c>
      <c r="AE647" t="s">
        <v>11862</v>
      </c>
      <c r="AF647" t="s">
        <v>74</v>
      </c>
      <c r="AG647">
        <v>54</v>
      </c>
      <c r="AH647">
        <v>7</v>
      </c>
      <c r="AI647">
        <v>7</v>
      </c>
      <c r="AJ647">
        <v>0</v>
      </c>
      <c r="AK647">
        <v>15</v>
      </c>
      <c r="AL647" t="s">
        <v>2614</v>
      </c>
      <c r="AM647" t="s">
        <v>2615</v>
      </c>
      <c r="AN647" t="s">
        <v>2910</v>
      </c>
      <c r="AO647" t="s">
        <v>4493</v>
      </c>
      <c r="AP647" t="s">
        <v>4494</v>
      </c>
      <c r="AQ647" t="s">
        <v>74</v>
      </c>
      <c r="AR647" t="s">
        <v>4495</v>
      </c>
      <c r="AS647" t="s">
        <v>4496</v>
      </c>
      <c r="AT647" t="s">
        <v>11524</v>
      </c>
      <c r="AU647">
        <v>2009</v>
      </c>
      <c r="AV647">
        <v>41</v>
      </c>
      <c r="AW647">
        <v>3</v>
      </c>
      <c r="AX647" t="s">
        <v>74</v>
      </c>
      <c r="AY647" t="s">
        <v>74</v>
      </c>
      <c r="AZ647" t="s">
        <v>74</v>
      </c>
      <c r="BA647" t="s">
        <v>74</v>
      </c>
      <c r="BB647">
        <v>388</v>
      </c>
      <c r="BC647">
        <v>395</v>
      </c>
      <c r="BD647" t="s">
        <v>74</v>
      </c>
      <c r="BE647" t="s">
        <v>11863</v>
      </c>
      <c r="BF647" t="str">
        <f>HYPERLINK("http://dx.doi.org/10.1657/1938-4246-41.3.388","http://dx.doi.org/10.1657/1938-4246-41.3.388")</f>
        <v>http://dx.doi.org/10.1657/1938-4246-41.3.388</v>
      </c>
      <c r="BG647" t="s">
        <v>74</v>
      </c>
      <c r="BH647" t="s">
        <v>74</v>
      </c>
      <c r="BI647">
        <v>8</v>
      </c>
      <c r="BJ647" t="s">
        <v>4498</v>
      </c>
      <c r="BK647" t="s">
        <v>98</v>
      </c>
      <c r="BL647" t="s">
        <v>4499</v>
      </c>
      <c r="BM647" t="s">
        <v>11705</v>
      </c>
      <c r="BN647" t="s">
        <v>74</v>
      </c>
      <c r="BO647" t="s">
        <v>74</v>
      </c>
      <c r="BP647" t="s">
        <v>74</v>
      </c>
      <c r="BQ647" t="s">
        <v>74</v>
      </c>
      <c r="BR647" t="s">
        <v>101</v>
      </c>
      <c r="BS647" t="s">
        <v>11864</v>
      </c>
      <c r="BT647" t="str">
        <f>HYPERLINK("https%3A%2F%2Fwww.webofscience.com%2Fwos%2Fwoscc%2Ffull-record%2FWOS:000269019100012","View Full Record in Web of Science")</f>
        <v>View Full Record in Web of Science</v>
      </c>
    </row>
    <row r="648" spans="1:72" x14ac:dyDescent="0.15">
      <c r="A648" t="s">
        <v>72</v>
      </c>
      <c r="B648" t="s">
        <v>11865</v>
      </c>
      <c r="C648" t="s">
        <v>74</v>
      </c>
      <c r="D648" t="s">
        <v>74</v>
      </c>
      <c r="E648" t="s">
        <v>74</v>
      </c>
      <c r="F648" t="s">
        <v>11866</v>
      </c>
      <c r="G648" t="s">
        <v>74</v>
      </c>
      <c r="H648" t="s">
        <v>74</v>
      </c>
      <c r="I648" t="s">
        <v>11867</v>
      </c>
      <c r="J648" t="s">
        <v>4483</v>
      </c>
      <c r="K648" t="s">
        <v>74</v>
      </c>
      <c r="L648" t="s">
        <v>74</v>
      </c>
      <c r="M648" t="s">
        <v>78</v>
      </c>
      <c r="N648" t="s">
        <v>79</v>
      </c>
      <c r="O648" t="s">
        <v>74</v>
      </c>
      <c r="P648" t="s">
        <v>74</v>
      </c>
      <c r="Q648" t="s">
        <v>74</v>
      </c>
      <c r="R648" t="s">
        <v>74</v>
      </c>
      <c r="S648" t="s">
        <v>74</v>
      </c>
      <c r="T648" t="s">
        <v>74</v>
      </c>
      <c r="U648" t="s">
        <v>11868</v>
      </c>
      <c r="V648" t="s">
        <v>11869</v>
      </c>
      <c r="W648" t="s">
        <v>11870</v>
      </c>
      <c r="X648" t="s">
        <v>11871</v>
      </c>
      <c r="Y648" t="s">
        <v>11872</v>
      </c>
      <c r="Z648" t="s">
        <v>11873</v>
      </c>
      <c r="AA648" t="s">
        <v>11874</v>
      </c>
      <c r="AB648" t="s">
        <v>11875</v>
      </c>
      <c r="AC648" t="s">
        <v>11876</v>
      </c>
      <c r="AD648" t="s">
        <v>11877</v>
      </c>
      <c r="AE648" t="s">
        <v>11878</v>
      </c>
      <c r="AF648" t="s">
        <v>74</v>
      </c>
      <c r="AG648">
        <v>28</v>
      </c>
      <c r="AH648">
        <v>11</v>
      </c>
      <c r="AI648">
        <v>12</v>
      </c>
      <c r="AJ648">
        <v>4</v>
      </c>
      <c r="AK648">
        <v>32</v>
      </c>
      <c r="AL648" t="s">
        <v>4514</v>
      </c>
      <c r="AM648" t="s">
        <v>4515</v>
      </c>
      <c r="AN648" t="s">
        <v>4516</v>
      </c>
      <c r="AO648" t="s">
        <v>4493</v>
      </c>
      <c r="AP648" t="s">
        <v>74</v>
      </c>
      <c r="AQ648" t="s">
        <v>74</v>
      </c>
      <c r="AR648" t="s">
        <v>4495</v>
      </c>
      <c r="AS648" t="s">
        <v>4496</v>
      </c>
      <c r="AT648" t="s">
        <v>11524</v>
      </c>
      <c r="AU648">
        <v>2009</v>
      </c>
      <c r="AV648">
        <v>41</v>
      </c>
      <c r="AW648">
        <v>3</v>
      </c>
      <c r="AX648" t="s">
        <v>74</v>
      </c>
      <c r="AY648" t="s">
        <v>74</v>
      </c>
      <c r="AZ648" t="s">
        <v>74</v>
      </c>
      <c r="BA648" t="s">
        <v>74</v>
      </c>
      <c r="BB648">
        <v>396</v>
      </c>
      <c r="BC648">
        <v>405</v>
      </c>
      <c r="BD648" t="s">
        <v>74</v>
      </c>
      <c r="BE648" t="s">
        <v>11879</v>
      </c>
      <c r="BF648" t="str">
        <f>HYPERLINK("http://dx.doi.org/10.1657/1938-4246-41.3.396","http://dx.doi.org/10.1657/1938-4246-41.3.396")</f>
        <v>http://dx.doi.org/10.1657/1938-4246-41.3.396</v>
      </c>
      <c r="BG648" t="s">
        <v>74</v>
      </c>
      <c r="BH648" t="s">
        <v>74</v>
      </c>
      <c r="BI648">
        <v>10</v>
      </c>
      <c r="BJ648" t="s">
        <v>4498</v>
      </c>
      <c r="BK648" t="s">
        <v>98</v>
      </c>
      <c r="BL648" t="s">
        <v>4499</v>
      </c>
      <c r="BM648" t="s">
        <v>11705</v>
      </c>
      <c r="BN648" t="s">
        <v>74</v>
      </c>
      <c r="BO648" t="s">
        <v>1119</v>
      </c>
      <c r="BP648" t="s">
        <v>74</v>
      </c>
      <c r="BQ648" t="s">
        <v>74</v>
      </c>
      <c r="BR648" t="s">
        <v>101</v>
      </c>
      <c r="BS648" t="s">
        <v>11880</v>
      </c>
      <c r="BT648" t="str">
        <f>HYPERLINK("https%3A%2F%2Fwww.webofscience.com%2Fwos%2Fwoscc%2Ffull-record%2FWOS:000269019100013","View Full Record in Web of Science")</f>
        <v>View Full Record in Web of Science</v>
      </c>
    </row>
    <row r="649" spans="1:72" x14ac:dyDescent="0.15">
      <c r="A649" t="s">
        <v>72</v>
      </c>
      <c r="B649" t="s">
        <v>11881</v>
      </c>
      <c r="C649" t="s">
        <v>74</v>
      </c>
      <c r="D649" t="s">
        <v>74</v>
      </c>
      <c r="E649" t="s">
        <v>74</v>
      </c>
      <c r="F649" t="s">
        <v>11882</v>
      </c>
      <c r="G649" t="s">
        <v>74</v>
      </c>
      <c r="H649" t="s">
        <v>11883</v>
      </c>
      <c r="I649" t="s">
        <v>11884</v>
      </c>
      <c r="J649" t="s">
        <v>11885</v>
      </c>
      <c r="K649" t="s">
        <v>74</v>
      </c>
      <c r="L649" t="s">
        <v>74</v>
      </c>
      <c r="M649" t="s">
        <v>78</v>
      </c>
      <c r="N649" t="s">
        <v>79</v>
      </c>
      <c r="O649" t="s">
        <v>74</v>
      </c>
      <c r="P649" t="s">
        <v>74</v>
      </c>
      <c r="Q649" t="s">
        <v>74</v>
      </c>
      <c r="R649" t="s">
        <v>74</v>
      </c>
      <c r="S649" t="s">
        <v>74</v>
      </c>
      <c r="T649" t="s">
        <v>11886</v>
      </c>
      <c r="U649" t="s">
        <v>11887</v>
      </c>
      <c r="V649" t="s">
        <v>11888</v>
      </c>
      <c r="W649" t="s">
        <v>11889</v>
      </c>
      <c r="X649" t="s">
        <v>11890</v>
      </c>
      <c r="Y649" t="s">
        <v>11891</v>
      </c>
      <c r="Z649" t="s">
        <v>11892</v>
      </c>
      <c r="AA649" t="s">
        <v>11893</v>
      </c>
      <c r="AB649" t="s">
        <v>11894</v>
      </c>
      <c r="AC649" t="s">
        <v>11895</v>
      </c>
      <c r="AD649" t="s">
        <v>7676</v>
      </c>
      <c r="AE649" t="s">
        <v>74</v>
      </c>
      <c r="AF649" t="s">
        <v>74</v>
      </c>
      <c r="AG649">
        <v>64</v>
      </c>
      <c r="AH649">
        <v>138</v>
      </c>
      <c r="AI649">
        <v>164</v>
      </c>
      <c r="AJ649">
        <v>0</v>
      </c>
      <c r="AK649">
        <v>8</v>
      </c>
      <c r="AL649" t="s">
        <v>305</v>
      </c>
      <c r="AM649" t="s">
        <v>281</v>
      </c>
      <c r="AN649" t="s">
        <v>306</v>
      </c>
      <c r="AO649" t="s">
        <v>11896</v>
      </c>
      <c r="AP649" t="s">
        <v>11897</v>
      </c>
      <c r="AQ649" t="s">
        <v>74</v>
      </c>
      <c r="AR649" t="s">
        <v>11898</v>
      </c>
      <c r="AS649" t="s">
        <v>11899</v>
      </c>
      <c r="AT649" t="s">
        <v>11524</v>
      </c>
      <c r="AU649">
        <v>2009</v>
      </c>
      <c r="AV649">
        <v>32</v>
      </c>
      <c r="AW649">
        <v>1</v>
      </c>
      <c r="AX649" t="s">
        <v>74</v>
      </c>
      <c r="AY649" t="s">
        <v>74</v>
      </c>
      <c r="AZ649" t="s">
        <v>74</v>
      </c>
      <c r="BA649" t="s">
        <v>74</v>
      </c>
      <c r="BB649">
        <v>8</v>
      </c>
      <c r="BC649">
        <v>41</v>
      </c>
      <c r="BD649" t="s">
        <v>74</v>
      </c>
      <c r="BE649" t="s">
        <v>11900</v>
      </c>
      <c r="BF649" t="str">
        <f>HYPERLINK("http://dx.doi.org/10.1016/j.astropartphys.2009.05.003","http://dx.doi.org/10.1016/j.astropartphys.2009.05.003")</f>
        <v>http://dx.doi.org/10.1016/j.astropartphys.2009.05.003</v>
      </c>
      <c r="BG649" t="s">
        <v>74</v>
      </c>
      <c r="BH649" t="s">
        <v>74</v>
      </c>
      <c r="BI649">
        <v>34</v>
      </c>
      <c r="BJ649" t="s">
        <v>11901</v>
      </c>
      <c r="BK649" t="s">
        <v>98</v>
      </c>
      <c r="BL649" t="s">
        <v>11902</v>
      </c>
      <c r="BM649" t="s">
        <v>11903</v>
      </c>
      <c r="BN649" t="s">
        <v>74</v>
      </c>
      <c r="BO649" t="s">
        <v>1119</v>
      </c>
      <c r="BP649" t="s">
        <v>74</v>
      </c>
      <c r="BQ649" t="s">
        <v>74</v>
      </c>
      <c r="BR649" t="s">
        <v>101</v>
      </c>
      <c r="BS649" t="s">
        <v>11904</v>
      </c>
      <c r="BT649" t="str">
        <f>HYPERLINK("https%3A%2F%2Fwww.webofscience.com%2Fwos%2Fwoscc%2Ffull-record%2FWOS:000270699200002","View Full Record in Web of Science")</f>
        <v>View Full Record in Web of Science</v>
      </c>
    </row>
    <row r="650" spans="1:72" x14ac:dyDescent="0.15">
      <c r="A650" t="s">
        <v>72</v>
      </c>
      <c r="B650" t="s">
        <v>11905</v>
      </c>
      <c r="C650" t="s">
        <v>74</v>
      </c>
      <c r="D650" t="s">
        <v>74</v>
      </c>
      <c r="E650" t="s">
        <v>74</v>
      </c>
      <c r="F650" t="s">
        <v>11906</v>
      </c>
      <c r="G650" t="s">
        <v>74</v>
      </c>
      <c r="H650" t="s">
        <v>74</v>
      </c>
      <c r="I650" t="s">
        <v>11907</v>
      </c>
      <c r="J650" t="s">
        <v>11908</v>
      </c>
      <c r="K650" t="s">
        <v>74</v>
      </c>
      <c r="L650" t="s">
        <v>74</v>
      </c>
      <c r="M650" t="s">
        <v>78</v>
      </c>
      <c r="N650" t="s">
        <v>79</v>
      </c>
      <c r="O650" t="s">
        <v>74</v>
      </c>
      <c r="P650" t="s">
        <v>74</v>
      </c>
      <c r="Q650" t="s">
        <v>74</v>
      </c>
      <c r="R650" t="s">
        <v>74</v>
      </c>
      <c r="S650" t="s">
        <v>74</v>
      </c>
      <c r="T650" t="s">
        <v>11909</v>
      </c>
      <c r="U650" t="s">
        <v>11910</v>
      </c>
      <c r="V650" t="s">
        <v>11911</v>
      </c>
      <c r="W650" t="s">
        <v>11912</v>
      </c>
      <c r="X650" t="s">
        <v>11913</v>
      </c>
      <c r="Y650" t="s">
        <v>11914</v>
      </c>
      <c r="Z650" t="s">
        <v>11915</v>
      </c>
      <c r="AA650" t="s">
        <v>11916</v>
      </c>
      <c r="AB650" t="s">
        <v>11917</v>
      </c>
      <c r="AC650" t="s">
        <v>11918</v>
      </c>
      <c r="AD650" t="s">
        <v>11918</v>
      </c>
      <c r="AE650" t="s">
        <v>11919</v>
      </c>
      <c r="AF650" t="s">
        <v>74</v>
      </c>
      <c r="AG650">
        <v>47</v>
      </c>
      <c r="AH650">
        <v>59</v>
      </c>
      <c r="AI650">
        <v>71</v>
      </c>
      <c r="AJ650">
        <v>0</v>
      </c>
      <c r="AK650">
        <v>37</v>
      </c>
      <c r="AL650" t="s">
        <v>1978</v>
      </c>
      <c r="AM650" t="s">
        <v>1895</v>
      </c>
      <c r="AN650" t="s">
        <v>1979</v>
      </c>
      <c r="AO650" t="s">
        <v>11920</v>
      </c>
      <c r="AP650" t="s">
        <v>11921</v>
      </c>
      <c r="AQ650" t="s">
        <v>74</v>
      </c>
      <c r="AR650" t="s">
        <v>11922</v>
      </c>
      <c r="AS650" t="s">
        <v>11923</v>
      </c>
      <c r="AT650" t="s">
        <v>11524</v>
      </c>
      <c r="AU650">
        <v>2009</v>
      </c>
      <c r="AV650">
        <v>142</v>
      </c>
      <c r="AW650">
        <v>8</v>
      </c>
      <c r="AX650" t="s">
        <v>74</v>
      </c>
      <c r="AY650" t="s">
        <v>74</v>
      </c>
      <c r="AZ650" t="s">
        <v>74</v>
      </c>
      <c r="BA650" t="s">
        <v>74</v>
      </c>
      <c r="BB650">
        <v>1710</v>
      </c>
      <c r="BC650">
        <v>1718</v>
      </c>
      <c r="BD650" t="s">
        <v>74</v>
      </c>
      <c r="BE650" t="s">
        <v>11924</v>
      </c>
      <c r="BF650" t="str">
        <f>HYPERLINK("http://dx.doi.org/10.1016/j.biocon.2009.03.008","http://dx.doi.org/10.1016/j.biocon.2009.03.008")</f>
        <v>http://dx.doi.org/10.1016/j.biocon.2009.03.008</v>
      </c>
      <c r="BG650" t="s">
        <v>74</v>
      </c>
      <c r="BH650" t="s">
        <v>74</v>
      </c>
      <c r="BI650">
        <v>9</v>
      </c>
      <c r="BJ650" t="s">
        <v>5406</v>
      </c>
      <c r="BK650" t="s">
        <v>98</v>
      </c>
      <c r="BL650" t="s">
        <v>3115</v>
      </c>
      <c r="BM650" t="s">
        <v>11925</v>
      </c>
      <c r="BN650" t="s">
        <v>74</v>
      </c>
      <c r="BO650" t="s">
        <v>74</v>
      </c>
      <c r="BP650" t="s">
        <v>74</v>
      </c>
      <c r="BQ650" t="s">
        <v>74</v>
      </c>
      <c r="BR650" t="s">
        <v>101</v>
      </c>
      <c r="BS650" t="s">
        <v>11926</v>
      </c>
      <c r="BT650" t="str">
        <f>HYPERLINK("https%3A%2F%2Fwww.webofscience.com%2Fwos%2Fwoscc%2Ffull-record%2FWOS:000267409300018","View Full Record in Web of Science")</f>
        <v>View Full Record in Web of Science</v>
      </c>
    </row>
    <row r="651" spans="1:72" x14ac:dyDescent="0.15">
      <c r="A651" t="s">
        <v>72</v>
      </c>
      <c r="B651" t="s">
        <v>11927</v>
      </c>
      <c r="C651" t="s">
        <v>74</v>
      </c>
      <c r="D651" t="s">
        <v>74</v>
      </c>
      <c r="E651" t="s">
        <v>74</v>
      </c>
      <c r="F651" t="s">
        <v>11928</v>
      </c>
      <c r="G651" t="s">
        <v>74</v>
      </c>
      <c r="H651" t="s">
        <v>74</v>
      </c>
      <c r="I651" t="s">
        <v>11929</v>
      </c>
      <c r="J651" t="s">
        <v>11930</v>
      </c>
      <c r="K651" t="s">
        <v>74</v>
      </c>
      <c r="L651" t="s">
        <v>74</v>
      </c>
      <c r="M651" t="s">
        <v>78</v>
      </c>
      <c r="N651" t="s">
        <v>297</v>
      </c>
      <c r="O651" t="s">
        <v>74</v>
      </c>
      <c r="P651" t="s">
        <v>74</v>
      </c>
      <c r="Q651" t="s">
        <v>74</v>
      </c>
      <c r="R651" t="s">
        <v>74</v>
      </c>
      <c r="S651" t="s">
        <v>74</v>
      </c>
      <c r="T651" t="s">
        <v>11931</v>
      </c>
      <c r="U651" t="s">
        <v>11932</v>
      </c>
      <c r="V651" t="s">
        <v>11933</v>
      </c>
      <c r="W651" t="s">
        <v>11934</v>
      </c>
      <c r="X651" t="s">
        <v>11935</v>
      </c>
      <c r="Y651" t="s">
        <v>11936</v>
      </c>
      <c r="Z651" t="s">
        <v>11937</v>
      </c>
      <c r="AA651" t="s">
        <v>74</v>
      </c>
      <c r="AB651" t="s">
        <v>74</v>
      </c>
      <c r="AC651" t="s">
        <v>11938</v>
      </c>
      <c r="AD651" t="s">
        <v>11939</v>
      </c>
      <c r="AE651" t="s">
        <v>11940</v>
      </c>
      <c r="AF651" t="s">
        <v>74</v>
      </c>
      <c r="AG651">
        <v>126</v>
      </c>
      <c r="AH651">
        <v>141</v>
      </c>
      <c r="AI651">
        <v>159</v>
      </c>
      <c r="AJ651">
        <v>2</v>
      </c>
      <c r="AK651">
        <v>85</v>
      </c>
      <c r="AL651" t="s">
        <v>1850</v>
      </c>
      <c r="AM651" t="s">
        <v>1851</v>
      </c>
      <c r="AN651" t="s">
        <v>1852</v>
      </c>
      <c r="AO651" t="s">
        <v>11941</v>
      </c>
      <c r="AP651" t="s">
        <v>11942</v>
      </c>
      <c r="AQ651" t="s">
        <v>74</v>
      </c>
      <c r="AR651" t="s">
        <v>11943</v>
      </c>
      <c r="AS651" t="s">
        <v>11944</v>
      </c>
      <c r="AT651" t="s">
        <v>11524</v>
      </c>
      <c r="AU651">
        <v>2009</v>
      </c>
      <c r="AV651">
        <v>11</v>
      </c>
      <c r="AW651">
        <v>7</v>
      </c>
      <c r="AX651" t="s">
        <v>74</v>
      </c>
      <c r="AY651" t="s">
        <v>74</v>
      </c>
      <c r="AZ651" t="s">
        <v>74</v>
      </c>
      <c r="BA651" t="s">
        <v>74</v>
      </c>
      <c r="BB651">
        <v>1743</v>
      </c>
      <c r="BC651">
        <v>1754</v>
      </c>
      <c r="BD651" t="s">
        <v>74</v>
      </c>
      <c r="BE651" t="s">
        <v>11945</v>
      </c>
      <c r="BF651" t="str">
        <f>HYPERLINK("http://dx.doi.org/10.1007/s10530-008-9401-4","http://dx.doi.org/10.1007/s10530-008-9401-4")</f>
        <v>http://dx.doi.org/10.1007/s10530-008-9401-4</v>
      </c>
      <c r="BG651" t="s">
        <v>74</v>
      </c>
      <c r="BH651" t="s">
        <v>74</v>
      </c>
      <c r="BI651">
        <v>12</v>
      </c>
      <c r="BJ651" t="s">
        <v>3114</v>
      </c>
      <c r="BK651" t="s">
        <v>98</v>
      </c>
      <c r="BL651" t="s">
        <v>3115</v>
      </c>
      <c r="BM651" t="s">
        <v>11946</v>
      </c>
      <c r="BN651" t="s">
        <v>74</v>
      </c>
      <c r="BO651" t="s">
        <v>74</v>
      </c>
      <c r="BP651" t="s">
        <v>74</v>
      </c>
      <c r="BQ651" t="s">
        <v>74</v>
      </c>
      <c r="BR651" t="s">
        <v>101</v>
      </c>
      <c r="BS651" t="s">
        <v>11947</v>
      </c>
      <c r="BT651" t="str">
        <f>HYPERLINK("https%3A%2F%2Fwww.webofscience.com%2Fwos%2Fwoscc%2Ffull-record%2FWOS:000267886200018","View Full Record in Web of Science")</f>
        <v>View Full Record in Web of Science</v>
      </c>
    </row>
    <row r="652" spans="1:72" x14ac:dyDescent="0.15">
      <c r="A652" t="s">
        <v>72</v>
      </c>
      <c r="B652" t="s">
        <v>11948</v>
      </c>
      <c r="C652" t="s">
        <v>74</v>
      </c>
      <c r="D652" t="s">
        <v>74</v>
      </c>
      <c r="E652" t="s">
        <v>74</v>
      </c>
      <c r="F652" t="s">
        <v>11949</v>
      </c>
      <c r="G652" t="s">
        <v>74</v>
      </c>
      <c r="H652" t="s">
        <v>74</v>
      </c>
      <c r="I652" t="s">
        <v>11950</v>
      </c>
      <c r="J652" t="s">
        <v>11951</v>
      </c>
      <c r="K652" t="s">
        <v>74</v>
      </c>
      <c r="L652" t="s">
        <v>74</v>
      </c>
      <c r="M652" t="s">
        <v>78</v>
      </c>
      <c r="N652" t="s">
        <v>297</v>
      </c>
      <c r="O652" t="s">
        <v>74</v>
      </c>
      <c r="P652" t="s">
        <v>74</v>
      </c>
      <c r="Q652" t="s">
        <v>74</v>
      </c>
      <c r="R652" t="s">
        <v>74</v>
      </c>
      <c r="S652" t="s">
        <v>74</v>
      </c>
      <c r="T652" t="s">
        <v>11952</v>
      </c>
      <c r="U652" t="s">
        <v>11953</v>
      </c>
      <c r="V652" t="s">
        <v>11954</v>
      </c>
      <c r="W652" t="s">
        <v>11955</v>
      </c>
      <c r="X652" t="s">
        <v>725</v>
      </c>
      <c r="Y652" t="s">
        <v>11956</v>
      </c>
      <c r="Z652" t="s">
        <v>11957</v>
      </c>
      <c r="AA652" t="s">
        <v>74</v>
      </c>
      <c r="AB652" t="s">
        <v>74</v>
      </c>
      <c r="AC652" t="s">
        <v>11958</v>
      </c>
      <c r="AD652" t="s">
        <v>573</v>
      </c>
      <c r="AE652" t="s">
        <v>74</v>
      </c>
      <c r="AF652" t="s">
        <v>74</v>
      </c>
      <c r="AG652">
        <v>253</v>
      </c>
      <c r="AH652">
        <v>66</v>
      </c>
      <c r="AI652">
        <v>69</v>
      </c>
      <c r="AJ652">
        <v>2</v>
      </c>
      <c r="AK652">
        <v>95</v>
      </c>
      <c r="AL652" t="s">
        <v>1184</v>
      </c>
      <c r="AM652" t="s">
        <v>1185</v>
      </c>
      <c r="AN652" t="s">
        <v>1186</v>
      </c>
      <c r="AO652" t="s">
        <v>11959</v>
      </c>
      <c r="AP652" t="s">
        <v>11960</v>
      </c>
      <c r="AQ652" t="s">
        <v>74</v>
      </c>
      <c r="AR652" t="s">
        <v>11961</v>
      </c>
      <c r="AS652" t="s">
        <v>11962</v>
      </c>
      <c r="AT652" t="s">
        <v>11524</v>
      </c>
      <c r="AU652">
        <v>2009</v>
      </c>
      <c r="AV652">
        <v>84</v>
      </c>
      <c r="AW652">
        <v>3</v>
      </c>
      <c r="AX652" t="s">
        <v>74</v>
      </c>
      <c r="AY652" t="s">
        <v>74</v>
      </c>
      <c r="AZ652" t="s">
        <v>74</v>
      </c>
      <c r="BA652" t="s">
        <v>74</v>
      </c>
      <c r="BB652">
        <v>449</v>
      </c>
      <c r="BC652">
        <v>484</v>
      </c>
      <c r="BD652" t="s">
        <v>74</v>
      </c>
      <c r="BE652" t="s">
        <v>11963</v>
      </c>
      <c r="BF652" t="str">
        <f>HYPERLINK("http://dx.doi.org/10.1111/j.1469-185X.2009.00084.x","http://dx.doi.org/10.1111/j.1469-185X.2009.00084.x")</f>
        <v>http://dx.doi.org/10.1111/j.1469-185X.2009.00084.x</v>
      </c>
      <c r="BG652" t="s">
        <v>74</v>
      </c>
      <c r="BH652" t="s">
        <v>74</v>
      </c>
      <c r="BI652">
        <v>36</v>
      </c>
      <c r="BJ652" t="s">
        <v>624</v>
      </c>
      <c r="BK652" t="s">
        <v>98</v>
      </c>
      <c r="BL652" t="s">
        <v>625</v>
      </c>
      <c r="BM652" t="s">
        <v>11964</v>
      </c>
      <c r="BN652">
        <v>19659886</v>
      </c>
      <c r="BO652" t="s">
        <v>74</v>
      </c>
      <c r="BP652" t="s">
        <v>74</v>
      </c>
      <c r="BQ652" t="s">
        <v>74</v>
      </c>
      <c r="BR652" t="s">
        <v>101</v>
      </c>
      <c r="BS652" t="s">
        <v>11965</v>
      </c>
      <c r="BT652" t="str">
        <f>HYPERLINK("https%3A%2F%2Fwww.webofscience.com%2Fwos%2Fwoscc%2Ffull-record%2FWOS:000268261000006","View Full Record in Web of Science")</f>
        <v>View Full Record in Web of Science</v>
      </c>
    </row>
    <row r="653" spans="1:72" x14ac:dyDescent="0.15">
      <c r="A653" t="s">
        <v>72</v>
      </c>
      <c r="B653" t="s">
        <v>11966</v>
      </c>
      <c r="C653" t="s">
        <v>74</v>
      </c>
      <c r="D653" t="s">
        <v>74</v>
      </c>
      <c r="E653" t="s">
        <v>74</v>
      </c>
      <c r="F653" t="s">
        <v>11967</v>
      </c>
      <c r="G653" t="s">
        <v>74</v>
      </c>
      <c r="H653" t="s">
        <v>74</v>
      </c>
      <c r="I653" t="s">
        <v>11968</v>
      </c>
      <c r="J653" t="s">
        <v>11969</v>
      </c>
      <c r="K653" t="s">
        <v>74</v>
      </c>
      <c r="L653" t="s">
        <v>74</v>
      </c>
      <c r="M653" t="s">
        <v>78</v>
      </c>
      <c r="N653" t="s">
        <v>79</v>
      </c>
      <c r="O653" t="s">
        <v>74</v>
      </c>
      <c r="P653" t="s">
        <v>74</v>
      </c>
      <c r="Q653" t="s">
        <v>74</v>
      </c>
      <c r="R653" t="s">
        <v>74</v>
      </c>
      <c r="S653" t="s">
        <v>74</v>
      </c>
      <c r="T653" t="s">
        <v>74</v>
      </c>
      <c r="U653" t="s">
        <v>11970</v>
      </c>
      <c r="V653" t="s">
        <v>11971</v>
      </c>
      <c r="W653" t="s">
        <v>11972</v>
      </c>
      <c r="X653" t="s">
        <v>11973</v>
      </c>
      <c r="Y653" t="s">
        <v>11974</v>
      </c>
      <c r="Z653" t="s">
        <v>11975</v>
      </c>
      <c r="AA653" t="s">
        <v>74</v>
      </c>
      <c r="AB653" t="s">
        <v>74</v>
      </c>
      <c r="AC653" t="s">
        <v>11976</v>
      </c>
      <c r="AD653" t="s">
        <v>11977</v>
      </c>
      <c r="AE653" t="s">
        <v>11978</v>
      </c>
      <c r="AF653" t="s">
        <v>74</v>
      </c>
      <c r="AG653">
        <v>19</v>
      </c>
      <c r="AH653">
        <v>12</v>
      </c>
      <c r="AI653">
        <v>13</v>
      </c>
      <c r="AJ653">
        <v>0</v>
      </c>
      <c r="AK653">
        <v>8</v>
      </c>
      <c r="AL653" t="s">
        <v>11979</v>
      </c>
      <c r="AM653" t="s">
        <v>9675</v>
      </c>
      <c r="AN653" t="s">
        <v>11980</v>
      </c>
      <c r="AO653" t="s">
        <v>11981</v>
      </c>
      <c r="AP653" t="s">
        <v>11982</v>
      </c>
      <c r="AQ653" t="s">
        <v>74</v>
      </c>
      <c r="AR653" t="s">
        <v>11983</v>
      </c>
      <c r="AS653" t="s">
        <v>11984</v>
      </c>
      <c r="AT653" t="s">
        <v>11524</v>
      </c>
      <c r="AU653">
        <v>2009</v>
      </c>
      <c r="AV653">
        <v>87</v>
      </c>
      <c r="AW653">
        <v>8</v>
      </c>
      <c r="AX653" t="s">
        <v>74</v>
      </c>
      <c r="AY653" t="s">
        <v>74</v>
      </c>
      <c r="AZ653" t="s">
        <v>74</v>
      </c>
      <c r="BA653" t="s">
        <v>74</v>
      </c>
      <c r="BB653">
        <v>925</v>
      </c>
      <c r="BC653">
        <v>932</v>
      </c>
      <c r="BD653" t="s">
        <v>74</v>
      </c>
      <c r="BE653" t="s">
        <v>11985</v>
      </c>
      <c r="BF653" t="str">
        <f>HYPERLINK("http://dx.doi.org/10.1139/P09-051","http://dx.doi.org/10.1139/P09-051")</f>
        <v>http://dx.doi.org/10.1139/P09-051</v>
      </c>
      <c r="BG653" t="s">
        <v>74</v>
      </c>
      <c r="BH653" t="s">
        <v>74</v>
      </c>
      <c r="BI653">
        <v>8</v>
      </c>
      <c r="BJ653" t="s">
        <v>3755</v>
      </c>
      <c r="BK653" t="s">
        <v>98</v>
      </c>
      <c r="BL653" t="s">
        <v>154</v>
      </c>
      <c r="BM653" t="s">
        <v>11986</v>
      </c>
      <c r="BN653" t="s">
        <v>74</v>
      </c>
      <c r="BO653" t="s">
        <v>74</v>
      </c>
      <c r="BP653" t="s">
        <v>74</v>
      </c>
      <c r="BQ653" t="s">
        <v>74</v>
      </c>
      <c r="BR653" t="s">
        <v>101</v>
      </c>
      <c r="BS653" t="s">
        <v>11987</v>
      </c>
      <c r="BT653" t="str">
        <f>HYPERLINK("https%3A%2F%2Fwww.webofscience.com%2Fwos%2Fwoscc%2Ffull-record%2FWOS:000271574300008","View Full Record in Web of Science")</f>
        <v>View Full Record in Web of Science</v>
      </c>
    </row>
    <row r="654" spans="1:72" x14ac:dyDescent="0.15">
      <c r="A654" t="s">
        <v>72</v>
      </c>
      <c r="B654" t="s">
        <v>11988</v>
      </c>
      <c r="C654" t="s">
        <v>74</v>
      </c>
      <c r="D654" t="s">
        <v>74</v>
      </c>
      <c r="E654" t="s">
        <v>74</v>
      </c>
      <c r="F654" t="s">
        <v>11989</v>
      </c>
      <c r="G654" t="s">
        <v>74</v>
      </c>
      <c r="H654" t="s">
        <v>74</v>
      </c>
      <c r="I654" t="s">
        <v>11990</v>
      </c>
      <c r="J654" t="s">
        <v>11991</v>
      </c>
      <c r="K654" t="s">
        <v>74</v>
      </c>
      <c r="L654" t="s">
        <v>74</v>
      </c>
      <c r="M654" t="s">
        <v>78</v>
      </c>
      <c r="N654" t="s">
        <v>79</v>
      </c>
      <c r="O654" t="s">
        <v>74</v>
      </c>
      <c r="P654" t="s">
        <v>74</v>
      </c>
      <c r="Q654" t="s">
        <v>74</v>
      </c>
      <c r="R654" t="s">
        <v>74</v>
      </c>
      <c r="S654" t="s">
        <v>74</v>
      </c>
      <c r="T654" t="s">
        <v>11992</v>
      </c>
      <c r="U654" t="s">
        <v>11993</v>
      </c>
      <c r="V654" t="s">
        <v>11994</v>
      </c>
      <c r="W654" t="s">
        <v>11995</v>
      </c>
      <c r="X654" t="s">
        <v>11996</v>
      </c>
      <c r="Y654" t="s">
        <v>11997</v>
      </c>
      <c r="Z654" t="s">
        <v>11998</v>
      </c>
      <c r="AA654" t="s">
        <v>11999</v>
      </c>
      <c r="AB654" t="s">
        <v>12000</v>
      </c>
      <c r="AC654" t="s">
        <v>12001</v>
      </c>
      <c r="AD654" t="s">
        <v>4611</v>
      </c>
      <c r="AE654" t="s">
        <v>12002</v>
      </c>
      <c r="AF654" t="s">
        <v>74</v>
      </c>
      <c r="AG654">
        <v>31</v>
      </c>
      <c r="AH654">
        <v>16</v>
      </c>
      <c r="AI654">
        <v>18</v>
      </c>
      <c r="AJ654">
        <v>1</v>
      </c>
      <c r="AK654">
        <v>19</v>
      </c>
      <c r="AL654" t="s">
        <v>1764</v>
      </c>
      <c r="AM654" t="s">
        <v>1765</v>
      </c>
      <c r="AN654" t="s">
        <v>12003</v>
      </c>
      <c r="AO654" t="s">
        <v>12004</v>
      </c>
      <c r="AP654" t="s">
        <v>12005</v>
      </c>
      <c r="AQ654" t="s">
        <v>74</v>
      </c>
      <c r="AR654" t="s">
        <v>12006</v>
      </c>
      <c r="AS654" t="s">
        <v>12007</v>
      </c>
      <c r="AT654" t="s">
        <v>11524</v>
      </c>
      <c r="AU654">
        <v>2009</v>
      </c>
      <c r="AV654">
        <v>27</v>
      </c>
      <c r="AW654">
        <v>3</v>
      </c>
      <c r="AX654" t="s">
        <v>74</v>
      </c>
      <c r="AY654" t="s">
        <v>74</v>
      </c>
      <c r="AZ654" t="s">
        <v>74</v>
      </c>
      <c r="BA654" t="s">
        <v>74</v>
      </c>
      <c r="BB654">
        <v>630</v>
      </c>
      <c r="BC654">
        <v>639</v>
      </c>
      <c r="BD654" t="s">
        <v>74</v>
      </c>
      <c r="BE654" t="s">
        <v>12008</v>
      </c>
      <c r="BF654" t="str">
        <f>HYPERLINK("http://dx.doi.org/10.1007/s00343-009-9161-8","http://dx.doi.org/10.1007/s00343-009-9161-8")</f>
        <v>http://dx.doi.org/10.1007/s00343-009-9161-8</v>
      </c>
      <c r="BG654" t="s">
        <v>74</v>
      </c>
      <c r="BH654" t="s">
        <v>74</v>
      </c>
      <c r="BI654">
        <v>10</v>
      </c>
      <c r="BJ654" t="s">
        <v>5740</v>
      </c>
      <c r="BK654" t="s">
        <v>98</v>
      </c>
      <c r="BL654" t="s">
        <v>5741</v>
      </c>
      <c r="BM654" t="s">
        <v>12009</v>
      </c>
      <c r="BN654" t="s">
        <v>74</v>
      </c>
      <c r="BO654" t="s">
        <v>74</v>
      </c>
      <c r="BP654" t="s">
        <v>74</v>
      </c>
      <c r="BQ654" t="s">
        <v>74</v>
      </c>
      <c r="BR654" t="s">
        <v>101</v>
      </c>
      <c r="BS654" t="s">
        <v>12010</v>
      </c>
      <c r="BT654" t="str">
        <f>HYPERLINK("https%3A%2F%2Fwww.webofscience.com%2Fwos%2Fwoscc%2Ffull-record%2FWOS:000270742000031","View Full Record in Web of Science")</f>
        <v>View Full Record in Web of Science</v>
      </c>
    </row>
    <row r="655" spans="1:72" x14ac:dyDescent="0.15">
      <c r="A655" t="s">
        <v>72</v>
      </c>
      <c r="B655" t="s">
        <v>12011</v>
      </c>
      <c r="C655" t="s">
        <v>74</v>
      </c>
      <c r="D655" t="s">
        <v>74</v>
      </c>
      <c r="E655" t="s">
        <v>74</v>
      </c>
      <c r="F655" t="s">
        <v>12012</v>
      </c>
      <c r="G655" t="s">
        <v>74</v>
      </c>
      <c r="H655" t="s">
        <v>74</v>
      </c>
      <c r="I655" t="s">
        <v>12013</v>
      </c>
      <c r="J655" t="s">
        <v>12014</v>
      </c>
      <c r="K655" t="s">
        <v>74</v>
      </c>
      <c r="L655" t="s">
        <v>74</v>
      </c>
      <c r="M655" t="s">
        <v>78</v>
      </c>
      <c r="N655" t="s">
        <v>79</v>
      </c>
      <c r="O655" t="s">
        <v>74</v>
      </c>
      <c r="P655" t="s">
        <v>74</v>
      </c>
      <c r="Q655" t="s">
        <v>74</v>
      </c>
      <c r="R655" t="s">
        <v>74</v>
      </c>
      <c r="S655" t="s">
        <v>74</v>
      </c>
      <c r="T655" t="s">
        <v>12015</v>
      </c>
      <c r="U655" t="s">
        <v>12016</v>
      </c>
      <c r="V655" t="s">
        <v>12017</v>
      </c>
      <c r="W655" t="s">
        <v>12018</v>
      </c>
      <c r="X655" t="s">
        <v>12019</v>
      </c>
      <c r="Y655" t="s">
        <v>12020</v>
      </c>
      <c r="Z655" t="s">
        <v>12021</v>
      </c>
      <c r="AA655" t="s">
        <v>12022</v>
      </c>
      <c r="AB655" t="s">
        <v>12023</v>
      </c>
      <c r="AC655" t="s">
        <v>12024</v>
      </c>
      <c r="AD655" t="s">
        <v>12025</v>
      </c>
      <c r="AE655" t="s">
        <v>12026</v>
      </c>
      <c r="AF655" t="s">
        <v>74</v>
      </c>
      <c r="AG655">
        <v>37</v>
      </c>
      <c r="AH655">
        <v>87</v>
      </c>
      <c r="AI655">
        <v>93</v>
      </c>
      <c r="AJ655">
        <v>0</v>
      </c>
      <c r="AK655">
        <v>26</v>
      </c>
      <c r="AL655" t="s">
        <v>1850</v>
      </c>
      <c r="AM655" t="s">
        <v>684</v>
      </c>
      <c r="AN655" t="s">
        <v>2272</v>
      </c>
      <c r="AO655" t="s">
        <v>12027</v>
      </c>
      <c r="AP655" t="s">
        <v>12028</v>
      </c>
      <c r="AQ655" t="s">
        <v>74</v>
      </c>
      <c r="AR655" t="s">
        <v>12029</v>
      </c>
      <c r="AS655" t="s">
        <v>12030</v>
      </c>
      <c r="AT655" t="s">
        <v>11524</v>
      </c>
      <c r="AU655">
        <v>2009</v>
      </c>
      <c r="AV655">
        <v>33</v>
      </c>
      <c r="AW655" t="s">
        <v>12031</v>
      </c>
      <c r="AX655" t="s">
        <v>74</v>
      </c>
      <c r="AY655" t="s">
        <v>74</v>
      </c>
      <c r="AZ655" t="s">
        <v>74</v>
      </c>
      <c r="BA655" t="s">
        <v>74</v>
      </c>
      <c r="BB655">
        <v>187</v>
      </c>
      <c r="BC655">
        <v>197</v>
      </c>
      <c r="BD655" t="s">
        <v>74</v>
      </c>
      <c r="BE655" t="s">
        <v>12032</v>
      </c>
      <c r="BF655" t="str">
        <f>HYPERLINK("http://dx.doi.org/10.1007/s00382-008-0431-5","http://dx.doi.org/10.1007/s00382-008-0431-5")</f>
        <v>http://dx.doi.org/10.1007/s00382-008-0431-5</v>
      </c>
      <c r="BG655" t="s">
        <v>74</v>
      </c>
      <c r="BH655" t="s">
        <v>74</v>
      </c>
      <c r="BI655">
        <v>11</v>
      </c>
      <c r="BJ655" t="s">
        <v>413</v>
      </c>
      <c r="BK655" t="s">
        <v>98</v>
      </c>
      <c r="BL655" t="s">
        <v>413</v>
      </c>
      <c r="BM655" t="s">
        <v>12033</v>
      </c>
      <c r="BN655" t="s">
        <v>74</v>
      </c>
      <c r="BO655" t="s">
        <v>74</v>
      </c>
      <c r="BP655" t="s">
        <v>74</v>
      </c>
      <c r="BQ655" t="s">
        <v>74</v>
      </c>
      <c r="BR655" t="s">
        <v>101</v>
      </c>
      <c r="BS655" t="s">
        <v>12034</v>
      </c>
      <c r="BT655" t="str">
        <f>HYPERLINK("https%3A%2F%2Fwww.webofscience.com%2Fwos%2Fwoscc%2Ffull-record%2FWOS:000267103700003","View Full Record in Web of Science")</f>
        <v>View Full Record in Web of Science</v>
      </c>
    </row>
    <row r="656" spans="1:72" x14ac:dyDescent="0.15">
      <c r="A656" t="s">
        <v>72</v>
      </c>
      <c r="B656" t="s">
        <v>12035</v>
      </c>
      <c r="C656" t="s">
        <v>74</v>
      </c>
      <c r="D656" t="s">
        <v>74</v>
      </c>
      <c r="E656" t="s">
        <v>74</v>
      </c>
      <c r="F656" t="s">
        <v>12036</v>
      </c>
      <c r="G656" t="s">
        <v>74</v>
      </c>
      <c r="H656" t="s">
        <v>74</v>
      </c>
      <c r="I656" t="s">
        <v>12037</v>
      </c>
      <c r="J656" t="s">
        <v>12014</v>
      </c>
      <c r="K656" t="s">
        <v>74</v>
      </c>
      <c r="L656" t="s">
        <v>74</v>
      </c>
      <c r="M656" t="s">
        <v>78</v>
      </c>
      <c r="N656" t="s">
        <v>79</v>
      </c>
      <c r="O656" t="s">
        <v>74</v>
      </c>
      <c r="P656" t="s">
        <v>74</v>
      </c>
      <c r="Q656" t="s">
        <v>74</v>
      </c>
      <c r="R656" t="s">
        <v>74</v>
      </c>
      <c r="S656" t="s">
        <v>74</v>
      </c>
      <c r="T656" t="s">
        <v>12038</v>
      </c>
      <c r="U656" t="s">
        <v>12039</v>
      </c>
      <c r="V656" t="s">
        <v>12040</v>
      </c>
      <c r="W656" t="s">
        <v>12041</v>
      </c>
      <c r="X656" t="s">
        <v>12042</v>
      </c>
      <c r="Y656" t="s">
        <v>12043</v>
      </c>
      <c r="Z656" t="s">
        <v>12044</v>
      </c>
      <c r="AA656" t="s">
        <v>12045</v>
      </c>
      <c r="AB656" t="s">
        <v>12046</v>
      </c>
      <c r="AC656" t="s">
        <v>12047</v>
      </c>
      <c r="AD656" t="s">
        <v>12048</v>
      </c>
      <c r="AE656" t="s">
        <v>12049</v>
      </c>
      <c r="AF656" t="s">
        <v>74</v>
      </c>
      <c r="AG656">
        <v>54</v>
      </c>
      <c r="AH656">
        <v>73</v>
      </c>
      <c r="AI656">
        <v>77</v>
      </c>
      <c r="AJ656">
        <v>1</v>
      </c>
      <c r="AK656">
        <v>22</v>
      </c>
      <c r="AL656" t="s">
        <v>1850</v>
      </c>
      <c r="AM656" t="s">
        <v>684</v>
      </c>
      <c r="AN656" t="s">
        <v>3108</v>
      </c>
      <c r="AO656" t="s">
        <v>12027</v>
      </c>
      <c r="AP656" t="s">
        <v>12028</v>
      </c>
      <c r="AQ656" t="s">
        <v>74</v>
      </c>
      <c r="AR656" t="s">
        <v>12029</v>
      </c>
      <c r="AS656" t="s">
        <v>12030</v>
      </c>
      <c r="AT656" t="s">
        <v>11524</v>
      </c>
      <c r="AU656">
        <v>2009</v>
      </c>
      <c r="AV656">
        <v>33</v>
      </c>
      <c r="AW656" t="s">
        <v>12031</v>
      </c>
      <c r="AX656" t="s">
        <v>74</v>
      </c>
      <c r="AY656" t="s">
        <v>74</v>
      </c>
      <c r="AZ656" t="s">
        <v>74</v>
      </c>
      <c r="BA656" t="s">
        <v>74</v>
      </c>
      <c r="BB656">
        <v>365</v>
      </c>
      <c r="BC656">
        <v>381</v>
      </c>
      <c r="BD656" t="s">
        <v>74</v>
      </c>
      <c r="BE656" t="s">
        <v>12050</v>
      </c>
      <c r="BF656" t="str">
        <f>HYPERLINK("http://dx.doi.org/10.1007/s00382-008-0496-1","http://dx.doi.org/10.1007/s00382-008-0496-1")</f>
        <v>http://dx.doi.org/10.1007/s00382-008-0496-1</v>
      </c>
      <c r="BG656" t="s">
        <v>74</v>
      </c>
      <c r="BH656" t="s">
        <v>74</v>
      </c>
      <c r="BI656">
        <v>17</v>
      </c>
      <c r="BJ656" t="s">
        <v>413</v>
      </c>
      <c r="BK656" t="s">
        <v>98</v>
      </c>
      <c r="BL656" t="s">
        <v>413</v>
      </c>
      <c r="BM656" t="s">
        <v>12033</v>
      </c>
      <c r="BN656" t="s">
        <v>74</v>
      </c>
      <c r="BO656" t="s">
        <v>74</v>
      </c>
      <c r="BP656" t="s">
        <v>74</v>
      </c>
      <c r="BQ656" t="s">
        <v>74</v>
      </c>
      <c r="BR656" t="s">
        <v>101</v>
      </c>
      <c r="BS656" t="s">
        <v>12051</v>
      </c>
      <c r="BT656" t="str">
        <f>HYPERLINK("https%3A%2F%2Fwww.webofscience.com%2Fwos%2Fwoscc%2Ffull-record%2FWOS:000267103700014","View Full Record in Web of Science")</f>
        <v>View Full Record in Web of Science</v>
      </c>
    </row>
    <row r="657" spans="1:72" x14ac:dyDescent="0.15">
      <c r="A657" t="s">
        <v>72</v>
      </c>
      <c r="B657" t="s">
        <v>12052</v>
      </c>
      <c r="C657" t="s">
        <v>74</v>
      </c>
      <c r="D657" t="s">
        <v>74</v>
      </c>
      <c r="E657" t="s">
        <v>74</v>
      </c>
      <c r="F657" t="s">
        <v>12053</v>
      </c>
      <c r="G657" t="s">
        <v>74</v>
      </c>
      <c r="H657" t="s">
        <v>74</v>
      </c>
      <c r="I657" t="s">
        <v>12054</v>
      </c>
      <c r="J657" t="s">
        <v>12014</v>
      </c>
      <c r="K657" t="s">
        <v>74</v>
      </c>
      <c r="L657" t="s">
        <v>74</v>
      </c>
      <c r="M657" t="s">
        <v>78</v>
      </c>
      <c r="N657" t="s">
        <v>297</v>
      </c>
      <c r="O657" t="s">
        <v>74</v>
      </c>
      <c r="P657" t="s">
        <v>74</v>
      </c>
      <c r="Q657" t="s">
        <v>74</v>
      </c>
      <c r="R657" t="s">
        <v>74</v>
      </c>
      <c r="S657" t="s">
        <v>74</v>
      </c>
      <c r="T657" t="s">
        <v>12055</v>
      </c>
      <c r="U657" t="s">
        <v>12056</v>
      </c>
      <c r="V657" t="s">
        <v>12057</v>
      </c>
      <c r="W657" t="s">
        <v>12058</v>
      </c>
      <c r="X657" t="s">
        <v>12059</v>
      </c>
      <c r="Y657" t="s">
        <v>12060</v>
      </c>
      <c r="Z657" t="s">
        <v>12061</v>
      </c>
      <c r="AA657" t="s">
        <v>74</v>
      </c>
      <c r="AB657" t="s">
        <v>12062</v>
      </c>
      <c r="AC657" t="s">
        <v>12063</v>
      </c>
      <c r="AD657" t="s">
        <v>12064</v>
      </c>
      <c r="AE657" t="s">
        <v>12065</v>
      </c>
      <c r="AF657" t="s">
        <v>74</v>
      </c>
      <c r="AG657">
        <v>116</v>
      </c>
      <c r="AH657">
        <v>13</v>
      </c>
      <c r="AI657">
        <v>14</v>
      </c>
      <c r="AJ657">
        <v>0</v>
      </c>
      <c r="AK657">
        <v>8</v>
      </c>
      <c r="AL657" t="s">
        <v>1850</v>
      </c>
      <c r="AM657" t="s">
        <v>684</v>
      </c>
      <c r="AN657" t="s">
        <v>2272</v>
      </c>
      <c r="AO657" t="s">
        <v>12027</v>
      </c>
      <c r="AP657" t="s">
        <v>12028</v>
      </c>
      <c r="AQ657" t="s">
        <v>74</v>
      </c>
      <c r="AR657" t="s">
        <v>12029</v>
      </c>
      <c r="AS657" t="s">
        <v>12030</v>
      </c>
      <c r="AT657" t="s">
        <v>11524</v>
      </c>
      <c r="AU657">
        <v>2009</v>
      </c>
      <c r="AV657">
        <v>33</v>
      </c>
      <c r="AW657" t="s">
        <v>12031</v>
      </c>
      <c r="AX657" t="s">
        <v>74</v>
      </c>
      <c r="AY657" t="s">
        <v>74</v>
      </c>
      <c r="AZ657" t="s">
        <v>74</v>
      </c>
      <c r="BA657" t="s">
        <v>74</v>
      </c>
      <c r="BB657">
        <v>383</v>
      </c>
      <c r="BC657">
        <v>408</v>
      </c>
      <c r="BD657" t="s">
        <v>74</v>
      </c>
      <c r="BE657" t="s">
        <v>12066</v>
      </c>
      <c r="BF657" t="str">
        <f>HYPERLINK("http://dx.doi.org/10.1007/s00382-008-0468-5","http://dx.doi.org/10.1007/s00382-008-0468-5")</f>
        <v>http://dx.doi.org/10.1007/s00382-008-0468-5</v>
      </c>
      <c r="BG657" t="s">
        <v>74</v>
      </c>
      <c r="BH657" t="s">
        <v>74</v>
      </c>
      <c r="BI657">
        <v>26</v>
      </c>
      <c r="BJ657" t="s">
        <v>413</v>
      </c>
      <c r="BK657" t="s">
        <v>98</v>
      </c>
      <c r="BL657" t="s">
        <v>413</v>
      </c>
      <c r="BM657" t="s">
        <v>12033</v>
      </c>
      <c r="BN657" t="s">
        <v>74</v>
      </c>
      <c r="BO657" t="s">
        <v>74</v>
      </c>
      <c r="BP657" t="s">
        <v>74</v>
      </c>
      <c r="BQ657" t="s">
        <v>74</v>
      </c>
      <c r="BR657" t="s">
        <v>101</v>
      </c>
      <c r="BS657" t="s">
        <v>12067</v>
      </c>
      <c r="BT657" t="str">
        <f>HYPERLINK("https%3A%2F%2Fwww.webofscience.com%2Fwos%2Fwoscc%2Ffull-record%2FWOS:000267103700015","View Full Record in Web of Science")</f>
        <v>View Full Record in Web of Science</v>
      </c>
    </row>
    <row r="658" spans="1:72" x14ac:dyDescent="0.15">
      <c r="A658" t="s">
        <v>72</v>
      </c>
      <c r="B658" t="s">
        <v>12068</v>
      </c>
      <c r="C658" t="s">
        <v>74</v>
      </c>
      <c r="D658" t="s">
        <v>74</v>
      </c>
      <c r="E658" t="s">
        <v>74</v>
      </c>
      <c r="F658" t="s">
        <v>12069</v>
      </c>
      <c r="G658" t="s">
        <v>74</v>
      </c>
      <c r="H658" t="s">
        <v>74</v>
      </c>
      <c r="I658" t="s">
        <v>12070</v>
      </c>
      <c r="J658" t="s">
        <v>12071</v>
      </c>
      <c r="K658" t="s">
        <v>74</v>
      </c>
      <c r="L658" t="s">
        <v>74</v>
      </c>
      <c r="M658" t="s">
        <v>78</v>
      </c>
      <c r="N658" t="s">
        <v>79</v>
      </c>
      <c r="O658" t="s">
        <v>74</v>
      </c>
      <c r="P658" t="s">
        <v>74</v>
      </c>
      <c r="Q658" t="s">
        <v>74</v>
      </c>
      <c r="R658" t="s">
        <v>74</v>
      </c>
      <c r="S658" t="s">
        <v>74</v>
      </c>
      <c r="T658" t="s">
        <v>12072</v>
      </c>
      <c r="U658" t="s">
        <v>12073</v>
      </c>
      <c r="V658" t="s">
        <v>12074</v>
      </c>
      <c r="W658" t="s">
        <v>12075</v>
      </c>
      <c r="X658" t="s">
        <v>12076</v>
      </c>
      <c r="Y658" t="s">
        <v>12077</v>
      </c>
      <c r="Z658" t="s">
        <v>12078</v>
      </c>
      <c r="AA658" t="s">
        <v>74</v>
      </c>
      <c r="AB658" t="s">
        <v>74</v>
      </c>
      <c r="AC658" t="s">
        <v>12079</v>
      </c>
      <c r="AD658" t="s">
        <v>12080</v>
      </c>
      <c r="AE658" t="s">
        <v>12081</v>
      </c>
      <c r="AF658" t="s">
        <v>74</v>
      </c>
      <c r="AG658">
        <v>44</v>
      </c>
      <c r="AH658">
        <v>107</v>
      </c>
      <c r="AI658">
        <v>120</v>
      </c>
      <c r="AJ658">
        <v>0</v>
      </c>
      <c r="AK658">
        <v>48</v>
      </c>
      <c r="AL658" t="s">
        <v>4774</v>
      </c>
      <c r="AM658" t="s">
        <v>4775</v>
      </c>
      <c r="AN658" t="s">
        <v>4776</v>
      </c>
      <c r="AO658" t="s">
        <v>12082</v>
      </c>
      <c r="AP658" t="s">
        <v>12083</v>
      </c>
      <c r="AQ658" t="s">
        <v>74</v>
      </c>
      <c r="AR658" t="s">
        <v>12084</v>
      </c>
      <c r="AS658" t="s">
        <v>12085</v>
      </c>
      <c r="AT658" t="s">
        <v>12086</v>
      </c>
      <c r="AU658">
        <v>2009</v>
      </c>
      <c r="AV658">
        <v>341</v>
      </c>
      <c r="AW658" t="s">
        <v>12087</v>
      </c>
      <c r="AX658" t="s">
        <v>74</v>
      </c>
      <c r="AY658" t="s">
        <v>74</v>
      </c>
      <c r="AZ658" t="s">
        <v>1546</v>
      </c>
      <c r="BA658" t="s">
        <v>74</v>
      </c>
      <c r="BB658">
        <v>591</v>
      </c>
      <c r="BC658">
        <v>602</v>
      </c>
      <c r="BD658" t="s">
        <v>74</v>
      </c>
      <c r="BE658" t="s">
        <v>12088</v>
      </c>
      <c r="BF658" t="str">
        <f>HYPERLINK("http://dx.doi.org/10.1016/j.crte.2009.03.008","http://dx.doi.org/10.1016/j.crte.2009.03.008")</f>
        <v>http://dx.doi.org/10.1016/j.crte.2009.03.008</v>
      </c>
      <c r="BG658" t="s">
        <v>74</v>
      </c>
      <c r="BH658" t="s">
        <v>74</v>
      </c>
      <c r="BI658">
        <v>12</v>
      </c>
      <c r="BJ658" t="s">
        <v>464</v>
      </c>
      <c r="BK658" t="s">
        <v>98</v>
      </c>
      <c r="BL658" t="s">
        <v>465</v>
      </c>
      <c r="BM658" t="s">
        <v>12089</v>
      </c>
      <c r="BN658" t="s">
        <v>74</v>
      </c>
      <c r="BO658" t="s">
        <v>239</v>
      </c>
      <c r="BP658" t="s">
        <v>74</v>
      </c>
      <c r="BQ658" t="s">
        <v>74</v>
      </c>
      <c r="BR658" t="s">
        <v>101</v>
      </c>
      <c r="BS658" t="s">
        <v>12090</v>
      </c>
      <c r="BT658" t="str">
        <f>HYPERLINK("https%3A%2F%2Fwww.webofscience.com%2Fwos%2Fwoscc%2Ffull-record%2FWOS:000271777700003","View Full Record in Web of Science")</f>
        <v>View Full Record in Web of Science</v>
      </c>
    </row>
    <row r="659" spans="1:72" x14ac:dyDescent="0.15">
      <c r="A659" t="s">
        <v>72</v>
      </c>
      <c r="B659" t="s">
        <v>12091</v>
      </c>
      <c r="C659" t="s">
        <v>74</v>
      </c>
      <c r="D659" t="s">
        <v>74</v>
      </c>
      <c r="E659" t="s">
        <v>74</v>
      </c>
      <c r="F659" t="s">
        <v>12092</v>
      </c>
      <c r="G659" t="s">
        <v>74</v>
      </c>
      <c r="H659" t="s">
        <v>74</v>
      </c>
      <c r="I659" t="s">
        <v>12093</v>
      </c>
      <c r="J659" t="s">
        <v>12094</v>
      </c>
      <c r="K659" t="s">
        <v>74</v>
      </c>
      <c r="L659" t="s">
        <v>74</v>
      </c>
      <c r="M659" t="s">
        <v>78</v>
      </c>
      <c r="N659" t="s">
        <v>79</v>
      </c>
      <c r="O659" t="s">
        <v>74</v>
      </c>
      <c r="P659" t="s">
        <v>74</v>
      </c>
      <c r="Q659" t="s">
        <v>74</v>
      </c>
      <c r="R659" t="s">
        <v>74</v>
      </c>
      <c r="S659" t="s">
        <v>74</v>
      </c>
      <c r="T659" t="s">
        <v>12095</v>
      </c>
      <c r="U659" t="s">
        <v>12096</v>
      </c>
      <c r="V659" t="s">
        <v>12097</v>
      </c>
      <c r="W659" t="s">
        <v>12098</v>
      </c>
      <c r="X659" t="s">
        <v>12099</v>
      </c>
      <c r="Y659" t="s">
        <v>12100</v>
      </c>
      <c r="Z659" t="s">
        <v>12101</v>
      </c>
      <c r="AA659" t="s">
        <v>12102</v>
      </c>
      <c r="AB659" t="s">
        <v>12103</v>
      </c>
      <c r="AC659" t="s">
        <v>12104</v>
      </c>
      <c r="AD659" t="s">
        <v>12105</v>
      </c>
      <c r="AE659" t="s">
        <v>12106</v>
      </c>
      <c r="AF659" t="s">
        <v>74</v>
      </c>
      <c r="AG659">
        <v>43</v>
      </c>
      <c r="AH659">
        <v>21</v>
      </c>
      <c r="AI659">
        <v>23</v>
      </c>
      <c r="AJ659">
        <v>1</v>
      </c>
      <c r="AK659">
        <v>24</v>
      </c>
      <c r="AL659" t="s">
        <v>12107</v>
      </c>
      <c r="AM659" t="s">
        <v>12108</v>
      </c>
      <c r="AN659" t="s">
        <v>12109</v>
      </c>
      <c r="AO659" t="s">
        <v>12110</v>
      </c>
      <c r="AP659" t="s">
        <v>12111</v>
      </c>
      <c r="AQ659" t="s">
        <v>74</v>
      </c>
      <c r="AR659" t="s">
        <v>12094</v>
      </c>
      <c r="AS659" t="s">
        <v>12112</v>
      </c>
      <c r="AT659" t="s">
        <v>11524</v>
      </c>
      <c r="AU659">
        <v>2009</v>
      </c>
      <c r="AV659">
        <v>111</v>
      </c>
      <c r="AW659">
        <v>3</v>
      </c>
      <c r="AX659" t="s">
        <v>74</v>
      </c>
      <c r="AY659" t="s">
        <v>74</v>
      </c>
      <c r="AZ659" t="s">
        <v>74</v>
      </c>
      <c r="BA659" t="s">
        <v>74</v>
      </c>
      <c r="BB659">
        <v>424</v>
      </c>
      <c r="BC659">
        <v>432</v>
      </c>
      <c r="BD659" t="s">
        <v>74</v>
      </c>
      <c r="BE659" t="s">
        <v>12113</v>
      </c>
      <c r="BF659" t="str">
        <f>HYPERLINK("http://dx.doi.org/10.1525/cond.2009.090008","http://dx.doi.org/10.1525/cond.2009.090008")</f>
        <v>http://dx.doi.org/10.1525/cond.2009.090008</v>
      </c>
      <c r="BG659" t="s">
        <v>74</v>
      </c>
      <c r="BH659" t="s">
        <v>74</v>
      </c>
      <c r="BI659">
        <v>9</v>
      </c>
      <c r="BJ659" t="s">
        <v>2460</v>
      </c>
      <c r="BK659" t="s">
        <v>98</v>
      </c>
      <c r="BL659" t="s">
        <v>207</v>
      </c>
      <c r="BM659" t="s">
        <v>12114</v>
      </c>
      <c r="BN659" t="s">
        <v>74</v>
      </c>
      <c r="BO659" t="s">
        <v>263</v>
      </c>
      <c r="BP659" t="s">
        <v>74</v>
      </c>
      <c r="BQ659" t="s">
        <v>74</v>
      </c>
      <c r="BR659" t="s">
        <v>101</v>
      </c>
      <c r="BS659" t="s">
        <v>12115</v>
      </c>
      <c r="BT659" t="str">
        <f>HYPERLINK("https%3A%2F%2Fwww.webofscience.com%2Fwos%2Fwoscc%2Ffull-record%2FWOS:000270854600003","View Full Record in Web of Science")</f>
        <v>View Full Record in Web of Science</v>
      </c>
    </row>
    <row r="660" spans="1:72" x14ac:dyDescent="0.15">
      <c r="A660" t="s">
        <v>72</v>
      </c>
      <c r="B660" t="s">
        <v>12116</v>
      </c>
      <c r="C660" t="s">
        <v>74</v>
      </c>
      <c r="D660" t="s">
        <v>74</v>
      </c>
      <c r="E660" t="s">
        <v>74</v>
      </c>
      <c r="F660" t="s">
        <v>12117</v>
      </c>
      <c r="G660" t="s">
        <v>74</v>
      </c>
      <c r="H660" t="s">
        <v>74</v>
      </c>
      <c r="I660" t="s">
        <v>12118</v>
      </c>
      <c r="J660" t="s">
        <v>12094</v>
      </c>
      <c r="K660" t="s">
        <v>74</v>
      </c>
      <c r="L660" t="s">
        <v>74</v>
      </c>
      <c r="M660" t="s">
        <v>78</v>
      </c>
      <c r="N660" t="s">
        <v>79</v>
      </c>
      <c r="O660" t="s">
        <v>74</v>
      </c>
      <c r="P660" t="s">
        <v>74</v>
      </c>
      <c r="Q660" t="s">
        <v>74</v>
      </c>
      <c r="R660" t="s">
        <v>74</v>
      </c>
      <c r="S660" t="s">
        <v>74</v>
      </c>
      <c r="T660" t="s">
        <v>12119</v>
      </c>
      <c r="U660" t="s">
        <v>12120</v>
      </c>
      <c r="V660" t="s">
        <v>12121</v>
      </c>
      <c r="W660" t="s">
        <v>12122</v>
      </c>
      <c r="X660" t="s">
        <v>12123</v>
      </c>
      <c r="Y660" t="s">
        <v>12124</v>
      </c>
      <c r="Z660" t="s">
        <v>12125</v>
      </c>
      <c r="AA660" t="s">
        <v>74</v>
      </c>
      <c r="AB660" t="s">
        <v>12126</v>
      </c>
      <c r="AC660" t="s">
        <v>12127</v>
      </c>
      <c r="AD660" t="s">
        <v>12127</v>
      </c>
      <c r="AE660" t="s">
        <v>12128</v>
      </c>
      <c r="AF660" t="s">
        <v>74</v>
      </c>
      <c r="AG660">
        <v>27</v>
      </c>
      <c r="AH660">
        <v>17</v>
      </c>
      <c r="AI660">
        <v>20</v>
      </c>
      <c r="AJ660">
        <v>0</v>
      </c>
      <c r="AK660">
        <v>22</v>
      </c>
      <c r="AL660" t="s">
        <v>12107</v>
      </c>
      <c r="AM660" t="s">
        <v>12108</v>
      </c>
      <c r="AN660" t="s">
        <v>12109</v>
      </c>
      <c r="AO660" t="s">
        <v>12110</v>
      </c>
      <c r="AP660" t="s">
        <v>12111</v>
      </c>
      <c r="AQ660" t="s">
        <v>74</v>
      </c>
      <c r="AR660" t="s">
        <v>12094</v>
      </c>
      <c r="AS660" t="s">
        <v>12112</v>
      </c>
      <c r="AT660" t="s">
        <v>11524</v>
      </c>
      <c r="AU660">
        <v>2009</v>
      </c>
      <c r="AV660">
        <v>111</v>
      </c>
      <c r="AW660">
        <v>3</v>
      </c>
      <c r="AX660" t="s">
        <v>74</v>
      </c>
      <c r="AY660" t="s">
        <v>74</v>
      </c>
      <c r="AZ660" t="s">
        <v>74</v>
      </c>
      <c r="BA660" t="s">
        <v>74</v>
      </c>
      <c r="BB660">
        <v>544</v>
      </c>
      <c r="BC660">
        <v>550</v>
      </c>
      <c r="BD660" t="s">
        <v>74</v>
      </c>
      <c r="BE660" t="s">
        <v>12129</v>
      </c>
      <c r="BF660" t="str">
        <f>HYPERLINK("http://dx.doi.org/10.1525/cond.2009.090083","http://dx.doi.org/10.1525/cond.2009.090083")</f>
        <v>http://dx.doi.org/10.1525/cond.2009.090083</v>
      </c>
      <c r="BG660" t="s">
        <v>74</v>
      </c>
      <c r="BH660" t="s">
        <v>74</v>
      </c>
      <c r="BI660">
        <v>7</v>
      </c>
      <c r="BJ660" t="s">
        <v>2460</v>
      </c>
      <c r="BK660" t="s">
        <v>98</v>
      </c>
      <c r="BL660" t="s">
        <v>207</v>
      </c>
      <c r="BM660" t="s">
        <v>12114</v>
      </c>
      <c r="BN660" t="s">
        <v>74</v>
      </c>
      <c r="BO660" t="s">
        <v>239</v>
      </c>
      <c r="BP660" t="s">
        <v>74</v>
      </c>
      <c r="BQ660" t="s">
        <v>74</v>
      </c>
      <c r="BR660" t="s">
        <v>101</v>
      </c>
      <c r="BS660" t="s">
        <v>12130</v>
      </c>
      <c r="BT660" t="str">
        <f>HYPERLINK("https%3A%2F%2Fwww.webofscience.com%2Fwos%2Fwoscc%2Ffull-record%2FWOS:000270854600017","View Full Record in Web of Science")</f>
        <v>View Full Record in Web of Science</v>
      </c>
    </row>
    <row r="661" spans="1:72" x14ac:dyDescent="0.15">
      <c r="A661" t="s">
        <v>72</v>
      </c>
      <c r="B661" t="s">
        <v>12131</v>
      </c>
      <c r="C661" t="s">
        <v>74</v>
      </c>
      <c r="D661" t="s">
        <v>74</v>
      </c>
      <c r="E661" t="s">
        <v>74</v>
      </c>
      <c r="F661" t="s">
        <v>12132</v>
      </c>
      <c r="G661" t="s">
        <v>74</v>
      </c>
      <c r="H661" t="s">
        <v>74</v>
      </c>
      <c r="I661" t="s">
        <v>12133</v>
      </c>
      <c r="J661" t="s">
        <v>12134</v>
      </c>
      <c r="K661" t="s">
        <v>74</v>
      </c>
      <c r="L661" t="s">
        <v>74</v>
      </c>
      <c r="M661" t="s">
        <v>78</v>
      </c>
      <c r="N661" t="s">
        <v>79</v>
      </c>
      <c r="O661" t="s">
        <v>74</v>
      </c>
      <c r="P661" t="s">
        <v>74</v>
      </c>
      <c r="Q661" t="s">
        <v>74</v>
      </c>
      <c r="R661" t="s">
        <v>74</v>
      </c>
      <c r="S661" t="s">
        <v>74</v>
      </c>
      <c r="T661" t="s">
        <v>12135</v>
      </c>
      <c r="U661" t="s">
        <v>12136</v>
      </c>
      <c r="V661" t="s">
        <v>12137</v>
      </c>
      <c r="W661" t="s">
        <v>12138</v>
      </c>
      <c r="X661" t="s">
        <v>9529</v>
      </c>
      <c r="Y661" t="s">
        <v>12139</v>
      </c>
      <c r="Z661" t="s">
        <v>12140</v>
      </c>
      <c r="AA661" t="s">
        <v>12141</v>
      </c>
      <c r="AB661" t="s">
        <v>12142</v>
      </c>
      <c r="AC661" t="s">
        <v>12143</v>
      </c>
      <c r="AD661" t="s">
        <v>12144</v>
      </c>
      <c r="AE661" t="s">
        <v>12145</v>
      </c>
      <c r="AF661" t="s">
        <v>74</v>
      </c>
      <c r="AG661">
        <v>20</v>
      </c>
      <c r="AH661">
        <v>13</v>
      </c>
      <c r="AI661">
        <v>13</v>
      </c>
      <c r="AJ661">
        <v>0</v>
      </c>
      <c r="AK661">
        <v>12</v>
      </c>
      <c r="AL661" t="s">
        <v>1850</v>
      </c>
      <c r="AM661" t="s">
        <v>1851</v>
      </c>
      <c r="AN661" t="s">
        <v>1852</v>
      </c>
      <c r="AO661" t="s">
        <v>12146</v>
      </c>
      <c r="AP661" t="s">
        <v>12147</v>
      </c>
      <c r="AQ661" t="s">
        <v>74</v>
      </c>
      <c r="AR661" t="s">
        <v>12148</v>
      </c>
      <c r="AS661" t="s">
        <v>12149</v>
      </c>
      <c r="AT661" t="s">
        <v>11524</v>
      </c>
      <c r="AU661">
        <v>2009</v>
      </c>
      <c r="AV661">
        <v>10</v>
      </c>
      <c r="AW661">
        <v>4</v>
      </c>
      <c r="AX661" t="s">
        <v>74</v>
      </c>
      <c r="AY661" t="s">
        <v>74</v>
      </c>
      <c r="AZ661" t="s">
        <v>74</v>
      </c>
      <c r="BA661" t="s">
        <v>74</v>
      </c>
      <c r="BB661">
        <v>989</v>
      </c>
      <c r="BC661">
        <v>992</v>
      </c>
      <c r="BD661" t="s">
        <v>74</v>
      </c>
      <c r="BE661" t="s">
        <v>12150</v>
      </c>
      <c r="BF661" t="str">
        <f>HYPERLINK("http://dx.doi.org/10.1007/s10592-008-9669-z","http://dx.doi.org/10.1007/s10592-008-9669-z")</f>
        <v>http://dx.doi.org/10.1007/s10592-008-9669-z</v>
      </c>
      <c r="BG661" t="s">
        <v>74</v>
      </c>
      <c r="BH661" t="s">
        <v>74</v>
      </c>
      <c r="BI661">
        <v>4</v>
      </c>
      <c r="BJ661" t="s">
        <v>1858</v>
      </c>
      <c r="BK661" t="s">
        <v>98</v>
      </c>
      <c r="BL661" t="s">
        <v>1859</v>
      </c>
      <c r="BM661" t="s">
        <v>12151</v>
      </c>
      <c r="BN661" t="s">
        <v>74</v>
      </c>
      <c r="BO661" t="s">
        <v>74</v>
      </c>
      <c r="BP661" t="s">
        <v>74</v>
      </c>
      <c r="BQ661" t="s">
        <v>74</v>
      </c>
      <c r="BR661" t="s">
        <v>101</v>
      </c>
      <c r="BS661" t="s">
        <v>12152</v>
      </c>
      <c r="BT661" t="str">
        <f>HYPERLINK("https%3A%2F%2Fwww.webofscience.com%2Fwos%2Fwoscc%2Ffull-record%2FWOS:000267104000019","View Full Record in Web of Science")</f>
        <v>View Full Record in Web of Science</v>
      </c>
    </row>
    <row r="662" spans="1:72" x14ac:dyDescent="0.15">
      <c r="A662" t="s">
        <v>72</v>
      </c>
      <c r="B662" t="s">
        <v>12153</v>
      </c>
      <c r="C662" t="s">
        <v>74</v>
      </c>
      <c r="D662" t="s">
        <v>74</v>
      </c>
      <c r="E662" t="s">
        <v>74</v>
      </c>
      <c r="F662" t="s">
        <v>12154</v>
      </c>
      <c r="G662" t="s">
        <v>74</v>
      </c>
      <c r="H662" t="s">
        <v>74</v>
      </c>
      <c r="I662" t="s">
        <v>12155</v>
      </c>
      <c r="J662" t="s">
        <v>1881</v>
      </c>
      <c r="K662" t="s">
        <v>74</v>
      </c>
      <c r="L662" t="s">
        <v>74</v>
      </c>
      <c r="M662" t="s">
        <v>78</v>
      </c>
      <c r="N662" t="s">
        <v>79</v>
      </c>
      <c r="O662" t="s">
        <v>74</v>
      </c>
      <c r="P662" t="s">
        <v>74</v>
      </c>
      <c r="Q662" t="s">
        <v>74</v>
      </c>
      <c r="R662" t="s">
        <v>74</v>
      </c>
      <c r="S662" t="s">
        <v>74</v>
      </c>
      <c r="T662" t="s">
        <v>12156</v>
      </c>
      <c r="U662" t="s">
        <v>12157</v>
      </c>
      <c r="V662" t="s">
        <v>12158</v>
      </c>
      <c r="W662" t="s">
        <v>12159</v>
      </c>
      <c r="X662" t="s">
        <v>12160</v>
      </c>
      <c r="Y662" t="s">
        <v>12161</v>
      </c>
      <c r="Z662" t="s">
        <v>7230</v>
      </c>
      <c r="AA662" t="s">
        <v>74</v>
      </c>
      <c r="AB662" t="s">
        <v>74</v>
      </c>
      <c r="AC662" t="s">
        <v>12162</v>
      </c>
      <c r="AD662" t="s">
        <v>12163</v>
      </c>
      <c r="AE662" t="s">
        <v>12164</v>
      </c>
      <c r="AF662" t="s">
        <v>74</v>
      </c>
      <c r="AG662">
        <v>63</v>
      </c>
      <c r="AH662">
        <v>45</v>
      </c>
      <c r="AI662">
        <v>47</v>
      </c>
      <c r="AJ662">
        <v>1</v>
      </c>
      <c r="AK662">
        <v>11</v>
      </c>
      <c r="AL662" t="s">
        <v>1894</v>
      </c>
      <c r="AM662" t="s">
        <v>1895</v>
      </c>
      <c r="AN662" t="s">
        <v>1896</v>
      </c>
      <c r="AO662" t="s">
        <v>1897</v>
      </c>
      <c r="AP662" t="s">
        <v>1898</v>
      </c>
      <c r="AQ662" t="s">
        <v>74</v>
      </c>
      <c r="AR662" t="s">
        <v>1899</v>
      </c>
      <c r="AS662" t="s">
        <v>1900</v>
      </c>
      <c r="AT662" t="s">
        <v>11524</v>
      </c>
      <c r="AU662">
        <v>2009</v>
      </c>
      <c r="AV662">
        <v>56</v>
      </c>
      <c r="AW662">
        <v>8</v>
      </c>
      <c r="AX662" t="s">
        <v>74</v>
      </c>
      <c r="AY662" t="s">
        <v>74</v>
      </c>
      <c r="AZ662" t="s">
        <v>74</v>
      </c>
      <c r="BA662" t="s">
        <v>74</v>
      </c>
      <c r="BB662">
        <v>1230</v>
      </c>
      <c r="BC662">
        <v>1241</v>
      </c>
      <c r="BD662" t="s">
        <v>74</v>
      </c>
      <c r="BE662" t="s">
        <v>12165</v>
      </c>
      <c r="BF662" t="str">
        <f>HYPERLINK("http://dx.doi.org/10.1016/j.dsr.2009.01.010","http://dx.doi.org/10.1016/j.dsr.2009.01.010")</f>
        <v>http://dx.doi.org/10.1016/j.dsr.2009.01.010</v>
      </c>
      <c r="BG662" t="s">
        <v>74</v>
      </c>
      <c r="BH662" t="s">
        <v>74</v>
      </c>
      <c r="BI662">
        <v>12</v>
      </c>
      <c r="BJ662" t="s">
        <v>806</v>
      </c>
      <c r="BK662" t="s">
        <v>98</v>
      </c>
      <c r="BL662" t="s">
        <v>806</v>
      </c>
      <c r="BM662" t="s">
        <v>12166</v>
      </c>
      <c r="BN662" t="s">
        <v>74</v>
      </c>
      <c r="BO662" t="s">
        <v>74</v>
      </c>
      <c r="BP662" t="s">
        <v>74</v>
      </c>
      <c r="BQ662" t="s">
        <v>74</v>
      </c>
      <c r="BR662" t="s">
        <v>101</v>
      </c>
      <c r="BS662" t="s">
        <v>12167</v>
      </c>
      <c r="BT662" t="str">
        <f>HYPERLINK("https%3A%2F%2Fwww.webofscience.com%2Fwos%2Fwoscc%2Ffull-record%2FWOS:000268088700003","View Full Record in Web of Science")</f>
        <v>View Full Record in Web of Science</v>
      </c>
    </row>
    <row r="663" spans="1:72" x14ac:dyDescent="0.15">
      <c r="A663" t="s">
        <v>72</v>
      </c>
      <c r="B663" t="s">
        <v>12168</v>
      </c>
      <c r="C663" t="s">
        <v>74</v>
      </c>
      <c r="D663" t="s">
        <v>74</v>
      </c>
      <c r="E663" t="s">
        <v>74</v>
      </c>
      <c r="F663" t="s">
        <v>12169</v>
      </c>
      <c r="G663" t="s">
        <v>74</v>
      </c>
      <c r="H663" t="s">
        <v>74</v>
      </c>
      <c r="I663" t="s">
        <v>12170</v>
      </c>
      <c r="J663" t="s">
        <v>7469</v>
      </c>
      <c r="K663" t="s">
        <v>74</v>
      </c>
      <c r="L663" t="s">
        <v>74</v>
      </c>
      <c r="M663" t="s">
        <v>78</v>
      </c>
      <c r="N663" t="s">
        <v>79</v>
      </c>
      <c r="O663" t="s">
        <v>74</v>
      </c>
      <c r="P663" t="s">
        <v>74</v>
      </c>
      <c r="Q663" t="s">
        <v>74</v>
      </c>
      <c r="R663" t="s">
        <v>74</v>
      </c>
      <c r="S663" t="s">
        <v>74</v>
      </c>
      <c r="T663" t="s">
        <v>12171</v>
      </c>
      <c r="U663" t="s">
        <v>12172</v>
      </c>
      <c r="V663" t="s">
        <v>12173</v>
      </c>
      <c r="W663" t="s">
        <v>12174</v>
      </c>
      <c r="X663" t="s">
        <v>12175</v>
      </c>
      <c r="Y663" t="s">
        <v>12176</v>
      </c>
      <c r="Z663" t="s">
        <v>12177</v>
      </c>
      <c r="AA663" t="s">
        <v>12178</v>
      </c>
      <c r="AB663" t="s">
        <v>74</v>
      </c>
      <c r="AC663" t="s">
        <v>12179</v>
      </c>
      <c r="AD663" t="s">
        <v>12180</v>
      </c>
      <c r="AE663" t="s">
        <v>12181</v>
      </c>
      <c r="AF663" t="s">
        <v>74</v>
      </c>
      <c r="AG663">
        <v>57</v>
      </c>
      <c r="AH663">
        <v>22</v>
      </c>
      <c r="AI663">
        <v>23</v>
      </c>
      <c r="AJ663">
        <v>0</v>
      </c>
      <c r="AK663">
        <v>15</v>
      </c>
      <c r="AL663" t="s">
        <v>1894</v>
      </c>
      <c r="AM663" t="s">
        <v>1895</v>
      </c>
      <c r="AN663" t="s">
        <v>1896</v>
      </c>
      <c r="AO663" t="s">
        <v>7482</v>
      </c>
      <c r="AP663" t="s">
        <v>7483</v>
      </c>
      <c r="AQ663" t="s">
        <v>74</v>
      </c>
      <c r="AR663" t="s">
        <v>7484</v>
      </c>
      <c r="AS663" t="s">
        <v>7485</v>
      </c>
      <c r="AT663" t="s">
        <v>11687</v>
      </c>
      <c r="AU663">
        <v>2009</v>
      </c>
      <c r="AV663">
        <v>56</v>
      </c>
      <c r="AW663">
        <v>17</v>
      </c>
      <c r="AX663" t="s">
        <v>74</v>
      </c>
      <c r="AY663" t="s">
        <v>74</v>
      </c>
      <c r="AZ663" t="s">
        <v>74</v>
      </c>
      <c r="BA663" t="s">
        <v>74</v>
      </c>
      <c r="BB663">
        <v>1182</v>
      </c>
      <c r="BC663">
        <v>1200</v>
      </c>
      <c r="BD663" t="s">
        <v>74</v>
      </c>
      <c r="BE663" t="s">
        <v>12182</v>
      </c>
      <c r="BF663" t="str">
        <f>HYPERLINK("http://dx.doi.org/10.1016/j.dsr2.2008.10.015","http://dx.doi.org/10.1016/j.dsr2.2008.10.015")</f>
        <v>http://dx.doi.org/10.1016/j.dsr2.2008.10.015</v>
      </c>
      <c r="BG663" t="s">
        <v>74</v>
      </c>
      <c r="BH663" t="s">
        <v>74</v>
      </c>
      <c r="BI663">
        <v>19</v>
      </c>
      <c r="BJ663" t="s">
        <v>806</v>
      </c>
      <c r="BK663" t="s">
        <v>98</v>
      </c>
      <c r="BL663" t="s">
        <v>806</v>
      </c>
      <c r="BM663" t="s">
        <v>12183</v>
      </c>
      <c r="BN663" t="s">
        <v>74</v>
      </c>
      <c r="BO663" t="s">
        <v>1119</v>
      </c>
      <c r="BP663" t="s">
        <v>74</v>
      </c>
      <c r="BQ663" t="s">
        <v>74</v>
      </c>
      <c r="BR663" t="s">
        <v>101</v>
      </c>
      <c r="BS663" t="s">
        <v>12184</v>
      </c>
      <c r="BT663" t="str">
        <f>HYPERLINK("https%3A%2F%2Fwww.webofscience.com%2Fwos%2Fwoscc%2Ffull-record%2FWOS:000267878200004","View Full Record in Web of Science")</f>
        <v>View Full Record in Web of Science</v>
      </c>
    </row>
    <row r="664" spans="1:72" x14ac:dyDescent="0.15">
      <c r="A664" t="s">
        <v>72</v>
      </c>
      <c r="B664" t="s">
        <v>12185</v>
      </c>
      <c r="C664" t="s">
        <v>74</v>
      </c>
      <c r="D664" t="s">
        <v>74</v>
      </c>
      <c r="E664" t="s">
        <v>74</v>
      </c>
      <c r="F664" t="s">
        <v>12186</v>
      </c>
      <c r="G664" t="s">
        <v>74</v>
      </c>
      <c r="H664" t="s">
        <v>74</v>
      </c>
      <c r="I664" t="s">
        <v>12187</v>
      </c>
      <c r="J664" t="s">
        <v>12188</v>
      </c>
      <c r="K664" t="s">
        <v>74</v>
      </c>
      <c r="L664" t="s">
        <v>74</v>
      </c>
      <c r="M664" t="s">
        <v>78</v>
      </c>
      <c r="N664" t="s">
        <v>79</v>
      </c>
      <c r="O664" t="s">
        <v>74</v>
      </c>
      <c r="P664" t="s">
        <v>74</v>
      </c>
      <c r="Q664" t="s">
        <v>74</v>
      </c>
      <c r="R664" t="s">
        <v>74</v>
      </c>
      <c r="S664" t="s">
        <v>74</v>
      </c>
      <c r="T664" t="s">
        <v>12189</v>
      </c>
      <c r="U664" t="s">
        <v>74</v>
      </c>
      <c r="V664" t="s">
        <v>12190</v>
      </c>
      <c r="W664" t="s">
        <v>12191</v>
      </c>
      <c r="X664" t="s">
        <v>12192</v>
      </c>
      <c r="Y664" t="s">
        <v>12193</v>
      </c>
      <c r="Z664" t="s">
        <v>12194</v>
      </c>
      <c r="AA664" t="s">
        <v>12195</v>
      </c>
      <c r="AB664" t="s">
        <v>12196</v>
      </c>
      <c r="AC664" t="s">
        <v>12197</v>
      </c>
      <c r="AD664" t="s">
        <v>12198</v>
      </c>
      <c r="AE664" t="s">
        <v>12199</v>
      </c>
      <c r="AF664" t="s">
        <v>74</v>
      </c>
      <c r="AG664">
        <v>12</v>
      </c>
      <c r="AH664">
        <v>4</v>
      </c>
      <c r="AI664">
        <v>4</v>
      </c>
      <c r="AJ664">
        <v>4</v>
      </c>
      <c r="AK664">
        <v>12</v>
      </c>
      <c r="AL664" t="s">
        <v>1184</v>
      </c>
      <c r="AM664" t="s">
        <v>1185</v>
      </c>
      <c r="AN664" t="s">
        <v>1186</v>
      </c>
      <c r="AO664" t="s">
        <v>12200</v>
      </c>
      <c r="AP664" t="s">
        <v>12201</v>
      </c>
      <c r="AQ664" t="s">
        <v>74</v>
      </c>
      <c r="AR664" t="s">
        <v>12202</v>
      </c>
      <c r="AS664" t="s">
        <v>12203</v>
      </c>
      <c r="AT664" t="s">
        <v>11524</v>
      </c>
      <c r="AU664">
        <v>2009</v>
      </c>
      <c r="AV664">
        <v>34</v>
      </c>
      <c r="AW664">
        <v>10</v>
      </c>
      <c r="AX664" t="s">
        <v>74</v>
      </c>
      <c r="AY664" t="s">
        <v>74</v>
      </c>
      <c r="AZ664" t="s">
        <v>74</v>
      </c>
      <c r="BA664" t="s">
        <v>74</v>
      </c>
      <c r="BB664">
        <v>1446</v>
      </c>
      <c r="BC664">
        <v>1449</v>
      </c>
      <c r="BD664" t="s">
        <v>74</v>
      </c>
      <c r="BE664" t="s">
        <v>12204</v>
      </c>
      <c r="BF664" t="str">
        <f>HYPERLINK("http://dx.doi.org/10.1002/esp.1823","http://dx.doi.org/10.1002/esp.1823")</f>
        <v>http://dx.doi.org/10.1002/esp.1823</v>
      </c>
      <c r="BG664" t="s">
        <v>74</v>
      </c>
      <c r="BH664" t="s">
        <v>74</v>
      </c>
      <c r="BI664">
        <v>4</v>
      </c>
      <c r="BJ664" t="s">
        <v>2121</v>
      </c>
      <c r="BK664" t="s">
        <v>98</v>
      </c>
      <c r="BL664" t="s">
        <v>2122</v>
      </c>
      <c r="BM664" t="s">
        <v>12205</v>
      </c>
      <c r="BN664" t="s">
        <v>74</v>
      </c>
      <c r="BO664" t="s">
        <v>74</v>
      </c>
      <c r="BP664" t="s">
        <v>74</v>
      </c>
      <c r="BQ664" t="s">
        <v>74</v>
      </c>
      <c r="BR664" t="s">
        <v>101</v>
      </c>
      <c r="BS664" t="s">
        <v>12206</v>
      </c>
      <c r="BT664" t="str">
        <f>HYPERLINK("https%3A%2F%2Fwww.webofscience.com%2Fwos%2Fwoscc%2Ffull-record%2FWOS:000268953600011","View Full Record in Web of Science")</f>
        <v>View Full Record in Web of Science</v>
      </c>
    </row>
    <row r="665" spans="1:72" x14ac:dyDescent="0.15">
      <c r="A665" t="s">
        <v>72</v>
      </c>
      <c r="B665" t="s">
        <v>12207</v>
      </c>
      <c r="C665" t="s">
        <v>74</v>
      </c>
      <c r="D665" t="s">
        <v>74</v>
      </c>
      <c r="E665" t="s">
        <v>74</v>
      </c>
      <c r="F665" t="s">
        <v>12208</v>
      </c>
      <c r="G665" t="s">
        <v>74</v>
      </c>
      <c r="H665" t="s">
        <v>74</v>
      </c>
      <c r="I665" t="s">
        <v>12209</v>
      </c>
      <c r="J665" t="s">
        <v>1942</v>
      </c>
      <c r="K665" t="s">
        <v>74</v>
      </c>
      <c r="L665" t="s">
        <v>74</v>
      </c>
      <c r="M665" t="s">
        <v>78</v>
      </c>
      <c r="N665" t="s">
        <v>79</v>
      </c>
      <c r="O665" t="s">
        <v>74</v>
      </c>
      <c r="P665" t="s">
        <v>74</v>
      </c>
      <c r="Q665" t="s">
        <v>74</v>
      </c>
      <c r="R665" t="s">
        <v>74</v>
      </c>
      <c r="S665" t="s">
        <v>74</v>
      </c>
      <c r="T665" t="s">
        <v>74</v>
      </c>
      <c r="U665" t="s">
        <v>12210</v>
      </c>
      <c r="V665" t="s">
        <v>12211</v>
      </c>
      <c r="W665" t="s">
        <v>12212</v>
      </c>
      <c r="X665" t="s">
        <v>12213</v>
      </c>
      <c r="Y665" t="s">
        <v>12214</v>
      </c>
      <c r="Z665" t="s">
        <v>12215</v>
      </c>
      <c r="AA665" t="s">
        <v>74</v>
      </c>
      <c r="AB665" t="s">
        <v>12216</v>
      </c>
      <c r="AC665" t="s">
        <v>12217</v>
      </c>
      <c r="AD665" t="s">
        <v>1395</v>
      </c>
      <c r="AE665" t="s">
        <v>12218</v>
      </c>
      <c r="AF665" t="s">
        <v>74</v>
      </c>
      <c r="AG665">
        <v>46</v>
      </c>
      <c r="AH665">
        <v>73</v>
      </c>
      <c r="AI665">
        <v>79</v>
      </c>
      <c r="AJ665">
        <v>0</v>
      </c>
      <c r="AK665">
        <v>22</v>
      </c>
      <c r="AL665" t="s">
        <v>1184</v>
      </c>
      <c r="AM665" t="s">
        <v>1185</v>
      </c>
      <c r="AN665" t="s">
        <v>1186</v>
      </c>
      <c r="AO665" t="s">
        <v>1953</v>
      </c>
      <c r="AP665" t="s">
        <v>1954</v>
      </c>
      <c r="AQ665" t="s">
        <v>74</v>
      </c>
      <c r="AR665" t="s">
        <v>1955</v>
      </c>
      <c r="AS665" t="s">
        <v>1956</v>
      </c>
      <c r="AT665" t="s">
        <v>11524</v>
      </c>
      <c r="AU665">
        <v>2009</v>
      </c>
      <c r="AV665">
        <v>11</v>
      </c>
      <c r="AW665">
        <v>8</v>
      </c>
      <c r="AX665" t="s">
        <v>74</v>
      </c>
      <c r="AY665" t="s">
        <v>74</v>
      </c>
      <c r="AZ665" t="s">
        <v>74</v>
      </c>
      <c r="BA665" t="s">
        <v>74</v>
      </c>
      <c r="BB665">
        <v>2164</v>
      </c>
      <c r="BC665">
        <v>2178</v>
      </c>
      <c r="BD665" t="s">
        <v>74</v>
      </c>
      <c r="BE665" t="s">
        <v>12219</v>
      </c>
      <c r="BF665" t="str">
        <f>HYPERLINK("http://dx.doi.org/10.1111/j.1462-2920.2009.01942.x","http://dx.doi.org/10.1111/j.1462-2920.2009.01942.x")</f>
        <v>http://dx.doi.org/10.1111/j.1462-2920.2009.01942.x</v>
      </c>
      <c r="BG665" t="s">
        <v>74</v>
      </c>
      <c r="BH665" t="s">
        <v>74</v>
      </c>
      <c r="BI665">
        <v>15</v>
      </c>
      <c r="BJ665" t="s">
        <v>1958</v>
      </c>
      <c r="BK665" t="s">
        <v>98</v>
      </c>
      <c r="BL665" t="s">
        <v>1958</v>
      </c>
      <c r="BM665" t="s">
        <v>12220</v>
      </c>
      <c r="BN665">
        <v>19689707</v>
      </c>
      <c r="BO665" t="s">
        <v>74</v>
      </c>
      <c r="BP665" t="s">
        <v>74</v>
      </c>
      <c r="BQ665" t="s">
        <v>74</v>
      </c>
      <c r="BR665" t="s">
        <v>101</v>
      </c>
      <c r="BS665" t="s">
        <v>12221</v>
      </c>
      <c r="BT665" t="str">
        <f>HYPERLINK("https%3A%2F%2Fwww.webofscience.com%2Fwos%2Fwoscc%2Ffull-record%2FWOS:000268655000020","View Full Record in Web of Science")</f>
        <v>View Full Record in Web of Science</v>
      </c>
    </row>
    <row r="666" spans="1:72" x14ac:dyDescent="0.15">
      <c r="A666" t="s">
        <v>72</v>
      </c>
      <c r="B666" t="s">
        <v>12222</v>
      </c>
      <c r="C666" t="s">
        <v>74</v>
      </c>
      <c r="D666" t="s">
        <v>74</v>
      </c>
      <c r="E666" t="s">
        <v>74</v>
      </c>
      <c r="F666" t="s">
        <v>12223</v>
      </c>
      <c r="G666" t="s">
        <v>74</v>
      </c>
      <c r="H666" t="s">
        <v>74</v>
      </c>
      <c r="I666" t="s">
        <v>12224</v>
      </c>
      <c r="J666" t="s">
        <v>12225</v>
      </c>
      <c r="K666" t="s">
        <v>74</v>
      </c>
      <c r="L666" t="s">
        <v>74</v>
      </c>
      <c r="M666" t="s">
        <v>78</v>
      </c>
      <c r="N666" t="s">
        <v>297</v>
      </c>
      <c r="O666" t="s">
        <v>74</v>
      </c>
      <c r="P666" t="s">
        <v>74</v>
      </c>
      <c r="Q666" t="s">
        <v>74</v>
      </c>
      <c r="R666" t="s">
        <v>74</v>
      </c>
      <c r="S666" t="s">
        <v>74</v>
      </c>
      <c r="T666" t="s">
        <v>12226</v>
      </c>
      <c r="U666" t="s">
        <v>12227</v>
      </c>
      <c r="V666" t="s">
        <v>12228</v>
      </c>
      <c r="W666" t="s">
        <v>12229</v>
      </c>
      <c r="X666" t="s">
        <v>12230</v>
      </c>
      <c r="Y666" t="s">
        <v>12231</v>
      </c>
      <c r="Z666" t="s">
        <v>12232</v>
      </c>
      <c r="AA666" t="s">
        <v>12233</v>
      </c>
      <c r="AB666" t="s">
        <v>5123</v>
      </c>
      <c r="AC666" t="s">
        <v>12234</v>
      </c>
      <c r="AD666" t="s">
        <v>12235</v>
      </c>
      <c r="AE666" t="s">
        <v>12236</v>
      </c>
      <c r="AF666" t="s">
        <v>74</v>
      </c>
      <c r="AG666">
        <v>120</v>
      </c>
      <c r="AH666">
        <v>112</v>
      </c>
      <c r="AI666">
        <v>125</v>
      </c>
      <c r="AJ666">
        <v>5</v>
      </c>
      <c r="AK666">
        <v>68</v>
      </c>
      <c r="AL666" t="s">
        <v>2171</v>
      </c>
      <c r="AM666" t="s">
        <v>1895</v>
      </c>
      <c r="AN666" t="s">
        <v>2172</v>
      </c>
      <c r="AO666" t="s">
        <v>12237</v>
      </c>
      <c r="AP666" t="s">
        <v>12238</v>
      </c>
      <c r="AQ666" t="s">
        <v>74</v>
      </c>
      <c r="AR666" t="s">
        <v>12239</v>
      </c>
      <c r="AS666" t="s">
        <v>12240</v>
      </c>
      <c r="AT666" t="s">
        <v>11524</v>
      </c>
      <c r="AU666">
        <v>2009</v>
      </c>
      <c r="AV666">
        <v>69</v>
      </c>
      <c r="AW666">
        <v>2</v>
      </c>
      <c r="AX666" t="s">
        <v>74</v>
      </c>
      <c r="AY666" t="s">
        <v>74</v>
      </c>
      <c r="AZ666" t="s">
        <v>74</v>
      </c>
      <c r="BA666" t="s">
        <v>74</v>
      </c>
      <c r="BB666">
        <v>143</v>
      </c>
      <c r="BC666">
        <v>157</v>
      </c>
      <c r="BD666" t="s">
        <v>74</v>
      </c>
      <c r="BE666" t="s">
        <v>12241</v>
      </c>
      <c r="BF666" t="str">
        <f>HYPERLINK("http://dx.doi.org/10.1111/j.1574-6941.2009.00706.x","http://dx.doi.org/10.1111/j.1574-6941.2009.00706.x")</f>
        <v>http://dx.doi.org/10.1111/j.1574-6941.2009.00706.x</v>
      </c>
      <c r="BG666" t="s">
        <v>74</v>
      </c>
      <c r="BH666" t="s">
        <v>74</v>
      </c>
      <c r="BI666">
        <v>15</v>
      </c>
      <c r="BJ666" t="s">
        <v>1958</v>
      </c>
      <c r="BK666" t="s">
        <v>98</v>
      </c>
      <c r="BL666" t="s">
        <v>1958</v>
      </c>
      <c r="BM666" t="s">
        <v>12242</v>
      </c>
      <c r="BN666">
        <v>19527292</v>
      </c>
      <c r="BO666" t="s">
        <v>74</v>
      </c>
      <c r="BP666" t="s">
        <v>74</v>
      </c>
      <c r="BQ666" t="s">
        <v>74</v>
      </c>
      <c r="BR666" t="s">
        <v>101</v>
      </c>
      <c r="BS666" t="s">
        <v>12243</v>
      </c>
      <c r="BT666" t="str">
        <f>HYPERLINK("https%3A%2F%2Fwww.webofscience.com%2Fwos%2Fwoscc%2Ffull-record%2FWOS:000267751000001","View Full Record in Web of Science")</f>
        <v>View Full Record in Web of Science</v>
      </c>
    </row>
    <row r="667" spans="1:72" x14ac:dyDescent="0.15">
      <c r="A667" t="s">
        <v>72</v>
      </c>
      <c r="B667" t="s">
        <v>12244</v>
      </c>
      <c r="C667" t="s">
        <v>74</v>
      </c>
      <c r="D667" t="s">
        <v>74</v>
      </c>
      <c r="E667" t="s">
        <v>74</v>
      </c>
      <c r="F667" t="s">
        <v>12245</v>
      </c>
      <c r="G667" t="s">
        <v>74</v>
      </c>
      <c r="H667" t="s">
        <v>74</v>
      </c>
      <c r="I667" t="s">
        <v>12246</v>
      </c>
      <c r="J667" t="s">
        <v>12247</v>
      </c>
      <c r="K667" t="s">
        <v>74</v>
      </c>
      <c r="L667" t="s">
        <v>74</v>
      </c>
      <c r="M667" t="s">
        <v>78</v>
      </c>
      <c r="N667" t="s">
        <v>79</v>
      </c>
      <c r="O667" t="s">
        <v>74</v>
      </c>
      <c r="P667" t="s">
        <v>74</v>
      </c>
      <c r="Q667" t="s">
        <v>74</v>
      </c>
      <c r="R667" t="s">
        <v>74</v>
      </c>
      <c r="S667" t="s">
        <v>74</v>
      </c>
      <c r="T667" t="s">
        <v>12248</v>
      </c>
      <c r="U667" t="s">
        <v>12249</v>
      </c>
      <c r="V667" t="s">
        <v>12250</v>
      </c>
      <c r="W667" t="s">
        <v>12251</v>
      </c>
      <c r="X667" t="s">
        <v>12252</v>
      </c>
      <c r="Y667" t="s">
        <v>12253</v>
      </c>
      <c r="Z667" t="s">
        <v>12254</v>
      </c>
      <c r="AA667" t="s">
        <v>74</v>
      </c>
      <c r="AB667" t="s">
        <v>74</v>
      </c>
      <c r="AC667" t="s">
        <v>12255</v>
      </c>
      <c r="AD667" t="s">
        <v>12256</v>
      </c>
      <c r="AE667" t="s">
        <v>12257</v>
      </c>
      <c r="AF667" t="s">
        <v>74</v>
      </c>
      <c r="AG667">
        <v>28</v>
      </c>
      <c r="AH667">
        <v>8</v>
      </c>
      <c r="AI667">
        <v>8</v>
      </c>
      <c r="AJ667">
        <v>1</v>
      </c>
      <c r="AK667">
        <v>8</v>
      </c>
      <c r="AL667" t="s">
        <v>1850</v>
      </c>
      <c r="AM667" t="s">
        <v>1851</v>
      </c>
      <c r="AN667" t="s">
        <v>1852</v>
      </c>
      <c r="AO667" t="s">
        <v>12258</v>
      </c>
      <c r="AP667" t="s">
        <v>12259</v>
      </c>
      <c r="AQ667" t="s">
        <v>74</v>
      </c>
      <c r="AR667" t="s">
        <v>12260</v>
      </c>
      <c r="AS667" t="s">
        <v>12261</v>
      </c>
      <c r="AT667" t="s">
        <v>11524</v>
      </c>
      <c r="AU667">
        <v>2009</v>
      </c>
      <c r="AV667">
        <v>35</v>
      </c>
      <c r="AW667">
        <v>3</v>
      </c>
      <c r="AX667" t="s">
        <v>74</v>
      </c>
      <c r="AY667" t="s">
        <v>74</v>
      </c>
      <c r="AZ667" t="s">
        <v>74</v>
      </c>
      <c r="BA667" t="s">
        <v>74</v>
      </c>
      <c r="BB667">
        <v>317</v>
      </c>
      <c r="BC667">
        <v>323</v>
      </c>
      <c r="BD667" t="s">
        <v>74</v>
      </c>
      <c r="BE667" t="s">
        <v>12262</v>
      </c>
      <c r="BF667" t="str">
        <f>HYPERLINK("http://dx.doi.org/10.1007/s10695-008-9216-3","http://dx.doi.org/10.1007/s10695-008-9216-3")</f>
        <v>http://dx.doi.org/10.1007/s10695-008-9216-3</v>
      </c>
      <c r="BG667" t="s">
        <v>74</v>
      </c>
      <c r="BH667" t="s">
        <v>74</v>
      </c>
      <c r="BI667">
        <v>7</v>
      </c>
      <c r="BJ667" t="s">
        <v>12263</v>
      </c>
      <c r="BK667" t="s">
        <v>98</v>
      </c>
      <c r="BL667" t="s">
        <v>12263</v>
      </c>
      <c r="BM667" t="s">
        <v>12264</v>
      </c>
      <c r="BN667">
        <v>19578938</v>
      </c>
      <c r="BO667" t="s">
        <v>74</v>
      </c>
      <c r="BP667" t="s">
        <v>74</v>
      </c>
      <c r="BQ667" t="s">
        <v>74</v>
      </c>
      <c r="BR667" t="s">
        <v>101</v>
      </c>
      <c r="BS667" t="s">
        <v>12265</v>
      </c>
      <c r="BT667" t="str">
        <f>HYPERLINK("https%3A%2F%2Fwww.webofscience.com%2Fwos%2Fwoscc%2Ffull-record%2FWOS:000267681000001","View Full Record in Web of Science")</f>
        <v>View Full Record in Web of Science</v>
      </c>
    </row>
    <row r="668" spans="1:72" x14ac:dyDescent="0.15">
      <c r="A668" t="s">
        <v>72</v>
      </c>
      <c r="B668" t="s">
        <v>12266</v>
      </c>
      <c r="C668" t="s">
        <v>74</v>
      </c>
      <c r="D668" t="s">
        <v>74</v>
      </c>
      <c r="E668" t="s">
        <v>74</v>
      </c>
      <c r="F668" t="s">
        <v>12267</v>
      </c>
      <c r="G668" t="s">
        <v>74</v>
      </c>
      <c r="H668" t="s">
        <v>74</v>
      </c>
      <c r="I668" t="s">
        <v>12268</v>
      </c>
      <c r="J668" t="s">
        <v>12269</v>
      </c>
      <c r="K668" t="s">
        <v>74</v>
      </c>
      <c r="L668" t="s">
        <v>74</v>
      </c>
      <c r="M668" t="s">
        <v>78</v>
      </c>
      <c r="N668" t="s">
        <v>79</v>
      </c>
      <c r="O668" t="s">
        <v>74</v>
      </c>
      <c r="P668" t="s">
        <v>74</v>
      </c>
      <c r="Q668" t="s">
        <v>74</v>
      </c>
      <c r="R668" t="s">
        <v>74</v>
      </c>
      <c r="S668" t="s">
        <v>74</v>
      </c>
      <c r="T668" t="s">
        <v>12270</v>
      </c>
      <c r="U668" t="s">
        <v>12271</v>
      </c>
      <c r="V668" t="s">
        <v>12272</v>
      </c>
      <c r="W668" t="s">
        <v>12273</v>
      </c>
      <c r="X668" t="s">
        <v>12274</v>
      </c>
      <c r="Y668" t="s">
        <v>12275</v>
      </c>
      <c r="Z668" t="s">
        <v>12276</v>
      </c>
      <c r="AA668" t="s">
        <v>74</v>
      </c>
      <c r="AB668" t="s">
        <v>74</v>
      </c>
      <c r="AC668" t="s">
        <v>12277</v>
      </c>
      <c r="AD668" t="s">
        <v>12277</v>
      </c>
      <c r="AE668" t="s">
        <v>12278</v>
      </c>
      <c r="AF668" t="s">
        <v>74</v>
      </c>
      <c r="AG668">
        <v>54</v>
      </c>
      <c r="AH668">
        <v>15</v>
      </c>
      <c r="AI668">
        <v>18</v>
      </c>
      <c r="AJ668">
        <v>0</v>
      </c>
      <c r="AK668">
        <v>11</v>
      </c>
      <c r="AL668" t="s">
        <v>280</v>
      </c>
      <c r="AM668" t="s">
        <v>281</v>
      </c>
      <c r="AN668" t="s">
        <v>282</v>
      </c>
      <c r="AO668" t="s">
        <v>12279</v>
      </c>
      <c r="AP668" t="s">
        <v>74</v>
      </c>
      <c r="AQ668" t="s">
        <v>74</v>
      </c>
      <c r="AR668" t="s">
        <v>12280</v>
      </c>
      <c r="AS668" t="s">
        <v>12281</v>
      </c>
      <c r="AT668" t="s">
        <v>11687</v>
      </c>
      <c r="AU668">
        <v>2009</v>
      </c>
      <c r="AV668">
        <v>99</v>
      </c>
      <c r="AW668">
        <v>2</v>
      </c>
      <c r="AX668" t="s">
        <v>74</v>
      </c>
      <c r="AY668" t="s">
        <v>74</v>
      </c>
      <c r="AZ668" t="s">
        <v>74</v>
      </c>
      <c r="BA668" t="s">
        <v>74</v>
      </c>
      <c r="BB668">
        <v>83</v>
      </c>
      <c r="BC668">
        <v>89</v>
      </c>
      <c r="BD668" t="s">
        <v>74</v>
      </c>
      <c r="BE668" t="s">
        <v>12282</v>
      </c>
      <c r="BF668" t="str">
        <f>HYPERLINK("http://dx.doi.org/10.1016/j.fishres.2009.05.001","http://dx.doi.org/10.1016/j.fishres.2009.05.001")</f>
        <v>http://dx.doi.org/10.1016/j.fishres.2009.05.001</v>
      </c>
      <c r="BG668" t="s">
        <v>74</v>
      </c>
      <c r="BH668" t="s">
        <v>74</v>
      </c>
      <c r="BI668">
        <v>7</v>
      </c>
      <c r="BJ668" t="s">
        <v>5108</v>
      </c>
      <c r="BK668" t="s">
        <v>98</v>
      </c>
      <c r="BL668" t="s">
        <v>5108</v>
      </c>
      <c r="BM668" t="s">
        <v>12283</v>
      </c>
      <c r="BN668" t="s">
        <v>74</v>
      </c>
      <c r="BO668" t="s">
        <v>74</v>
      </c>
      <c r="BP668" t="s">
        <v>74</v>
      </c>
      <c r="BQ668" t="s">
        <v>74</v>
      </c>
      <c r="BR668" t="s">
        <v>101</v>
      </c>
      <c r="BS668" t="s">
        <v>12284</v>
      </c>
      <c r="BT668" t="str">
        <f>HYPERLINK("https%3A%2F%2Fwww.webofscience.com%2Fwos%2Fwoscc%2Ffull-record%2FWOS:000268440000003","View Full Record in Web of Science")</f>
        <v>View Full Record in Web of Science</v>
      </c>
    </row>
    <row r="669" spans="1:72" x14ac:dyDescent="0.15">
      <c r="A669" t="s">
        <v>72</v>
      </c>
      <c r="B669" t="s">
        <v>12285</v>
      </c>
      <c r="C669" t="s">
        <v>74</v>
      </c>
      <c r="D669" t="s">
        <v>74</v>
      </c>
      <c r="E669" t="s">
        <v>74</v>
      </c>
      <c r="F669" t="s">
        <v>12286</v>
      </c>
      <c r="G669" t="s">
        <v>74</v>
      </c>
      <c r="H669" t="s">
        <v>74</v>
      </c>
      <c r="I669" t="s">
        <v>12287</v>
      </c>
      <c r="J669" t="s">
        <v>4061</v>
      </c>
      <c r="K669" t="s">
        <v>74</v>
      </c>
      <c r="L669" t="s">
        <v>74</v>
      </c>
      <c r="M669" t="s">
        <v>78</v>
      </c>
      <c r="N669" t="s">
        <v>297</v>
      </c>
      <c r="O669" t="s">
        <v>74</v>
      </c>
      <c r="P669" t="s">
        <v>74</v>
      </c>
      <c r="Q669" t="s">
        <v>74</v>
      </c>
      <c r="R669" t="s">
        <v>74</v>
      </c>
      <c r="S669" t="s">
        <v>74</v>
      </c>
      <c r="T669" t="s">
        <v>74</v>
      </c>
      <c r="U669" t="s">
        <v>12288</v>
      </c>
      <c r="V669" t="s">
        <v>12289</v>
      </c>
      <c r="W669" t="s">
        <v>12290</v>
      </c>
      <c r="X669" t="s">
        <v>12291</v>
      </c>
      <c r="Y669" t="s">
        <v>12292</v>
      </c>
      <c r="Z669" t="s">
        <v>12293</v>
      </c>
      <c r="AA669" t="s">
        <v>12294</v>
      </c>
      <c r="AB669" t="s">
        <v>12295</v>
      </c>
      <c r="AC669" t="s">
        <v>12296</v>
      </c>
      <c r="AD669" t="s">
        <v>12297</v>
      </c>
      <c r="AE669" t="s">
        <v>12298</v>
      </c>
      <c r="AF669" t="s">
        <v>74</v>
      </c>
      <c r="AG669">
        <v>122</v>
      </c>
      <c r="AH669">
        <v>53</v>
      </c>
      <c r="AI669">
        <v>57</v>
      </c>
      <c r="AJ669">
        <v>0</v>
      </c>
      <c r="AK669">
        <v>15</v>
      </c>
      <c r="AL669" t="s">
        <v>1894</v>
      </c>
      <c r="AM669" t="s">
        <v>1895</v>
      </c>
      <c r="AN669" t="s">
        <v>1896</v>
      </c>
      <c r="AO669" t="s">
        <v>4073</v>
      </c>
      <c r="AP669" t="s">
        <v>4074</v>
      </c>
      <c r="AQ669" t="s">
        <v>74</v>
      </c>
      <c r="AR669" t="s">
        <v>4075</v>
      </c>
      <c r="AS669" t="s">
        <v>4076</v>
      </c>
      <c r="AT669" t="s">
        <v>11687</v>
      </c>
      <c r="AU669">
        <v>2009</v>
      </c>
      <c r="AV669">
        <v>73</v>
      </c>
      <c r="AW669">
        <v>15</v>
      </c>
      <c r="AX669" t="s">
        <v>74</v>
      </c>
      <c r="AY669" t="s">
        <v>74</v>
      </c>
      <c r="AZ669" t="s">
        <v>74</v>
      </c>
      <c r="BA669" t="s">
        <v>74</v>
      </c>
      <c r="BB669">
        <v>4558</v>
      </c>
      <c r="BC669">
        <v>4575</v>
      </c>
      <c r="BD669" t="s">
        <v>74</v>
      </c>
      <c r="BE669" t="s">
        <v>12299</v>
      </c>
      <c r="BF669" t="str">
        <f>HYPERLINK("http://dx.doi.org/10.1016/j.gca.2009.04.034","http://dx.doi.org/10.1016/j.gca.2009.04.034")</f>
        <v>http://dx.doi.org/10.1016/j.gca.2009.04.034</v>
      </c>
      <c r="BG669" t="s">
        <v>74</v>
      </c>
      <c r="BH669" t="s">
        <v>74</v>
      </c>
      <c r="BI669">
        <v>18</v>
      </c>
      <c r="BJ669" t="s">
        <v>261</v>
      </c>
      <c r="BK669" t="s">
        <v>98</v>
      </c>
      <c r="BL669" t="s">
        <v>261</v>
      </c>
      <c r="BM669" t="s">
        <v>12300</v>
      </c>
      <c r="BN669" t="s">
        <v>74</v>
      </c>
      <c r="BO669" t="s">
        <v>239</v>
      </c>
      <c r="BP669" t="s">
        <v>74</v>
      </c>
      <c r="BQ669" t="s">
        <v>74</v>
      </c>
      <c r="BR669" t="s">
        <v>101</v>
      </c>
      <c r="BS669" t="s">
        <v>12301</v>
      </c>
      <c r="BT669" t="str">
        <f>HYPERLINK("https%3A%2F%2Fwww.webofscience.com%2Fwos%2Fwoscc%2Ffull-record%2FWOS:000267876200016","View Full Record in Web of Science")</f>
        <v>View Full Record in Web of Science</v>
      </c>
    </row>
    <row r="670" spans="1:72" x14ac:dyDescent="0.15">
      <c r="A670" t="s">
        <v>72</v>
      </c>
      <c r="B670" t="s">
        <v>12302</v>
      </c>
      <c r="C670" t="s">
        <v>74</v>
      </c>
      <c r="D670" t="s">
        <v>74</v>
      </c>
      <c r="E670" t="s">
        <v>74</v>
      </c>
      <c r="F670" t="s">
        <v>12303</v>
      </c>
      <c r="G670" t="s">
        <v>74</v>
      </c>
      <c r="H670" t="s">
        <v>74</v>
      </c>
      <c r="I670" t="s">
        <v>12304</v>
      </c>
      <c r="J670" t="s">
        <v>7653</v>
      </c>
      <c r="K670" t="s">
        <v>74</v>
      </c>
      <c r="L670" t="s">
        <v>74</v>
      </c>
      <c r="M670" t="s">
        <v>78</v>
      </c>
      <c r="N670" t="s">
        <v>79</v>
      </c>
      <c r="O670" t="s">
        <v>74</v>
      </c>
      <c r="P670" t="s">
        <v>74</v>
      </c>
      <c r="Q670" t="s">
        <v>74</v>
      </c>
      <c r="R670" t="s">
        <v>74</v>
      </c>
      <c r="S670" t="s">
        <v>74</v>
      </c>
      <c r="T670" t="s">
        <v>74</v>
      </c>
      <c r="U670" t="s">
        <v>12305</v>
      </c>
      <c r="V670" t="s">
        <v>12306</v>
      </c>
      <c r="W670" t="s">
        <v>12307</v>
      </c>
      <c r="X670" t="s">
        <v>12308</v>
      </c>
      <c r="Y670" t="s">
        <v>12309</v>
      </c>
      <c r="Z670" t="s">
        <v>12310</v>
      </c>
      <c r="AA670" t="s">
        <v>12311</v>
      </c>
      <c r="AB670" t="s">
        <v>12312</v>
      </c>
      <c r="AC670" t="s">
        <v>12313</v>
      </c>
      <c r="AD670" t="s">
        <v>12314</v>
      </c>
      <c r="AE670" t="s">
        <v>12315</v>
      </c>
      <c r="AF670" t="s">
        <v>74</v>
      </c>
      <c r="AG670">
        <v>33</v>
      </c>
      <c r="AH670">
        <v>23</v>
      </c>
      <c r="AI670">
        <v>25</v>
      </c>
      <c r="AJ670">
        <v>0</v>
      </c>
      <c r="AK670">
        <v>14</v>
      </c>
      <c r="AL670" t="s">
        <v>5193</v>
      </c>
      <c r="AM670" t="s">
        <v>4515</v>
      </c>
      <c r="AN670" t="s">
        <v>5194</v>
      </c>
      <c r="AO670" t="s">
        <v>7665</v>
      </c>
      <c r="AP670" t="s">
        <v>7666</v>
      </c>
      <c r="AQ670" t="s">
        <v>74</v>
      </c>
      <c r="AR670" t="s">
        <v>7653</v>
      </c>
      <c r="AS670" t="s">
        <v>465</v>
      </c>
      <c r="AT670" t="s">
        <v>11524</v>
      </c>
      <c r="AU670">
        <v>2009</v>
      </c>
      <c r="AV670">
        <v>37</v>
      </c>
      <c r="AW670">
        <v>8</v>
      </c>
      <c r="AX670" t="s">
        <v>74</v>
      </c>
      <c r="AY670" t="s">
        <v>74</v>
      </c>
      <c r="AZ670" t="s">
        <v>74</v>
      </c>
      <c r="BA670" t="s">
        <v>74</v>
      </c>
      <c r="BB670">
        <v>699</v>
      </c>
      <c r="BC670">
        <v>702</v>
      </c>
      <c r="BD670" t="s">
        <v>74</v>
      </c>
      <c r="BE670" t="s">
        <v>12316</v>
      </c>
      <c r="BF670" t="str">
        <f>HYPERLINK("http://dx.doi.org/10.1130/G30070A.1","http://dx.doi.org/10.1130/G30070A.1")</f>
        <v>http://dx.doi.org/10.1130/G30070A.1</v>
      </c>
      <c r="BG670" t="s">
        <v>74</v>
      </c>
      <c r="BH670" t="s">
        <v>74</v>
      </c>
      <c r="BI670">
        <v>4</v>
      </c>
      <c r="BJ670" t="s">
        <v>465</v>
      </c>
      <c r="BK670" t="s">
        <v>98</v>
      </c>
      <c r="BL670" t="s">
        <v>465</v>
      </c>
      <c r="BM670" t="s">
        <v>12317</v>
      </c>
      <c r="BN670" t="s">
        <v>74</v>
      </c>
      <c r="BO670" t="s">
        <v>1381</v>
      </c>
      <c r="BP670" t="s">
        <v>74</v>
      </c>
      <c r="BQ670" t="s">
        <v>74</v>
      </c>
      <c r="BR670" t="s">
        <v>101</v>
      </c>
      <c r="BS670" t="s">
        <v>12318</v>
      </c>
      <c r="BT670" t="str">
        <f>HYPERLINK("https%3A%2F%2Fwww.webofscience.com%2Fwos%2Fwoscc%2Ffull-record%2FWOS:000268498600007","View Full Record in Web of Science")</f>
        <v>View Full Record in Web of Science</v>
      </c>
    </row>
    <row r="671" spans="1:72" x14ac:dyDescent="0.15">
      <c r="A671" t="s">
        <v>72</v>
      </c>
      <c r="B671" t="s">
        <v>12319</v>
      </c>
      <c r="C671" t="s">
        <v>74</v>
      </c>
      <c r="D671" t="s">
        <v>74</v>
      </c>
      <c r="E671" t="s">
        <v>74</v>
      </c>
      <c r="F671" t="s">
        <v>12320</v>
      </c>
      <c r="G671" t="s">
        <v>74</v>
      </c>
      <c r="H671" t="s">
        <v>74</v>
      </c>
      <c r="I671" t="s">
        <v>12321</v>
      </c>
      <c r="J671" t="s">
        <v>2059</v>
      </c>
      <c r="K671" t="s">
        <v>74</v>
      </c>
      <c r="L671" t="s">
        <v>74</v>
      </c>
      <c r="M671" t="s">
        <v>78</v>
      </c>
      <c r="N671" t="s">
        <v>79</v>
      </c>
      <c r="O671" t="s">
        <v>74</v>
      </c>
      <c r="P671" t="s">
        <v>74</v>
      </c>
      <c r="Q671" t="s">
        <v>74</v>
      </c>
      <c r="R671" t="s">
        <v>74</v>
      </c>
      <c r="S671" t="s">
        <v>74</v>
      </c>
      <c r="T671" t="s">
        <v>74</v>
      </c>
      <c r="U671" t="s">
        <v>74</v>
      </c>
      <c r="V671" t="s">
        <v>12322</v>
      </c>
      <c r="W671" t="s">
        <v>12323</v>
      </c>
      <c r="X671" t="s">
        <v>12324</v>
      </c>
      <c r="Y671" t="s">
        <v>12325</v>
      </c>
      <c r="Z671" t="s">
        <v>2084</v>
      </c>
      <c r="AA671" t="s">
        <v>12326</v>
      </c>
      <c r="AB671" t="s">
        <v>12327</v>
      </c>
      <c r="AC671" t="s">
        <v>12328</v>
      </c>
      <c r="AD671" t="s">
        <v>2800</v>
      </c>
      <c r="AE671" t="s">
        <v>12329</v>
      </c>
      <c r="AF671" t="s">
        <v>74</v>
      </c>
      <c r="AG671">
        <v>19</v>
      </c>
      <c r="AH671">
        <v>3</v>
      </c>
      <c r="AI671">
        <v>3</v>
      </c>
      <c r="AJ671">
        <v>0</v>
      </c>
      <c r="AK671">
        <v>2</v>
      </c>
      <c r="AL671" t="s">
        <v>1931</v>
      </c>
      <c r="AM671" t="s">
        <v>684</v>
      </c>
      <c r="AN671" t="s">
        <v>1932</v>
      </c>
      <c r="AO671" t="s">
        <v>2070</v>
      </c>
      <c r="AP671" t="s">
        <v>2071</v>
      </c>
      <c r="AQ671" t="s">
        <v>74</v>
      </c>
      <c r="AR671" t="s">
        <v>2072</v>
      </c>
      <c r="AS671" t="s">
        <v>2073</v>
      </c>
      <c r="AT671" t="s">
        <v>11524</v>
      </c>
      <c r="AU671">
        <v>2009</v>
      </c>
      <c r="AV671">
        <v>49</v>
      </c>
      <c r="AW671">
        <v>4</v>
      </c>
      <c r="AX671" t="s">
        <v>74</v>
      </c>
      <c r="AY671" t="s">
        <v>74</v>
      </c>
      <c r="AZ671" t="s">
        <v>74</v>
      </c>
      <c r="BA671" t="s">
        <v>74</v>
      </c>
      <c r="BB671">
        <v>510</v>
      </c>
      <c r="BC671">
        <v>518</v>
      </c>
      <c r="BD671" t="s">
        <v>74</v>
      </c>
      <c r="BE671" t="s">
        <v>12330</v>
      </c>
      <c r="BF671" t="str">
        <f>HYPERLINK("http://dx.doi.org/10.1134/S0016793209040124","http://dx.doi.org/10.1134/S0016793209040124")</f>
        <v>http://dx.doi.org/10.1134/S0016793209040124</v>
      </c>
      <c r="BG671" t="s">
        <v>74</v>
      </c>
      <c r="BH671" t="s">
        <v>74</v>
      </c>
      <c r="BI671">
        <v>9</v>
      </c>
      <c r="BJ671" t="s">
        <v>261</v>
      </c>
      <c r="BK671" t="s">
        <v>98</v>
      </c>
      <c r="BL671" t="s">
        <v>261</v>
      </c>
      <c r="BM671" t="s">
        <v>12331</v>
      </c>
      <c r="BN671" t="s">
        <v>74</v>
      </c>
      <c r="BO671" t="s">
        <v>74</v>
      </c>
      <c r="BP671" t="s">
        <v>74</v>
      </c>
      <c r="BQ671" t="s">
        <v>74</v>
      </c>
      <c r="BR671" t="s">
        <v>101</v>
      </c>
      <c r="BS671" t="s">
        <v>12332</v>
      </c>
      <c r="BT671" t="str">
        <f>HYPERLINK("https%3A%2F%2Fwww.webofscience.com%2Fwos%2Fwoscc%2Ffull-record%2FWOS:000268427700012","View Full Record in Web of Science")</f>
        <v>View Full Record in Web of Science</v>
      </c>
    </row>
    <row r="672" spans="1:72" x14ac:dyDescent="0.15">
      <c r="A672" t="s">
        <v>72</v>
      </c>
      <c r="B672" t="s">
        <v>12333</v>
      </c>
      <c r="C672" t="s">
        <v>74</v>
      </c>
      <c r="D672" t="s">
        <v>74</v>
      </c>
      <c r="E672" t="s">
        <v>74</v>
      </c>
      <c r="F672" t="s">
        <v>12334</v>
      </c>
      <c r="G672" t="s">
        <v>74</v>
      </c>
      <c r="H672" t="s">
        <v>74</v>
      </c>
      <c r="I672" t="s">
        <v>12335</v>
      </c>
      <c r="J672" t="s">
        <v>2128</v>
      </c>
      <c r="K672" t="s">
        <v>74</v>
      </c>
      <c r="L672" t="s">
        <v>74</v>
      </c>
      <c r="M672" t="s">
        <v>78</v>
      </c>
      <c r="N672" t="s">
        <v>297</v>
      </c>
      <c r="O672" t="s">
        <v>74</v>
      </c>
      <c r="P672" t="s">
        <v>74</v>
      </c>
      <c r="Q672" t="s">
        <v>74</v>
      </c>
      <c r="R672" t="s">
        <v>74</v>
      </c>
      <c r="S672" t="s">
        <v>74</v>
      </c>
      <c r="T672" t="s">
        <v>12336</v>
      </c>
      <c r="U672" t="s">
        <v>12337</v>
      </c>
      <c r="V672" t="s">
        <v>12338</v>
      </c>
      <c r="W672" t="s">
        <v>12339</v>
      </c>
      <c r="X672" t="s">
        <v>2133</v>
      </c>
      <c r="Y672" t="s">
        <v>12340</v>
      </c>
      <c r="Z672" t="s">
        <v>2135</v>
      </c>
      <c r="AA672" t="s">
        <v>74</v>
      </c>
      <c r="AB672" t="s">
        <v>74</v>
      </c>
      <c r="AC672" t="s">
        <v>74</v>
      </c>
      <c r="AD672" t="s">
        <v>74</v>
      </c>
      <c r="AE672" t="s">
        <v>74</v>
      </c>
      <c r="AF672" t="s">
        <v>74</v>
      </c>
      <c r="AG672">
        <v>147</v>
      </c>
      <c r="AH672">
        <v>53</v>
      </c>
      <c r="AI672">
        <v>54</v>
      </c>
      <c r="AJ672">
        <v>0</v>
      </c>
      <c r="AK672">
        <v>12</v>
      </c>
      <c r="AL672" t="s">
        <v>305</v>
      </c>
      <c r="AM672" t="s">
        <v>281</v>
      </c>
      <c r="AN672" t="s">
        <v>306</v>
      </c>
      <c r="AO672" t="s">
        <v>2140</v>
      </c>
      <c r="AP672" t="s">
        <v>2141</v>
      </c>
      <c r="AQ672" t="s">
        <v>74</v>
      </c>
      <c r="AR672" t="s">
        <v>2142</v>
      </c>
      <c r="AS672" t="s">
        <v>2143</v>
      </c>
      <c r="AT672" t="s">
        <v>11524</v>
      </c>
      <c r="AU672">
        <v>2009</v>
      </c>
      <c r="AV672">
        <v>16</v>
      </c>
      <c r="AW672">
        <v>1</v>
      </c>
      <c r="AX672" t="s">
        <v>74</v>
      </c>
      <c r="AY672" t="s">
        <v>74</v>
      </c>
      <c r="AZ672" t="s">
        <v>74</v>
      </c>
      <c r="BA672" t="s">
        <v>74</v>
      </c>
      <c r="BB672">
        <v>90</v>
      </c>
      <c r="BC672">
        <v>108</v>
      </c>
      <c r="BD672" t="s">
        <v>74</v>
      </c>
      <c r="BE672" t="s">
        <v>12341</v>
      </c>
      <c r="BF672" t="str">
        <f>HYPERLINK("http://dx.doi.org/10.1016/j.gr.2009.02.007","http://dx.doi.org/10.1016/j.gr.2009.02.007")</f>
        <v>http://dx.doi.org/10.1016/j.gr.2009.02.007</v>
      </c>
      <c r="BG672" t="s">
        <v>74</v>
      </c>
      <c r="BH672" t="s">
        <v>74</v>
      </c>
      <c r="BI672">
        <v>19</v>
      </c>
      <c r="BJ672" t="s">
        <v>464</v>
      </c>
      <c r="BK672" t="s">
        <v>98</v>
      </c>
      <c r="BL672" t="s">
        <v>465</v>
      </c>
      <c r="BM672" t="s">
        <v>12342</v>
      </c>
      <c r="BN672" t="s">
        <v>74</v>
      </c>
      <c r="BO672" t="s">
        <v>74</v>
      </c>
      <c r="BP672" t="s">
        <v>74</v>
      </c>
      <c r="BQ672" t="s">
        <v>74</v>
      </c>
      <c r="BR672" t="s">
        <v>101</v>
      </c>
      <c r="BS672" t="s">
        <v>12343</v>
      </c>
      <c r="BT672" t="str">
        <f>HYPERLINK("https%3A%2F%2Fwww.webofscience.com%2Fwos%2Fwoscc%2Ffull-record%2FWOS:000268270100008","View Full Record in Web of Science")</f>
        <v>View Full Record in Web of Science</v>
      </c>
    </row>
    <row r="673" spans="1:72" x14ac:dyDescent="0.15">
      <c r="A673" t="s">
        <v>72</v>
      </c>
      <c r="B673" t="s">
        <v>12344</v>
      </c>
      <c r="C673" t="s">
        <v>74</v>
      </c>
      <c r="D673" t="s">
        <v>74</v>
      </c>
      <c r="E673" t="s">
        <v>74</v>
      </c>
      <c r="F673" t="s">
        <v>12345</v>
      </c>
      <c r="G673" t="s">
        <v>74</v>
      </c>
      <c r="H673" t="s">
        <v>74</v>
      </c>
      <c r="I673" t="s">
        <v>12346</v>
      </c>
      <c r="J673" t="s">
        <v>2128</v>
      </c>
      <c r="K673" t="s">
        <v>74</v>
      </c>
      <c r="L673" t="s">
        <v>74</v>
      </c>
      <c r="M673" t="s">
        <v>78</v>
      </c>
      <c r="N673" t="s">
        <v>79</v>
      </c>
      <c r="O673" t="s">
        <v>74</v>
      </c>
      <c r="P673" t="s">
        <v>74</v>
      </c>
      <c r="Q673" t="s">
        <v>74</v>
      </c>
      <c r="R673" t="s">
        <v>74</v>
      </c>
      <c r="S673" t="s">
        <v>74</v>
      </c>
      <c r="T673" t="s">
        <v>12347</v>
      </c>
      <c r="U673" t="s">
        <v>12348</v>
      </c>
      <c r="V673" t="s">
        <v>12349</v>
      </c>
      <c r="W673" t="s">
        <v>12350</v>
      </c>
      <c r="X673" t="s">
        <v>12351</v>
      </c>
      <c r="Y673" t="s">
        <v>12352</v>
      </c>
      <c r="Z673" t="s">
        <v>12353</v>
      </c>
      <c r="AA673" t="s">
        <v>12354</v>
      </c>
      <c r="AB673" t="s">
        <v>12355</v>
      </c>
      <c r="AC673" t="s">
        <v>12356</v>
      </c>
      <c r="AD673" t="s">
        <v>12357</v>
      </c>
      <c r="AE673" t="s">
        <v>12358</v>
      </c>
      <c r="AF673" t="s">
        <v>74</v>
      </c>
      <c r="AG673">
        <v>55</v>
      </c>
      <c r="AH673">
        <v>35</v>
      </c>
      <c r="AI673">
        <v>42</v>
      </c>
      <c r="AJ673">
        <v>0</v>
      </c>
      <c r="AK673">
        <v>12</v>
      </c>
      <c r="AL673" t="s">
        <v>305</v>
      </c>
      <c r="AM673" t="s">
        <v>281</v>
      </c>
      <c r="AN673" t="s">
        <v>306</v>
      </c>
      <c r="AO673" t="s">
        <v>2140</v>
      </c>
      <c r="AP673" t="s">
        <v>2141</v>
      </c>
      <c r="AQ673" t="s">
        <v>74</v>
      </c>
      <c r="AR673" t="s">
        <v>2142</v>
      </c>
      <c r="AS673" t="s">
        <v>2143</v>
      </c>
      <c r="AT673" t="s">
        <v>11524</v>
      </c>
      <c r="AU673">
        <v>2009</v>
      </c>
      <c r="AV673">
        <v>16</v>
      </c>
      <c r="AW673">
        <v>1</v>
      </c>
      <c r="AX673" t="s">
        <v>74</v>
      </c>
      <c r="AY673" t="s">
        <v>74</v>
      </c>
      <c r="AZ673" t="s">
        <v>74</v>
      </c>
      <c r="BA673" t="s">
        <v>74</v>
      </c>
      <c r="BB673">
        <v>109</v>
      </c>
      <c r="BC673">
        <v>118</v>
      </c>
      <c r="BD673" t="s">
        <v>74</v>
      </c>
      <c r="BE673" t="s">
        <v>12359</v>
      </c>
      <c r="BF673" t="str">
        <f>HYPERLINK("http://dx.doi.org/10.1016/j.gr.2009.01.004","http://dx.doi.org/10.1016/j.gr.2009.01.004")</f>
        <v>http://dx.doi.org/10.1016/j.gr.2009.01.004</v>
      </c>
      <c r="BG673" t="s">
        <v>74</v>
      </c>
      <c r="BH673" t="s">
        <v>74</v>
      </c>
      <c r="BI673">
        <v>10</v>
      </c>
      <c r="BJ673" t="s">
        <v>464</v>
      </c>
      <c r="BK673" t="s">
        <v>98</v>
      </c>
      <c r="BL673" t="s">
        <v>465</v>
      </c>
      <c r="BM673" t="s">
        <v>12342</v>
      </c>
      <c r="BN673" t="s">
        <v>74</v>
      </c>
      <c r="BO673" t="s">
        <v>74</v>
      </c>
      <c r="BP673" t="s">
        <v>74</v>
      </c>
      <c r="BQ673" t="s">
        <v>74</v>
      </c>
      <c r="BR673" t="s">
        <v>101</v>
      </c>
      <c r="BS673" t="s">
        <v>12360</v>
      </c>
      <c r="BT673" t="str">
        <f>HYPERLINK("https%3A%2F%2Fwww.webofscience.com%2Fwos%2Fwoscc%2Ffull-record%2FWOS:000268270100009","View Full Record in Web of Science")</f>
        <v>View Full Record in Web of Science</v>
      </c>
    </row>
    <row r="674" spans="1:72" x14ac:dyDescent="0.15">
      <c r="A674" t="s">
        <v>72</v>
      </c>
      <c r="B674" t="s">
        <v>12361</v>
      </c>
      <c r="C674" t="s">
        <v>74</v>
      </c>
      <c r="D674" t="s">
        <v>74</v>
      </c>
      <c r="E674" t="s">
        <v>74</v>
      </c>
      <c r="F674" t="s">
        <v>12362</v>
      </c>
      <c r="G674" t="s">
        <v>74</v>
      </c>
      <c r="H674" t="s">
        <v>74</v>
      </c>
      <c r="I674" t="s">
        <v>12363</v>
      </c>
      <c r="J674" t="s">
        <v>12364</v>
      </c>
      <c r="K674" t="s">
        <v>74</v>
      </c>
      <c r="L674" t="s">
        <v>74</v>
      </c>
      <c r="M674" t="s">
        <v>78</v>
      </c>
      <c r="N674" t="s">
        <v>79</v>
      </c>
      <c r="O674" t="s">
        <v>74</v>
      </c>
      <c r="P674" t="s">
        <v>74</v>
      </c>
      <c r="Q674" t="s">
        <v>74</v>
      </c>
      <c r="R674" t="s">
        <v>74</v>
      </c>
      <c r="S674" t="s">
        <v>74</v>
      </c>
      <c r="T674" t="s">
        <v>12365</v>
      </c>
      <c r="U674" t="s">
        <v>12366</v>
      </c>
      <c r="V674" t="s">
        <v>12367</v>
      </c>
      <c r="W674" t="s">
        <v>12368</v>
      </c>
      <c r="X674" t="s">
        <v>12369</v>
      </c>
      <c r="Y674" t="s">
        <v>12370</v>
      </c>
      <c r="Z674" t="s">
        <v>12371</v>
      </c>
      <c r="AA674" t="s">
        <v>12372</v>
      </c>
      <c r="AB674" t="s">
        <v>12373</v>
      </c>
      <c r="AC674" t="s">
        <v>12374</v>
      </c>
      <c r="AD674" t="s">
        <v>12375</v>
      </c>
      <c r="AE674" t="s">
        <v>12376</v>
      </c>
      <c r="AF674" t="s">
        <v>74</v>
      </c>
      <c r="AG674">
        <v>51</v>
      </c>
      <c r="AH674">
        <v>20</v>
      </c>
      <c r="AI674">
        <v>21</v>
      </c>
      <c r="AJ674">
        <v>0</v>
      </c>
      <c r="AK674">
        <v>11</v>
      </c>
      <c r="AL674" t="s">
        <v>12377</v>
      </c>
      <c r="AM674" t="s">
        <v>433</v>
      </c>
      <c r="AN674" t="s">
        <v>12378</v>
      </c>
      <c r="AO674" t="s">
        <v>12379</v>
      </c>
      <c r="AP674" t="s">
        <v>12380</v>
      </c>
      <c r="AQ674" t="s">
        <v>74</v>
      </c>
      <c r="AR674" t="s">
        <v>12364</v>
      </c>
      <c r="AS674" t="s">
        <v>12381</v>
      </c>
      <c r="AT674" t="s">
        <v>11524</v>
      </c>
      <c r="AU674">
        <v>2009</v>
      </c>
      <c r="AV674">
        <v>19</v>
      </c>
      <c r="AW674">
        <v>5</v>
      </c>
      <c r="AX674" t="s">
        <v>74</v>
      </c>
      <c r="AY674" t="s">
        <v>74</v>
      </c>
      <c r="AZ674" t="s">
        <v>74</v>
      </c>
      <c r="BA674" t="s">
        <v>74</v>
      </c>
      <c r="BB674">
        <v>757</v>
      </c>
      <c r="BC674">
        <v>764</v>
      </c>
      <c r="BD674" t="s">
        <v>74</v>
      </c>
      <c r="BE674" t="s">
        <v>12382</v>
      </c>
      <c r="BF674" t="str">
        <f>HYPERLINK("http://dx.doi.org/10.1177/0959683609105300","http://dx.doi.org/10.1177/0959683609105300")</f>
        <v>http://dx.doi.org/10.1177/0959683609105300</v>
      </c>
      <c r="BG674" t="s">
        <v>74</v>
      </c>
      <c r="BH674" t="s">
        <v>74</v>
      </c>
      <c r="BI674">
        <v>8</v>
      </c>
      <c r="BJ674" t="s">
        <v>2121</v>
      </c>
      <c r="BK674" t="s">
        <v>98</v>
      </c>
      <c r="BL674" t="s">
        <v>2122</v>
      </c>
      <c r="BM674" t="s">
        <v>12383</v>
      </c>
      <c r="BN674" t="s">
        <v>74</v>
      </c>
      <c r="BO674" t="s">
        <v>74</v>
      </c>
      <c r="BP674" t="s">
        <v>74</v>
      </c>
      <c r="BQ674" t="s">
        <v>74</v>
      </c>
      <c r="BR674" t="s">
        <v>101</v>
      </c>
      <c r="BS674" t="s">
        <v>12384</v>
      </c>
      <c r="BT674" t="str">
        <f>HYPERLINK("https%3A%2F%2Fwww.webofscience.com%2Fwos%2Fwoscc%2Ffull-record%2FWOS:000267966200007","View Full Record in Web of Science")</f>
        <v>View Full Record in Web of Science</v>
      </c>
    </row>
    <row r="675" spans="1:72" x14ac:dyDescent="0.15">
      <c r="A675" t="s">
        <v>72</v>
      </c>
      <c r="B675" t="s">
        <v>12385</v>
      </c>
      <c r="C675" t="s">
        <v>74</v>
      </c>
      <c r="D675" t="s">
        <v>74</v>
      </c>
      <c r="E675" t="s">
        <v>74</v>
      </c>
      <c r="F675" t="s">
        <v>12386</v>
      </c>
      <c r="G675" t="s">
        <v>74</v>
      </c>
      <c r="H675" t="s">
        <v>74</v>
      </c>
      <c r="I675" t="s">
        <v>12387</v>
      </c>
      <c r="J675" t="s">
        <v>12388</v>
      </c>
      <c r="K675" t="s">
        <v>74</v>
      </c>
      <c r="L675" t="s">
        <v>74</v>
      </c>
      <c r="M675" t="s">
        <v>78</v>
      </c>
      <c r="N675" t="s">
        <v>1965</v>
      </c>
      <c r="O675" t="s">
        <v>12389</v>
      </c>
      <c r="P675" t="s">
        <v>12390</v>
      </c>
      <c r="Q675" t="s">
        <v>12391</v>
      </c>
      <c r="R675" t="s">
        <v>74</v>
      </c>
      <c r="S675" t="s">
        <v>74</v>
      </c>
      <c r="T675" t="s">
        <v>12392</v>
      </c>
      <c r="U675" t="s">
        <v>12393</v>
      </c>
      <c r="V675" t="s">
        <v>12394</v>
      </c>
      <c r="W675" t="s">
        <v>12395</v>
      </c>
      <c r="X675" t="s">
        <v>12396</v>
      </c>
      <c r="Y675" t="s">
        <v>12397</v>
      </c>
      <c r="Z675" t="s">
        <v>12398</v>
      </c>
      <c r="AA675" t="s">
        <v>12399</v>
      </c>
      <c r="AB675" t="s">
        <v>12400</v>
      </c>
      <c r="AC675" t="s">
        <v>74</v>
      </c>
      <c r="AD675" t="s">
        <v>74</v>
      </c>
      <c r="AE675" t="s">
        <v>74</v>
      </c>
      <c r="AF675" t="s">
        <v>74</v>
      </c>
      <c r="AG675">
        <v>46</v>
      </c>
      <c r="AH675">
        <v>5</v>
      </c>
      <c r="AI675">
        <v>8</v>
      </c>
      <c r="AJ675">
        <v>1</v>
      </c>
      <c r="AK675">
        <v>14</v>
      </c>
      <c r="AL675" t="s">
        <v>1850</v>
      </c>
      <c r="AM675" t="s">
        <v>1851</v>
      </c>
      <c r="AN675" t="s">
        <v>1852</v>
      </c>
      <c r="AO675" t="s">
        <v>12401</v>
      </c>
      <c r="AP675" t="s">
        <v>12402</v>
      </c>
      <c r="AQ675" t="s">
        <v>74</v>
      </c>
      <c r="AR675" t="s">
        <v>12388</v>
      </c>
      <c r="AS675" t="s">
        <v>12403</v>
      </c>
      <c r="AT675" t="s">
        <v>11524</v>
      </c>
      <c r="AU675">
        <v>2009</v>
      </c>
      <c r="AV675">
        <v>629</v>
      </c>
      <c r="AW675">
        <v>1</v>
      </c>
      <c r="AX675" t="s">
        <v>74</v>
      </c>
      <c r="AY675" t="s">
        <v>74</v>
      </c>
      <c r="AZ675" t="s">
        <v>74</v>
      </c>
      <c r="BA675" t="s">
        <v>74</v>
      </c>
      <c r="BB675">
        <v>225</v>
      </c>
      <c r="BC675">
        <v>237</v>
      </c>
      <c r="BD675" t="s">
        <v>74</v>
      </c>
      <c r="BE675" t="s">
        <v>12404</v>
      </c>
      <c r="BF675" t="str">
        <f>HYPERLINK("http://dx.doi.org/10.1007/s10750-009-9776-y","http://dx.doi.org/10.1007/s10750-009-9776-y")</f>
        <v>http://dx.doi.org/10.1007/s10750-009-9776-y</v>
      </c>
      <c r="BG675" t="s">
        <v>74</v>
      </c>
      <c r="BH675" t="s">
        <v>74</v>
      </c>
      <c r="BI675">
        <v>13</v>
      </c>
      <c r="BJ675" t="s">
        <v>1052</v>
      </c>
      <c r="BK675" t="s">
        <v>1986</v>
      </c>
      <c r="BL675" t="s">
        <v>1052</v>
      </c>
      <c r="BM675" t="s">
        <v>12405</v>
      </c>
      <c r="BN675" t="s">
        <v>74</v>
      </c>
      <c r="BO675" t="s">
        <v>74</v>
      </c>
      <c r="BP675" t="s">
        <v>74</v>
      </c>
      <c r="BQ675" t="s">
        <v>74</v>
      </c>
      <c r="BR675" t="s">
        <v>101</v>
      </c>
      <c r="BS675" t="s">
        <v>12406</v>
      </c>
      <c r="BT675" t="str">
        <f>HYPERLINK("https%3A%2F%2Fwww.webofscience.com%2Fwos%2Fwoscc%2Ffull-record%2FWOS:000267030400019","View Full Record in Web of Science")</f>
        <v>View Full Record in Web of Science</v>
      </c>
    </row>
    <row r="676" spans="1:72" x14ac:dyDescent="0.15">
      <c r="A676" t="s">
        <v>72</v>
      </c>
      <c r="B676" t="s">
        <v>12407</v>
      </c>
      <c r="C676" t="s">
        <v>74</v>
      </c>
      <c r="D676" t="s">
        <v>74</v>
      </c>
      <c r="E676" t="s">
        <v>74</v>
      </c>
      <c r="F676" t="s">
        <v>12408</v>
      </c>
      <c r="G676" t="s">
        <v>74</v>
      </c>
      <c r="H676" t="s">
        <v>74</v>
      </c>
      <c r="I676" t="s">
        <v>12409</v>
      </c>
      <c r="J676" t="s">
        <v>2184</v>
      </c>
      <c r="K676" t="s">
        <v>74</v>
      </c>
      <c r="L676" t="s">
        <v>74</v>
      </c>
      <c r="M676" t="s">
        <v>78</v>
      </c>
      <c r="N676" t="s">
        <v>79</v>
      </c>
      <c r="O676" t="s">
        <v>74</v>
      </c>
      <c r="P676" t="s">
        <v>74</v>
      </c>
      <c r="Q676" t="s">
        <v>74</v>
      </c>
      <c r="R676" t="s">
        <v>74</v>
      </c>
      <c r="S676" t="s">
        <v>74</v>
      </c>
      <c r="T676" t="s">
        <v>12410</v>
      </c>
      <c r="U676" t="s">
        <v>12411</v>
      </c>
      <c r="V676" t="s">
        <v>12412</v>
      </c>
      <c r="W676" t="s">
        <v>12413</v>
      </c>
      <c r="X676" t="s">
        <v>12414</v>
      </c>
      <c r="Y676" t="s">
        <v>12415</v>
      </c>
      <c r="Z676" t="s">
        <v>12416</v>
      </c>
      <c r="AA676" t="s">
        <v>12417</v>
      </c>
      <c r="AB676" t="s">
        <v>12418</v>
      </c>
      <c r="AC676" t="s">
        <v>12419</v>
      </c>
      <c r="AD676" t="s">
        <v>12419</v>
      </c>
      <c r="AE676" t="s">
        <v>12420</v>
      </c>
      <c r="AF676" t="s">
        <v>74</v>
      </c>
      <c r="AG676">
        <v>27</v>
      </c>
      <c r="AH676">
        <v>17</v>
      </c>
      <c r="AI676">
        <v>18</v>
      </c>
      <c r="AJ676">
        <v>0</v>
      </c>
      <c r="AK676">
        <v>10</v>
      </c>
      <c r="AL676" t="s">
        <v>2197</v>
      </c>
      <c r="AM676" t="s">
        <v>2198</v>
      </c>
      <c r="AN676" t="s">
        <v>2199</v>
      </c>
      <c r="AO676" t="s">
        <v>2200</v>
      </c>
      <c r="AP676" t="s">
        <v>2201</v>
      </c>
      <c r="AQ676" t="s">
        <v>74</v>
      </c>
      <c r="AR676" t="s">
        <v>2202</v>
      </c>
      <c r="AS676" t="s">
        <v>2203</v>
      </c>
      <c r="AT676" t="s">
        <v>11524</v>
      </c>
      <c r="AU676">
        <v>2009</v>
      </c>
      <c r="AV676">
        <v>47</v>
      </c>
      <c r="AW676">
        <v>8</v>
      </c>
      <c r="AX676">
        <v>1</v>
      </c>
      <c r="AY676" t="s">
        <v>74</v>
      </c>
      <c r="AZ676" t="s">
        <v>74</v>
      </c>
      <c r="BA676" t="s">
        <v>74</v>
      </c>
      <c r="BB676">
        <v>2501</v>
      </c>
      <c r="BC676">
        <v>2509</v>
      </c>
      <c r="BD676" t="s">
        <v>74</v>
      </c>
      <c r="BE676" t="s">
        <v>12421</v>
      </c>
      <c r="BF676" t="str">
        <f>HYPERLINK("http://dx.doi.org/10.1109/TGRS.2009.2016081","http://dx.doi.org/10.1109/TGRS.2009.2016081")</f>
        <v>http://dx.doi.org/10.1109/TGRS.2009.2016081</v>
      </c>
      <c r="BG676" t="s">
        <v>74</v>
      </c>
      <c r="BH676" t="s">
        <v>74</v>
      </c>
      <c r="BI676">
        <v>9</v>
      </c>
      <c r="BJ676" t="s">
        <v>2205</v>
      </c>
      <c r="BK676" t="s">
        <v>98</v>
      </c>
      <c r="BL676" t="s">
        <v>2206</v>
      </c>
      <c r="BM676" t="s">
        <v>12422</v>
      </c>
      <c r="BN676" t="s">
        <v>74</v>
      </c>
      <c r="BO676" t="s">
        <v>74</v>
      </c>
      <c r="BP676" t="s">
        <v>74</v>
      </c>
      <c r="BQ676" t="s">
        <v>74</v>
      </c>
      <c r="BR676" t="s">
        <v>101</v>
      </c>
      <c r="BS676" t="s">
        <v>12423</v>
      </c>
      <c r="BT676" t="str">
        <f>HYPERLINK("https%3A%2F%2Fwww.webofscience.com%2Fwos%2Fwoscc%2Ffull-record%2FWOS:000268166500009","View Full Record in Web of Science")</f>
        <v>View Full Record in Web of Science</v>
      </c>
    </row>
    <row r="677" spans="1:72" x14ac:dyDescent="0.15">
      <c r="A677" t="s">
        <v>72</v>
      </c>
      <c r="B677" t="s">
        <v>12424</v>
      </c>
      <c r="C677" t="s">
        <v>74</v>
      </c>
      <c r="D677" t="s">
        <v>74</v>
      </c>
      <c r="E677" t="s">
        <v>74</v>
      </c>
      <c r="F677" t="s">
        <v>12425</v>
      </c>
      <c r="G677" t="s">
        <v>74</v>
      </c>
      <c r="H677" t="s">
        <v>74</v>
      </c>
      <c r="I677" t="s">
        <v>12426</v>
      </c>
      <c r="J677" t="s">
        <v>2282</v>
      </c>
      <c r="K677" t="s">
        <v>74</v>
      </c>
      <c r="L677" t="s">
        <v>74</v>
      </c>
      <c r="M677" t="s">
        <v>78</v>
      </c>
      <c r="N677" t="s">
        <v>79</v>
      </c>
      <c r="O677" t="s">
        <v>74</v>
      </c>
      <c r="P677" t="s">
        <v>74</v>
      </c>
      <c r="Q677" t="s">
        <v>74</v>
      </c>
      <c r="R677" t="s">
        <v>74</v>
      </c>
      <c r="S677" t="s">
        <v>74</v>
      </c>
      <c r="T677" t="s">
        <v>74</v>
      </c>
      <c r="U677" t="s">
        <v>12427</v>
      </c>
      <c r="V677" t="s">
        <v>12428</v>
      </c>
      <c r="W677" t="s">
        <v>12429</v>
      </c>
      <c r="X677" t="s">
        <v>12430</v>
      </c>
      <c r="Y677" t="s">
        <v>12431</v>
      </c>
      <c r="Z677" t="s">
        <v>12432</v>
      </c>
      <c r="AA677" t="s">
        <v>12433</v>
      </c>
      <c r="AB677" t="s">
        <v>12434</v>
      </c>
      <c r="AC677" t="s">
        <v>12435</v>
      </c>
      <c r="AD677" t="s">
        <v>12436</v>
      </c>
      <c r="AE677" t="s">
        <v>12437</v>
      </c>
      <c r="AF677" t="s">
        <v>74</v>
      </c>
      <c r="AG677">
        <v>21</v>
      </c>
      <c r="AH677">
        <v>23</v>
      </c>
      <c r="AI677">
        <v>25</v>
      </c>
      <c r="AJ677">
        <v>0</v>
      </c>
      <c r="AK677">
        <v>9</v>
      </c>
      <c r="AL677" t="s">
        <v>12438</v>
      </c>
      <c r="AM677" t="s">
        <v>12439</v>
      </c>
      <c r="AN677" t="s">
        <v>12440</v>
      </c>
      <c r="AO677" t="s">
        <v>2295</v>
      </c>
      <c r="AP677" t="s">
        <v>74</v>
      </c>
      <c r="AQ677" t="s">
        <v>74</v>
      </c>
      <c r="AR677" t="s">
        <v>2297</v>
      </c>
      <c r="AS677" t="s">
        <v>2298</v>
      </c>
      <c r="AT677" t="s">
        <v>11524</v>
      </c>
      <c r="AU677">
        <v>2009</v>
      </c>
      <c r="AV677">
        <v>59</v>
      </c>
      <c r="AW677" t="s">
        <v>74</v>
      </c>
      <c r="AX677">
        <v>8</v>
      </c>
      <c r="AY677" t="s">
        <v>74</v>
      </c>
      <c r="AZ677" t="s">
        <v>74</v>
      </c>
      <c r="BA677" t="s">
        <v>74</v>
      </c>
      <c r="BB677">
        <v>1935</v>
      </c>
      <c r="BC677">
        <v>1940</v>
      </c>
      <c r="BD677" t="s">
        <v>74</v>
      </c>
      <c r="BE677" t="s">
        <v>12441</v>
      </c>
      <c r="BF677" t="str">
        <f>HYPERLINK("http://dx.doi.org/10.1099/ijs.0.016717-0","http://dx.doi.org/10.1099/ijs.0.016717-0")</f>
        <v>http://dx.doi.org/10.1099/ijs.0.016717-0</v>
      </c>
      <c r="BG677" t="s">
        <v>74</v>
      </c>
      <c r="BH677" t="s">
        <v>74</v>
      </c>
      <c r="BI677">
        <v>6</v>
      </c>
      <c r="BJ677" t="s">
        <v>1958</v>
      </c>
      <c r="BK677" t="s">
        <v>98</v>
      </c>
      <c r="BL677" t="s">
        <v>1958</v>
      </c>
      <c r="BM677" t="s">
        <v>12442</v>
      </c>
      <c r="BN677">
        <v>19567566</v>
      </c>
      <c r="BO677" t="s">
        <v>74</v>
      </c>
      <c r="BP677" t="s">
        <v>74</v>
      </c>
      <c r="BQ677" t="s">
        <v>74</v>
      </c>
      <c r="BR677" t="s">
        <v>101</v>
      </c>
      <c r="BS677" t="s">
        <v>12443</v>
      </c>
      <c r="BT677" t="str">
        <f>HYPERLINK("https%3A%2F%2Fwww.webofscience.com%2Fwos%2Fwoscc%2Ffull-record%2FWOS:000271435400014","View Full Record in Web of Science")</f>
        <v>View Full Record in Web of Science</v>
      </c>
    </row>
    <row r="678" spans="1:72" x14ac:dyDescent="0.15">
      <c r="A678" t="s">
        <v>72</v>
      </c>
      <c r="B678" t="s">
        <v>12444</v>
      </c>
      <c r="C678" t="s">
        <v>74</v>
      </c>
      <c r="D678" t="s">
        <v>74</v>
      </c>
      <c r="E678" t="s">
        <v>74</v>
      </c>
      <c r="F678" t="s">
        <v>12445</v>
      </c>
      <c r="G678" t="s">
        <v>74</v>
      </c>
      <c r="H678" t="s">
        <v>74</v>
      </c>
      <c r="I678" t="s">
        <v>12446</v>
      </c>
      <c r="J678" t="s">
        <v>2282</v>
      </c>
      <c r="K678" t="s">
        <v>74</v>
      </c>
      <c r="L678" t="s">
        <v>74</v>
      </c>
      <c r="M678" t="s">
        <v>78</v>
      </c>
      <c r="N678" t="s">
        <v>79</v>
      </c>
      <c r="O678" t="s">
        <v>74</v>
      </c>
      <c r="P678" t="s">
        <v>74</v>
      </c>
      <c r="Q678" t="s">
        <v>74</v>
      </c>
      <c r="R678" t="s">
        <v>74</v>
      </c>
      <c r="S678" t="s">
        <v>74</v>
      </c>
      <c r="T678" t="s">
        <v>74</v>
      </c>
      <c r="U678" t="s">
        <v>12447</v>
      </c>
      <c r="V678" t="s">
        <v>12448</v>
      </c>
      <c r="W678" t="s">
        <v>12449</v>
      </c>
      <c r="X678" t="s">
        <v>12450</v>
      </c>
      <c r="Y678" t="s">
        <v>12451</v>
      </c>
      <c r="Z678" t="s">
        <v>12452</v>
      </c>
      <c r="AA678" t="s">
        <v>12453</v>
      </c>
      <c r="AB678" t="s">
        <v>12454</v>
      </c>
      <c r="AC678" t="s">
        <v>12455</v>
      </c>
      <c r="AD678" t="s">
        <v>12456</v>
      </c>
      <c r="AE678" t="s">
        <v>12457</v>
      </c>
      <c r="AF678" t="s">
        <v>74</v>
      </c>
      <c r="AG678">
        <v>18</v>
      </c>
      <c r="AH678">
        <v>12</v>
      </c>
      <c r="AI678">
        <v>14</v>
      </c>
      <c r="AJ678">
        <v>0</v>
      </c>
      <c r="AK678">
        <v>3</v>
      </c>
      <c r="AL678" t="s">
        <v>2293</v>
      </c>
      <c r="AM678" t="s">
        <v>433</v>
      </c>
      <c r="AN678" t="s">
        <v>7725</v>
      </c>
      <c r="AO678" t="s">
        <v>2295</v>
      </c>
      <c r="AP678" t="s">
        <v>2296</v>
      </c>
      <c r="AQ678" t="s">
        <v>74</v>
      </c>
      <c r="AR678" t="s">
        <v>2297</v>
      </c>
      <c r="AS678" t="s">
        <v>2298</v>
      </c>
      <c r="AT678" t="s">
        <v>11524</v>
      </c>
      <c r="AU678">
        <v>2009</v>
      </c>
      <c r="AV678">
        <v>59</v>
      </c>
      <c r="AW678" t="s">
        <v>74</v>
      </c>
      <c r="AX678">
        <v>8</v>
      </c>
      <c r="AY678" t="s">
        <v>74</v>
      </c>
      <c r="AZ678" t="s">
        <v>74</v>
      </c>
      <c r="BA678" t="s">
        <v>74</v>
      </c>
      <c r="BB678">
        <v>2032</v>
      </c>
      <c r="BC678">
        <v>2035</v>
      </c>
      <c r="BD678" t="s">
        <v>74</v>
      </c>
      <c r="BE678" t="s">
        <v>12458</v>
      </c>
      <c r="BF678" t="str">
        <f>HYPERLINK("http://dx.doi.org/10.1099/ijs.0.007971-0","http://dx.doi.org/10.1099/ijs.0.007971-0")</f>
        <v>http://dx.doi.org/10.1099/ijs.0.007971-0</v>
      </c>
      <c r="BG678" t="s">
        <v>74</v>
      </c>
      <c r="BH678" t="s">
        <v>74</v>
      </c>
      <c r="BI678">
        <v>4</v>
      </c>
      <c r="BJ678" t="s">
        <v>1958</v>
      </c>
      <c r="BK678" t="s">
        <v>98</v>
      </c>
      <c r="BL678" t="s">
        <v>1958</v>
      </c>
      <c r="BM678" t="s">
        <v>12442</v>
      </c>
      <c r="BN678">
        <v>19567563</v>
      </c>
      <c r="BO678" t="s">
        <v>263</v>
      </c>
      <c r="BP678" t="s">
        <v>74</v>
      </c>
      <c r="BQ678" t="s">
        <v>74</v>
      </c>
      <c r="BR678" t="s">
        <v>101</v>
      </c>
      <c r="BS678" t="s">
        <v>12459</v>
      </c>
      <c r="BT678" t="str">
        <f>HYPERLINK("https%3A%2F%2Fwww.webofscience.com%2Fwos%2Fwoscc%2Ffull-record%2FWOS:000271435400030","View Full Record in Web of Science")</f>
        <v>View Full Record in Web of Science</v>
      </c>
    </row>
    <row r="679" spans="1:72" x14ac:dyDescent="0.15">
      <c r="A679" t="s">
        <v>72</v>
      </c>
      <c r="B679" t="s">
        <v>12460</v>
      </c>
      <c r="C679" t="s">
        <v>74</v>
      </c>
      <c r="D679" t="s">
        <v>74</v>
      </c>
      <c r="E679" t="s">
        <v>74</v>
      </c>
      <c r="F679" t="s">
        <v>12461</v>
      </c>
      <c r="G679" t="s">
        <v>74</v>
      </c>
      <c r="H679" t="s">
        <v>74</v>
      </c>
      <c r="I679" t="s">
        <v>12462</v>
      </c>
      <c r="J679" t="s">
        <v>10023</v>
      </c>
      <c r="K679" t="s">
        <v>74</v>
      </c>
      <c r="L679" t="s">
        <v>74</v>
      </c>
      <c r="M679" t="s">
        <v>78</v>
      </c>
      <c r="N679" t="s">
        <v>523</v>
      </c>
      <c r="O679" t="s">
        <v>74</v>
      </c>
      <c r="P679" t="s">
        <v>74</v>
      </c>
      <c r="Q679" t="s">
        <v>74</v>
      </c>
      <c r="R679" t="s">
        <v>74</v>
      </c>
      <c r="S679" t="s">
        <v>74</v>
      </c>
      <c r="T679" t="s">
        <v>74</v>
      </c>
      <c r="U679" t="s">
        <v>12463</v>
      </c>
      <c r="V679" t="s">
        <v>74</v>
      </c>
      <c r="W679" t="s">
        <v>12464</v>
      </c>
      <c r="X679" t="s">
        <v>725</v>
      </c>
      <c r="Y679" t="s">
        <v>12465</v>
      </c>
      <c r="Z679" t="s">
        <v>12232</v>
      </c>
      <c r="AA679" t="s">
        <v>74</v>
      </c>
      <c r="AB679" t="s">
        <v>5123</v>
      </c>
      <c r="AC679" t="s">
        <v>12466</v>
      </c>
      <c r="AD679" t="s">
        <v>730</v>
      </c>
      <c r="AE679" t="s">
        <v>74</v>
      </c>
      <c r="AF679" t="s">
        <v>74</v>
      </c>
      <c r="AG679">
        <v>41</v>
      </c>
      <c r="AH679">
        <v>7</v>
      </c>
      <c r="AI679">
        <v>8</v>
      </c>
      <c r="AJ679">
        <v>1</v>
      </c>
      <c r="AK679">
        <v>26</v>
      </c>
      <c r="AL679" t="s">
        <v>2890</v>
      </c>
      <c r="AM679" t="s">
        <v>433</v>
      </c>
      <c r="AN679" t="s">
        <v>3957</v>
      </c>
      <c r="AO679" t="s">
        <v>10038</v>
      </c>
      <c r="AP679" t="s">
        <v>10039</v>
      </c>
      <c r="AQ679" t="s">
        <v>74</v>
      </c>
      <c r="AR679" t="s">
        <v>10040</v>
      </c>
      <c r="AS679" t="s">
        <v>10041</v>
      </c>
      <c r="AT679" t="s">
        <v>11524</v>
      </c>
      <c r="AU679">
        <v>2009</v>
      </c>
      <c r="AV679">
        <v>3</v>
      </c>
      <c r="AW679">
        <v>8</v>
      </c>
      <c r="AX679" t="s">
        <v>74</v>
      </c>
      <c r="AY679" t="s">
        <v>74</v>
      </c>
      <c r="AZ679" t="s">
        <v>74</v>
      </c>
      <c r="BA679" t="s">
        <v>74</v>
      </c>
      <c r="BB679">
        <v>877</v>
      </c>
      <c r="BC679">
        <v>880</v>
      </c>
      <c r="BD679" t="s">
        <v>74</v>
      </c>
      <c r="BE679" t="s">
        <v>12467</v>
      </c>
      <c r="BF679" t="str">
        <f>HYPERLINK("http://dx.doi.org/10.1038/ismej.2009.53","http://dx.doi.org/10.1038/ismej.2009.53")</f>
        <v>http://dx.doi.org/10.1038/ismej.2009.53</v>
      </c>
      <c r="BG679" t="s">
        <v>74</v>
      </c>
      <c r="BH679" t="s">
        <v>74</v>
      </c>
      <c r="BI679">
        <v>4</v>
      </c>
      <c r="BJ679" t="s">
        <v>10043</v>
      </c>
      <c r="BK679" t="s">
        <v>98</v>
      </c>
      <c r="BL679" t="s">
        <v>10044</v>
      </c>
      <c r="BM679" t="s">
        <v>12468</v>
      </c>
      <c r="BN679">
        <v>19516279</v>
      </c>
      <c r="BO679" t="s">
        <v>3849</v>
      </c>
      <c r="BP679" t="s">
        <v>74</v>
      </c>
      <c r="BQ679" t="s">
        <v>74</v>
      </c>
      <c r="BR679" t="s">
        <v>101</v>
      </c>
      <c r="BS679" t="s">
        <v>12469</v>
      </c>
      <c r="BT679" t="str">
        <f>HYPERLINK("https%3A%2F%2Fwww.webofscience.com%2Fwos%2Fwoscc%2Ffull-record%2FWOS:000268741300001","View Full Record in Web of Science")</f>
        <v>View Full Record in Web of Science</v>
      </c>
    </row>
    <row r="680" spans="1:72" x14ac:dyDescent="0.15">
      <c r="A680" t="s">
        <v>72</v>
      </c>
      <c r="B680" t="s">
        <v>12470</v>
      </c>
      <c r="C680" t="s">
        <v>74</v>
      </c>
      <c r="D680" t="s">
        <v>74</v>
      </c>
      <c r="E680" t="s">
        <v>74</v>
      </c>
      <c r="F680" t="s">
        <v>12471</v>
      </c>
      <c r="G680" t="s">
        <v>74</v>
      </c>
      <c r="H680" t="s">
        <v>74</v>
      </c>
      <c r="I680" t="s">
        <v>12472</v>
      </c>
      <c r="J680" t="s">
        <v>12473</v>
      </c>
      <c r="K680" t="s">
        <v>74</v>
      </c>
      <c r="L680" t="s">
        <v>74</v>
      </c>
      <c r="M680" t="s">
        <v>78</v>
      </c>
      <c r="N680" t="s">
        <v>297</v>
      </c>
      <c r="O680" t="s">
        <v>74</v>
      </c>
      <c r="P680" t="s">
        <v>74</v>
      </c>
      <c r="Q680" t="s">
        <v>74</v>
      </c>
      <c r="R680" t="s">
        <v>74</v>
      </c>
      <c r="S680" t="s">
        <v>74</v>
      </c>
      <c r="T680" t="s">
        <v>12474</v>
      </c>
      <c r="U680" t="s">
        <v>12475</v>
      </c>
      <c r="V680" t="s">
        <v>12476</v>
      </c>
      <c r="W680" t="s">
        <v>12477</v>
      </c>
      <c r="X680" t="s">
        <v>12478</v>
      </c>
      <c r="Y680" t="s">
        <v>12479</v>
      </c>
      <c r="Z680" t="s">
        <v>12480</v>
      </c>
      <c r="AA680" t="s">
        <v>12481</v>
      </c>
      <c r="AB680" t="s">
        <v>12482</v>
      </c>
      <c r="AC680" t="s">
        <v>12483</v>
      </c>
      <c r="AD680" t="s">
        <v>12484</v>
      </c>
      <c r="AE680" t="s">
        <v>12485</v>
      </c>
      <c r="AF680" t="s">
        <v>74</v>
      </c>
      <c r="AG680">
        <v>38</v>
      </c>
      <c r="AH680">
        <v>27</v>
      </c>
      <c r="AI680">
        <v>30</v>
      </c>
      <c r="AJ680">
        <v>0</v>
      </c>
      <c r="AK680">
        <v>13</v>
      </c>
      <c r="AL680" t="s">
        <v>1184</v>
      </c>
      <c r="AM680" t="s">
        <v>1185</v>
      </c>
      <c r="AN680" t="s">
        <v>1186</v>
      </c>
      <c r="AO680" t="s">
        <v>12486</v>
      </c>
      <c r="AP680" t="s">
        <v>12487</v>
      </c>
      <c r="AQ680" t="s">
        <v>74</v>
      </c>
      <c r="AR680" t="s">
        <v>12473</v>
      </c>
      <c r="AS680" t="s">
        <v>12488</v>
      </c>
      <c r="AT680" t="s">
        <v>11524</v>
      </c>
      <c r="AU680">
        <v>2009</v>
      </c>
      <c r="AV680">
        <v>61</v>
      </c>
      <c r="AW680">
        <v>8</v>
      </c>
      <c r="AX680" t="s">
        <v>74</v>
      </c>
      <c r="AY680" t="s">
        <v>74</v>
      </c>
      <c r="AZ680" t="s">
        <v>74</v>
      </c>
      <c r="BA680" t="s">
        <v>74</v>
      </c>
      <c r="BB680">
        <v>838</v>
      </c>
      <c r="BC680">
        <v>845</v>
      </c>
      <c r="BD680" t="s">
        <v>74</v>
      </c>
      <c r="BE680" t="s">
        <v>12489</v>
      </c>
      <c r="BF680" t="str">
        <f>HYPERLINK("http://dx.doi.org/10.1002/iub.228","http://dx.doi.org/10.1002/iub.228")</f>
        <v>http://dx.doi.org/10.1002/iub.228</v>
      </c>
      <c r="BG680" t="s">
        <v>74</v>
      </c>
      <c r="BH680" t="s">
        <v>74</v>
      </c>
      <c r="BI680">
        <v>8</v>
      </c>
      <c r="BJ680" t="s">
        <v>12490</v>
      </c>
      <c r="BK680" t="s">
        <v>98</v>
      </c>
      <c r="BL680" t="s">
        <v>12490</v>
      </c>
      <c r="BM680" t="s">
        <v>12491</v>
      </c>
      <c r="BN680">
        <v>19621350</v>
      </c>
      <c r="BO680" t="s">
        <v>263</v>
      </c>
      <c r="BP680" t="s">
        <v>74</v>
      </c>
      <c r="BQ680" t="s">
        <v>74</v>
      </c>
      <c r="BR680" t="s">
        <v>101</v>
      </c>
      <c r="BS680" t="s">
        <v>12492</v>
      </c>
      <c r="BT680" t="str">
        <f>HYPERLINK("https%3A%2F%2Fwww.webofscience.com%2Fwos%2Fwoscc%2Ffull-record%2FWOS:000268702700005","View Full Record in Web of Science")</f>
        <v>View Full Record in Web of Science</v>
      </c>
    </row>
    <row r="681" spans="1:72" x14ac:dyDescent="0.15">
      <c r="A681" t="s">
        <v>72</v>
      </c>
      <c r="B681" t="s">
        <v>12493</v>
      </c>
      <c r="C681" t="s">
        <v>74</v>
      </c>
      <c r="D681" t="s">
        <v>74</v>
      </c>
      <c r="E681" t="s">
        <v>74</v>
      </c>
      <c r="F681" t="s">
        <v>12494</v>
      </c>
      <c r="G681" t="s">
        <v>74</v>
      </c>
      <c r="H681" t="s">
        <v>74</v>
      </c>
      <c r="I681" t="s">
        <v>12495</v>
      </c>
      <c r="J681" t="s">
        <v>2305</v>
      </c>
      <c r="K681" t="s">
        <v>74</v>
      </c>
      <c r="L681" t="s">
        <v>74</v>
      </c>
      <c r="M681" t="s">
        <v>78</v>
      </c>
      <c r="N681" t="s">
        <v>79</v>
      </c>
      <c r="O681" t="s">
        <v>74</v>
      </c>
      <c r="P681" t="s">
        <v>74</v>
      </c>
      <c r="Q681" t="s">
        <v>74</v>
      </c>
      <c r="R681" t="s">
        <v>74</v>
      </c>
      <c r="S681" t="s">
        <v>74</v>
      </c>
      <c r="T681" t="s">
        <v>74</v>
      </c>
      <c r="U681" t="s">
        <v>12496</v>
      </c>
      <c r="V681" t="s">
        <v>12497</v>
      </c>
      <c r="W681" t="s">
        <v>12498</v>
      </c>
      <c r="X681" t="s">
        <v>10898</v>
      </c>
      <c r="Y681" t="s">
        <v>12499</v>
      </c>
      <c r="Z681" t="s">
        <v>12500</v>
      </c>
      <c r="AA681" t="s">
        <v>74</v>
      </c>
      <c r="AB681" t="s">
        <v>74</v>
      </c>
      <c r="AC681" t="s">
        <v>74</v>
      </c>
      <c r="AD681" t="s">
        <v>74</v>
      </c>
      <c r="AE681" t="s">
        <v>74</v>
      </c>
      <c r="AF681" t="s">
        <v>74</v>
      </c>
      <c r="AG681">
        <v>89</v>
      </c>
      <c r="AH681">
        <v>2</v>
      </c>
      <c r="AI681">
        <v>2</v>
      </c>
      <c r="AJ681">
        <v>0</v>
      </c>
      <c r="AK681">
        <v>2</v>
      </c>
      <c r="AL681" t="s">
        <v>1931</v>
      </c>
      <c r="AM681" t="s">
        <v>684</v>
      </c>
      <c r="AN681" t="s">
        <v>1932</v>
      </c>
      <c r="AO681" t="s">
        <v>2317</v>
      </c>
      <c r="AP681" t="s">
        <v>2318</v>
      </c>
      <c r="AQ681" t="s">
        <v>74</v>
      </c>
      <c r="AR681" t="s">
        <v>2319</v>
      </c>
      <c r="AS681" t="s">
        <v>2320</v>
      </c>
      <c r="AT681" t="s">
        <v>11524</v>
      </c>
      <c r="AU681">
        <v>2009</v>
      </c>
      <c r="AV681">
        <v>45</v>
      </c>
      <c r="AW681">
        <v>4</v>
      </c>
      <c r="AX681" t="s">
        <v>74</v>
      </c>
      <c r="AY681" t="s">
        <v>74</v>
      </c>
      <c r="AZ681" t="s">
        <v>74</v>
      </c>
      <c r="BA681" t="s">
        <v>74</v>
      </c>
      <c r="BB681">
        <v>517</v>
      </c>
      <c r="BC681">
        <v>527</v>
      </c>
      <c r="BD681" t="s">
        <v>74</v>
      </c>
      <c r="BE681" t="s">
        <v>12501</v>
      </c>
      <c r="BF681" t="str">
        <f>HYPERLINK("http://dx.doi.org/10.1134/S0001433809040112","http://dx.doi.org/10.1134/S0001433809040112")</f>
        <v>http://dx.doi.org/10.1134/S0001433809040112</v>
      </c>
      <c r="BG681" t="s">
        <v>74</v>
      </c>
      <c r="BH681" t="s">
        <v>74</v>
      </c>
      <c r="BI681">
        <v>11</v>
      </c>
      <c r="BJ681" t="s">
        <v>2322</v>
      </c>
      <c r="BK681" t="s">
        <v>98</v>
      </c>
      <c r="BL681" t="s">
        <v>2322</v>
      </c>
      <c r="BM681" t="s">
        <v>12502</v>
      </c>
      <c r="BN681" t="s">
        <v>74</v>
      </c>
      <c r="BO681" t="s">
        <v>74</v>
      </c>
      <c r="BP681" t="s">
        <v>74</v>
      </c>
      <c r="BQ681" t="s">
        <v>74</v>
      </c>
      <c r="BR681" t="s">
        <v>101</v>
      </c>
      <c r="BS681" t="s">
        <v>12503</v>
      </c>
      <c r="BT681" t="str">
        <f>HYPERLINK("https%3A%2F%2Fwww.webofscience.com%2Fwos%2Fwoscc%2Ffull-record%2FWOS:000269952700011","View Full Record in Web of Science")</f>
        <v>View Full Record in Web of Science</v>
      </c>
    </row>
    <row r="682" spans="1:72" x14ac:dyDescent="0.15">
      <c r="A682" t="s">
        <v>72</v>
      </c>
      <c r="B682" t="s">
        <v>12504</v>
      </c>
      <c r="C682" t="s">
        <v>74</v>
      </c>
      <c r="D682" t="s">
        <v>74</v>
      </c>
      <c r="E682" t="s">
        <v>74</v>
      </c>
      <c r="F682" t="s">
        <v>12505</v>
      </c>
      <c r="G682" t="s">
        <v>74</v>
      </c>
      <c r="H682" t="s">
        <v>74</v>
      </c>
      <c r="I682" t="s">
        <v>12506</v>
      </c>
      <c r="J682" t="s">
        <v>7769</v>
      </c>
      <c r="K682" t="s">
        <v>74</v>
      </c>
      <c r="L682" t="s">
        <v>74</v>
      </c>
      <c r="M682" t="s">
        <v>78</v>
      </c>
      <c r="N682" t="s">
        <v>79</v>
      </c>
      <c r="O682" t="s">
        <v>74</v>
      </c>
      <c r="P682" t="s">
        <v>74</v>
      </c>
      <c r="Q682" t="s">
        <v>74</v>
      </c>
      <c r="R682" t="s">
        <v>74</v>
      </c>
      <c r="S682" t="s">
        <v>74</v>
      </c>
      <c r="T682" t="s">
        <v>74</v>
      </c>
      <c r="U682" t="s">
        <v>74</v>
      </c>
      <c r="V682" t="s">
        <v>12507</v>
      </c>
      <c r="W682" t="s">
        <v>12508</v>
      </c>
      <c r="X682" t="s">
        <v>12509</v>
      </c>
      <c r="Y682" t="s">
        <v>12510</v>
      </c>
      <c r="Z682" t="s">
        <v>12511</v>
      </c>
      <c r="AA682" t="s">
        <v>74</v>
      </c>
      <c r="AB682" t="s">
        <v>12512</v>
      </c>
      <c r="AC682" t="s">
        <v>12513</v>
      </c>
      <c r="AD682" t="s">
        <v>1629</v>
      </c>
      <c r="AE682" t="s">
        <v>12514</v>
      </c>
      <c r="AF682" t="s">
        <v>74</v>
      </c>
      <c r="AG682">
        <v>3</v>
      </c>
      <c r="AH682">
        <v>3</v>
      </c>
      <c r="AI682">
        <v>3</v>
      </c>
      <c r="AJ682">
        <v>0</v>
      </c>
      <c r="AK682">
        <v>3</v>
      </c>
      <c r="AL682" t="s">
        <v>2397</v>
      </c>
      <c r="AM682" t="s">
        <v>2398</v>
      </c>
      <c r="AN682" t="s">
        <v>2399</v>
      </c>
      <c r="AO682" t="s">
        <v>7781</v>
      </c>
      <c r="AP682" t="s">
        <v>74</v>
      </c>
      <c r="AQ682" t="s">
        <v>74</v>
      </c>
      <c r="AR682" t="s">
        <v>7783</v>
      </c>
      <c r="AS682" t="s">
        <v>7784</v>
      </c>
      <c r="AT682" t="s">
        <v>11524</v>
      </c>
      <c r="AU682">
        <v>2009</v>
      </c>
      <c r="AV682">
        <v>26</v>
      </c>
      <c r="AW682">
        <v>8</v>
      </c>
      <c r="AX682" t="s">
        <v>74</v>
      </c>
      <c r="AY682" t="s">
        <v>74</v>
      </c>
      <c r="AZ682" t="s">
        <v>74</v>
      </c>
      <c r="BA682" t="s">
        <v>74</v>
      </c>
      <c r="BB682">
        <v>1605</v>
      </c>
      <c r="BC682">
        <v>1613</v>
      </c>
      <c r="BD682" t="s">
        <v>74</v>
      </c>
      <c r="BE682" t="s">
        <v>12515</v>
      </c>
      <c r="BF682" t="str">
        <f>HYPERLINK("http://dx.doi.org/10.1175/2009JTECHA1220.1","http://dx.doi.org/10.1175/2009JTECHA1220.1")</f>
        <v>http://dx.doi.org/10.1175/2009JTECHA1220.1</v>
      </c>
      <c r="BG682" t="s">
        <v>74</v>
      </c>
      <c r="BH682" t="s">
        <v>74</v>
      </c>
      <c r="BI682">
        <v>9</v>
      </c>
      <c r="BJ682" t="s">
        <v>7786</v>
      </c>
      <c r="BK682" t="s">
        <v>98</v>
      </c>
      <c r="BL682" t="s">
        <v>7787</v>
      </c>
      <c r="BM682" t="s">
        <v>12516</v>
      </c>
      <c r="BN682" t="s">
        <v>74</v>
      </c>
      <c r="BO682" t="s">
        <v>765</v>
      </c>
      <c r="BP682" t="s">
        <v>74</v>
      </c>
      <c r="BQ682" t="s">
        <v>74</v>
      </c>
      <c r="BR682" t="s">
        <v>101</v>
      </c>
      <c r="BS682" t="s">
        <v>12517</v>
      </c>
      <c r="BT682" t="str">
        <f>HYPERLINK("https%3A%2F%2Fwww.webofscience.com%2Fwos%2Fwoscc%2Ffull-record%2FWOS:000268801300012","View Full Record in Web of Science")</f>
        <v>View Full Record in Web of Science</v>
      </c>
    </row>
    <row r="683" spans="1:72" x14ac:dyDescent="0.15">
      <c r="A683" t="s">
        <v>72</v>
      </c>
      <c r="B683" t="s">
        <v>12518</v>
      </c>
      <c r="C683" t="s">
        <v>74</v>
      </c>
      <c r="D683" t="s">
        <v>74</v>
      </c>
      <c r="E683" t="s">
        <v>74</v>
      </c>
      <c r="F683" t="s">
        <v>12519</v>
      </c>
      <c r="G683" t="s">
        <v>74</v>
      </c>
      <c r="H683" t="s">
        <v>74</v>
      </c>
      <c r="I683" t="s">
        <v>12520</v>
      </c>
      <c r="J683" t="s">
        <v>2328</v>
      </c>
      <c r="K683" t="s">
        <v>74</v>
      </c>
      <c r="L683" t="s">
        <v>74</v>
      </c>
      <c r="M683" t="s">
        <v>78</v>
      </c>
      <c r="N683" t="s">
        <v>79</v>
      </c>
      <c r="O683" t="s">
        <v>74</v>
      </c>
      <c r="P683" t="s">
        <v>74</v>
      </c>
      <c r="Q683" t="s">
        <v>74</v>
      </c>
      <c r="R683" t="s">
        <v>74</v>
      </c>
      <c r="S683" t="s">
        <v>74</v>
      </c>
      <c r="T683" t="s">
        <v>12521</v>
      </c>
      <c r="U683" t="s">
        <v>12522</v>
      </c>
      <c r="V683" t="s">
        <v>12523</v>
      </c>
      <c r="W683" t="s">
        <v>12524</v>
      </c>
      <c r="X683" t="s">
        <v>10898</v>
      </c>
      <c r="Y683" t="s">
        <v>12525</v>
      </c>
      <c r="Z683" t="s">
        <v>12526</v>
      </c>
      <c r="AA683" t="s">
        <v>74</v>
      </c>
      <c r="AB683" t="s">
        <v>74</v>
      </c>
      <c r="AC683" t="s">
        <v>12527</v>
      </c>
      <c r="AD683" t="s">
        <v>12528</v>
      </c>
      <c r="AE683" t="s">
        <v>12529</v>
      </c>
      <c r="AF683" t="s">
        <v>74</v>
      </c>
      <c r="AG683">
        <v>29</v>
      </c>
      <c r="AH683">
        <v>35</v>
      </c>
      <c r="AI683">
        <v>38</v>
      </c>
      <c r="AJ683">
        <v>0</v>
      </c>
      <c r="AK683">
        <v>5</v>
      </c>
      <c r="AL683" t="s">
        <v>1894</v>
      </c>
      <c r="AM683" t="s">
        <v>1895</v>
      </c>
      <c r="AN683" t="s">
        <v>1896</v>
      </c>
      <c r="AO683" t="s">
        <v>2341</v>
      </c>
      <c r="AP683" t="s">
        <v>2342</v>
      </c>
      <c r="AQ683" t="s">
        <v>74</v>
      </c>
      <c r="AR683" t="s">
        <v>2343</v>
      </c>
      <c r="AS683" t="s">
        <v>2344</v>
      </c>
      <c r="AT683" t="s">
        <v>11524</v>
      </c>
      <c r="AU683">
        <v>2009</v>
      </c>
      <c r="AV683">
        <v>71</v>
      </c>
      <c r="AW683">
        <v>12</v>
      </c>
      <c r="AX683" t="s">
        <v>74</v>
      </c>
      <c r="AY683" t="s">
        <v>74</v>
      </c>
      <c r="AZ683" t="s">
        <v>74</v>
      </c>
      <c r="BA683" t="s">
        <v>74</v>
      </c>
      <c r="BB683">
        <v>1340</v>
      </c>
      <c r="BC683">
        <v>1352</v>
      </c>
      <c r="BD683" t="s">
        <v>74</v>
      </c>
      <c r="BE683" t="s">
        <v>12530</v>
      </c>
      <c r="BF683" t="str">
        <f>HYPERLINK("http://dx.doi.org/10.1016/j.jastp.2009.05.017","http://dx.doi.org/10.1016/j.jastp.2009.05.017")</f>
        <v>http://dx.doi.org/10.1016/j.jastp.2009.05.017</v>
      </c>
      <c r="BG683" t="s">
        <v>74</v>
      </c>
      <c r="BH683" t="s">
        <v>74</v>
      </c>
      <c r="BI683">
        <v>13</v>
      </c>
      <c r="BJ683" t="s">
        <v>2347</v>
      </c>
      <c r="BK683" t="s">
        <v>98</v>
      </c>
      <c r="BL683" t="s">
        <v>2347</v>
      </c>
      <c r="BM683" t="s">
        <v>12531</v>
      </c>
      <c r="BN683" t="s">
        <v>74</v>
      </c>
      <c r="BO683" t="s">
        <v>74</v>
      </c>
      <c r="BP683" t="s">
        <v>74</v>
      </c>
      <c r="BQ683" t="s">
        <v>74</v>
      </c>
      <c r="BR683" t="s">
        <v>101</v>
      </c>
      <c r="BS683" t="s">
        <v>12532</v>
      </c>
      <c r="BT683" t="str">
        <f>HYPERLINK("https%3A%2F%2Fwww.webofscience.com%2Fwos%2Fwoscc%2Ffull-record%2FWOS:000268905500015","View Full Record in Web of Science")</f>
        <v>View Full Record in Web of Science</v>
      </c>
    </row>
    <row r="684" spans="1:72" x14ac:dyDescent="0.15">
      <c r="A684" t="s">
        <v>72</v>
      </c>
      <c r="B684" t="s">
        <v>12533</v>
      </c>
      <c r="C684" t="s">
        <v>74</v>
      </c>
      <c r="D684" t="s">
        <v>74</v>
      </c>
      <c r="E684" t="s">
        <v>74</v>
      </c>
      <c r="F684" t="s">
        <v>12534</v>
      </c>
      <c r="G684" t="s">
        <v>74</v>
      </c>
      <c r="H684" t="s">
        <v>74</v>
      </c>
      <c r="I684" t="s">
        <v>12535</v>
      </c>
      <c r="J684" t="s">
        <v>2386</v>
      </c>
      <c r="K684" t="s">
        <v>74</v>
      </c>
      <c r="L684" t="s">
        <v>74</v>
      </c>
      <c r="M684" t="s">
        <v>78</v>
      </c>
      <c r="N684" t="s">
        <v>79</v>
      </c>
      <c r="O684" t="s">
        <v>74</v>
      </c>
      <c r="P684" t="s">
        <v>74</v>
      </c>
      <c r="Q684" t="s">
        <v>74</v>
      </c>
      <c r="R684" t="s">
        <v>74</v>
      </c>
      <c r="S684" t="s">
        <v>74</v>
      </c>
      <c r="T684" t="s">
        <v>74</v>
      </c>
      <c r="U684" t="s">
        <v>12536</v>
      </c>
      <c r="V684" t="s">
        <v>12537</v>
      </c>
      <c r="W684" t="s">
        <v>12538</v>
      </c>
      <c r="X684" t="s">
        <v>12539</v>
      </c>
      <c r="Y684" t="s">
        <v>12540</v>
      </c>
      <c r="Z684" t="s">
        <v>12541</v>
      </c>
      <c r="AA684" t="s">
        <v>12542</v>
      </c>
      <c r="AB684" t="s">
        <v>12543</v>
      </c>
      <c r="AC684" t="s">
        <v>12544</v>
      </c>
      <c r="AD684" t="s">
        <v>12545</v>
      </c>
      <c r="AE684" t="s">
        <v>12546</v>
      </c>
      <c r="AF684" t="s">
        <v>74</v>
      </c>
      <c r="AG684">
        <v>66</v>
      </c>
      <c r="AH684">
        <v>89</v>
      </c>
      <c r="AI684">
        <v>92</v>
      </c>
      <c r="AJ684">
        <v>1</v>
      </c>
      <c r="AK684">
        <v>26</v>
      </c>
      <c r="AL684" t="s">
        <v>2397</v>
      </c>
      <c r="AM684" t="s">
        <v>2398</v>
      </c>
      <c r="AN684" t="s">
        <v>2399</v>
      </c>
      <c r="AO684" t="s">
        <v>2400</v>
      </c>
      <c r="AP684" t="s">
        <v>2401</v>
      </c>
      <c r="AQ684" t="s">
        <v>74</v>
      </c>
      <c r="AR684" t="s">
        <v>2402</v>
      </c>
      <c r="AS684" t="s">
        <v>2403</v>
      </c>
      <c r="AT684" t="s">
        <v>11524</v>
      </c>
      <c r="AU684">
        <v>2009</v>
      </c>
      <c r="AV684">
        <v>22</v>
      </c>
      <c r="AW684">
        <v>15</v>
      </c>
      <c r="AX684" t="s">
        <v>74</v>
      </c>
      <c r="AY684" t="s">
        <v>74</v>
      </c>
      <c r="AZ684" t="s">
        <v>74</v>
      </c>
      <c r="BA684" t="s">
        <v>74</v>
      </c>
      <c r="BB684">
        <v>4162</v>
      </c>
      <c r="BC684">
        <v>4181</v>
      </c>
      <c r="BD684" t="s">
        <v>74</v>
      </c>
      <c r="BE684" t="s">
        <v>12547</v>
      </c>
      <c r="BF684" t="str">
        <f>HYPERLINK("http://dx.doi.org/10.1175/2009JCLI2954.1","http://dx.doi.org/10.1175/2009JCLI2954.1")</f>
        <v>http://dx.doi.org/10.1175/2009JCLI2954.1</v>
      </c>
      <c r="BG684" t="s">
        <v>74</v>
      </c>
      <c r="BH684" t="s">
        <v>74</v>
      </c>
      <c r="BI684">
        <v>20</v>
      </c>
      <c r="BJ684" t="s">
        <v>413</v>
      </c>
      <c r="BK684" t="s">
        <v>98</v>
      </c>
      <c r="BL684" t="s">
        <v>413</v>
      </c>
      <c r="BM684" t="s">
        <v>12548</v>
      </c>
      <c r="BN684" t="s">
        <v>74</v>
      </c>
      <c r="BO684" t="s">
        <v>263</v>
      </c>
      <c r="BP684" t="s">
        <v>74</v>
      </c>
      <c r="BQ684" t="s">
        <v>74</v>
      </c>
      <c r="BR684" t="s">
        <v>101</v>
      </c>
      <c r="BS684" t="s">
        <v>12549</v>
      </c>
      <c r="BT684" t="str">
        <f>HYPERLINK("https%3A%2F%2Fwww.webofscience.com%2Fwos%2Fwoscc%2Ffull-record%2FWOS:000268803200008","View Full Record in Web of Science")</f>
        <v>View Full Record in Web of Science</v>
      </c>
    </row>
    <row r="685" spans="1:72" x14ac:dyDescent="0.15">
      <c r="A685" t="s">
        <v>72</v>
      </c>
      <c r="B685" t="s">
        <v>12550</v>
      </c>
      <c r="C685" t="s">
        <v>74</v>
      </c>
      <c r="D685" t="s">
        <v>74</v>
      </c>
      <c r="E685" t="s">
        <v>74</v>
      </c>
      <c r="F685" t="s">
        <v>12551</v>
      </c>
      <c r="G685" t="s">
        <v>74</v>
      </c>
      <c r="H685" t="s">
        <v>74</v>
      </c>
      <c r="I685" t="s">
        <v>12552</v>
      </c>
      <c r="J685" t="s">
        <v>12553</v>
      </c>
      <c r="K685" t="s">
        <v>74</v>
      </c>
      <c r="L685" t="s">
        <v>74</v>
      </c>
      <c r="M685" t="s">
        <v>78</v>
      </c>
      <c r="N685" t="s">
        <v>79</v>
      </c>
      <c r="O685" t="s">
        <v>74</v>
      </c>
      <c r="P685" t="s">
        <v>74</v>
      </c>
      <c r="Q685" t="s">
        <v>74</v>
      </c>
      <c r="R685" t="s">
        <v>74</v>
      </c>
      <c r="S685" t="s">
        <v>74</v>
      </c>
      <c r="T685" t="s">
        <v>12554</v>
      </c>
      <c r="U685" t="s">
        <v>12555</v>
      </c>
      <c r="V685" t="s">
        <v>12556</v>
      </c>
      <c r="W685" t="s">
        <v>12557</v>
      </c>
      <c r="X685" t="s">
        <v>12558</v>
      </c>
      <c r="Y685" t="s">
        <v>12559</v>
      </c>
      <c r="Z685" t="s">
        <v>12560</v>
      </c>
      <c r="AA685" t="s">
        <v>74</v>
      </c>
      <c r="AB685" t="s">
        <v>12561</v>
      </c>
      <c r="AC685" t="s">
        <v>74</v>
      </c>
      <c r="AD685" t="s">
        <v>74</v>
      </c>
      <c r="AE685" t="s">
        <v>74</v>
      </c>
      <c r="AF685" t="s">
        <v>74</v>
      </c>
      <c r="AG685">
        <v>30</v>
      </c>
      <c r="AH685">
        <v>15</v>
      </c>
      <c r="AI685">
        <v>18</v>
      </c>
      <c r="AJ685">
        <v>1</v>
      </c>
      <c r="AK685">
        <v>28</v>
      </c>
      <c r="AL685" t="s">
        <v>1850</v>
      </c>
      <c r="AM685" t="s">
        <v>684</v>
      </c>
      <c r="AN685" t="s">
        <v>2272</v>
      </c>
      <c r="AO685" t="s">
        <v>12562</v>
      </c>
      <c r="AP685" t="s">
        <v>12563</v>
      </c>
      <c r="AQ685" t="s">
        <v>74</v>
      </c>
      <c r="AR685" t="s">
        <v>12564</v>
      </c>
      <c r="AS685" t="s">
        <v>12565</v>
      </c>
      <c r="AT685" t="s">
        <v>11524</v>
      </c>
      <c r="AU685">
        <v>2009</v>
      </c>
      <c r="AV685">
        <v>230</v>
      </c>
      <c r="AW685">
        <v>3</v>
      </c>
      <c r="AX685" t="s">
        <v>74</v>
      </c>
      <c r="AY685" t="s">
        <v>74</v>
      </c>
      <c r="AZ685" t="s">
        <v>74</v>
      </c>
      <c r="BA685" t="s">
        <v>74</v>
      </c>
      <c r="BB685">
        <v>125</v>
      </c>
      <c r="BC685">
        <v>131</v>
      </c>
      <c r="BD685" t="s">
        <v>74</v>
      </c>
      <c r="BE685" t="s">
        <v>12566</v>
      </c>
      <c r="BF685" t="str">
        <f>HYPERLINK("http://dx.doi.org/10.1007/s00232-009-9192-2","http://dx.doi.org/10.1007/s00232-009-9192-2")</f>
        <v>http://dx.doi.org/10.1007/s00232-009-9192-2</v>
      </c>
      <c r="BG685" t="s">
        <v>74</v>
      </c>
      <c r="BH685" t="s">
        <v>74</v>
      </c>
      <c r="BI685">
        <v>7</v>
      </c>
      <c r="BJ685" t="s">
        <v>12567</v>
      </c>
      <c r="BK685" t="s">
        <v>98</v>
      </c>
      <c r="BL685" t="s">
        <v>12567</v>
      </c>
      <c r="BM685" t="s">
        <v>12568</v>
      </c>
      <c r="BN685">
        <v>19696957</v>
      </c>
      <c r="BO685" t="s">
        <v>74</v>
      </c>
      <c r="BP685" t="s">
        <v>74</v>
      </c>
      <c r="BQ685" t="s">
        <v>74</v>
      </c>
      <c r="BR685" t="s">
        <v>101</v>
      </c>
      <c r="BS685" t="s">
        <v>12569</v>
      </c>
      <c r="BT685" t="str">
        <f>HYPERLINK("https%3A%2F%2Fwww.webofscience.com%2Fwos%2Fwoscc%2Ffull-record%2FWOS:000270179500002","View Full Record in Web of Science")</f>
        <v>View Full Record in Web of Science</v>
      </c>
    </row>
    <row r="686" spans="1:72" x14ac:dyDescent="0.15">
      <c r="A686" t="s">
        <v>72</v>
      </c>
      <c r="B686" t="s">
        <v>12570</v>
      </c>
      <c r="C686" t="s">
        <v>74</v>
      </c>
      <c r="D686" t="s">
        <v>74</v>
      </c>
      <c r="E686" t="s">
        <v>74</v>
      </c>
      <c r="F686" t="s">
        <v>12571</v>
      </c>
      <c r="G686" t="s">
        <v>74</v>
      </c>
      <c r="H686" t="s">
        <v>74</v>
      </c>
      <c r="I686" t="s">
        <v>12572</v>
      </c>
      <c r="J686" t="s">
        <v>2553</v>
      </c>
      <c r="K686" t="s">
        <v>74</v>
      </c>
      <c r="L686" t="s">
        <v>74</v>
      </c>
      <c r="M686" t="s">
        <v>78</v>
      </c>
      <c r="N686" t="s">
        <v>79</v>
      </c>
      <c r="O686" t="s">
        <v>74</v>
      </c>
      <c r="P686" t="s">
        <v>74</v>
      </c>
      <c r="Q686" t="s">
        <v>74</v>
      </c>
      <c r="R686" t="s">
        <v>74</v>
      </c>
      <c r="S686" t="s">
        <v>74</v>
      </c>
      <c r="T686" t="s">
        <v>74</v>
      </c>
      <c r="U686" t="s">
        <v>12573</v>
      </c>
      <c r="V686" t="s">
        <v>12574</v>
      </c>
      <c r="W686" t="s">
        <v>12575</v>
      </c>
      <c r="X686" t="s">
        <v>12576</v>
      </c>
      <c r="Y686" t="s">
        <v>12577</v>
      </c>
      <c r="Z686" t="s">
        <v>12578</v>
      </c>
      <c r="AA686" t="s">
        <v>12579</v>
      </c>
      <c r="AB686" t="s">
        <v>12580</v>
      </c>
      <c r="AC686" t="s">
        <v>12581</v>
      </c>
      <c r="AD686" t="s">
        <v>12582</v>
      </c>
      <c r="AE686" t="s">
        <v>12583</v>
      </c>
      <c r="AF686" t="s">
        <v>74</v>
      </c>
      <c r="AG686">
        <v>56</v>
      </c>
      <c r="AH686">
        <v>40</v>
      </c>
      <c r="AI686">
        <v>45</v>
      </c>
      <c r="AJ686">
        <v>3</v>
      </c>
      <c r="AK686">
        <v>17</v>
      </c>
      <c r="AL686" t="s">
        <v>2397</v>
      </c>
      <c r="AM686" t="s">
        <v>2398</v>
      </c>
      <c r="AN686" t="s">
        <v>6709</v>
      </c>
      <c r="AO686" t="s">
        <v>2565</v>
      </c>
      <c r="AP686" t="s">
        <v>2566</v>
      </c>
      <c r="AQ686" t="s">
        <v>74</v>
      </c>
      <c r="AR686" t="s">
        <v>2567</v>
      </c>
      <c r="AS686" t="s">
        <v>2568</v>
      </c>
      <c r="AT686" t="s">
        <v>11524</v>
      </c>
      <c r="AU686">
        <v>2009</v>
      </c>
      <c r="AV686">
        <v>39</v>
      </c>
      <c r="AW686">
        <v>8</v>
      </c>
      <c r="AX686" t="s">
        <v>74</v>
      </c>
      <c r="AY686" t="s">
        <v>74</v>
      </c>
      <c r="AZ686" t="s">
        <v>74</v>
      </c>
      <c r="BA686" t="s">
        <v>74</v>
      </c>
      <c r="BB686">
        <v>1836</v>
      </c>
      <c r="BC686">
        <v>1853</v>
      </c>
      <c r="BD686" t="s">
        <v>74</v>
      </c>
      <c r="BE686" t="s">
        <v>12584</v>
      </c>
      <c r="BF686" t="str">
        <f>HYPERLINK("http://dx.doi.org/10.1175/2009JPO4045.1","http://dx.doi.org/10.1175/2009JPO4045.1")</f>
        <v>http://dx.doi.org/10.1175/2009JPO4045.1</v>
      </c>
      <c r="BG686" t="s">
        <v>74</v>
      </c>
      <c r="BH686" t="s">
        <v>74</v>
      </c>
      <c r="BI686">
        <v>18</v>
      </c>
      <c r="BJ686" t="s">
        <v>806</v>
      </c>
      <c r="BK686" t="s">
        <v>98</v>
      </c>
      <c r="BL686" t="s">
        <v>806</v>
      </c>
      <c r="BM686" t="s">
        <v>12585</v>
      </c>
      <c r="BN686" t="s">
        <v>74</v>
      </c>
      <c r="BO686" t="s">
        <v>765</v>
      </c>
      <c r="BP686" t="s">
        <v>74</v>
      </c>
      <c r="BQ686" t="s">
        <v>74</v>
      </c>
      <c r="BR686" t="s">
        <v>101</v>
      </c>
      <c r="BS686" t="s">
        <v>12586</v>
      </c>
      <c r="BT686" t="str">
        <f>HYPERLINK("https%3A%2F%2Fwww.webofscience.com%2Fwos%2Fwoscc%2Ffull-record%2FWOS:000269263100005","View Full Record in Web of Science")</f>
        <v>View Full Record in Web of Science</v>
      </c>
    </row>
    <row r="687" spans="1:72" x14ac:dyDescent="0.15">
      <c r="A687" t="s">
        <v>72</v>
      </c>
      <c r="B687" t="s">
        <v>12587</v>
      </c>
      <c r="C687" t="s">
        <v>74</v>
      </c>
      <c r="D687" t="s">
        <v>74</v>
      </c>
      <c r="E687" t="s">
        <v>74</v>
      </c>
      <c r="F687" t="s">
        <v>12588</v>
      </c>
      <c r="G687" t="s">
        <v>74</v>
      </c>
      <c r="H687" t="s">
        <v>74</v>
      </c>
      <c r="I687" t="s">
        <v>12589</v>
      </c>
      <c r="J687" t="s">
        <v>12590</v>
      </c>
      <c r="K687" t="s">
        <v>74</v>
      </c>
      <c r="L687" t="s">
        <v>74</v>
      </c>
      <c r="M687" t="s">
        <v>78</v>
      </c>
      <c r="N687" t="s">
        <v>79</v>
      </c>
      <c r="O687" t="s">
        <v>74</v>
      </c>
      <c r="P687" t="s">
        <v>74</v>
      </c>
      <c r="Q687" t="s">
        <v>74</v>
      </c>
      <c r="R687" t="s">
        <v>74</v>
      </c>
      <c r="S687" t="s">
        <v>74</v>
      </c>
      <c r="T687" t="s">
        <v>12591</v>
      </c>
      <c r="U687" t="s">
        <v>12592</v>
      </c>
      <c r="V687" t="s">
        <v>12593</v>
      </c>
      <c r="W687" t="s">
        <v>12594</v>
      </c>
      <c r="X687" t="s">
        <v>12595</v>
      </c>
      <c r="Y687" t="s">
        <v>12596</v>
      </c>
      <c r="Z687" t="s">
        <v>12597</v>
      </c>
      <c r="AA687" t="s">
        <v>12598</v>
      </c>
      <c r="AB687" t="s">
        <v>12599</v>
      </c>
      <c r="AC687" t="s">
        <v>12600</v>
      </c>
      <c r="AD687" t="s">
        <v>12601</v>
      </c>
      <c r="AE687" t="s">
        <v>12602</v>
      </c>
      <c r="AF687" t="s">
        <v>74</v>
      </c>
      <c r="AG687">
        <v>38</v>
      </c>
      <c r="AH687">
        <v>99</v>
      </c>
      <c r="AI687">
        <v>118</v>
      </c>
      <c r="AJ687">
        <v>2</v>
      </c>
      <c r="AK687">
        <v>53</v>
      </c>
      <c r="AL687" t="s">
        <v>12603</v>
      </c>
      <c r="AM687" t="s">
        <v>12604</v>
      </c>
      <c r="AN687" t="s">
        <v>12605</v>
      </c>
      <c r="AO687" t="s">
        <v>12606</v>
      </c>
      <c r="AP687" t="s">
        <v>12607</v>
      </c>
      <c r="AQ687" t="s">
        <v>74</v>
      </c>
      <c r="AR687" t="s">
        <v>12608</v>
      </c>
      <c r="AS687" t="s">
        <v>12609</v>
      </c>
      <c r="AT687" t="s">
        <v>11524</v>
      </c>
      <c r="AU687">
        <v>2009</v>
      </c>
      <c r="AV687">
        <v>28</v>
      </c>
      <c r="AW687">
        <v>3</v>
      </c>
      <c r="AX687" t="s">
        <v>74</v>
      </c>
      <c r="AY687" t="s">
        <v>74</v>
      </c>
      <c r="AZ687" t="s">
        <v>74</v>
      </c>
      <c r="BA687" t="s">
        <v>74</v>
      </c>
      <c r="BB687">
        <v>431</v>
      </c>
      <c r="BC687">
        <v>437</v>
      </c>
      <c r="BD687" t="s">
        <v>74</v>
      </c>
      <c r="BE687" t="s">
        <v>12610</v>
      </c>
      <c r="BF687" t="str">
        <f>HYPERLINK("http://dx.doi.org/10.2983/035.028.0302","http://dx.doi.org/10.2983/035.028.0302")</f>
        <v>http://dx.doi.org/10.2983/035.028.0302</v>
      </c>
      <c r="BG687" t="s">
        <v>74</v>
      </c>
      <c r="BH687" t="s">
        <v>74</v>
      </c>
      <c r="BI687">
        <v>7</v>
      </c>
      <c r="BJ687" t="s">
        <v>7376</v>
      </c>
      <c r="BK687" t="s">
        <v>98</v>
      </c>
      <c r="BL687" t="s">
        <v>7376</v>
      </c>
      <c r="BM687" t="s">
        <v>12611</v>
      </c>
      <c r="BN687" t="s">
        <v>74</v>
      </c>
      <c r="BO687" t="s">
        <v>74</v>
      </c>
      <c r="BP687" t="s">
        <v>74</v>
      </c>
      <c r="BQ687" t="s">
        <v>74</v>
      </c>
      <c r="BR687" t="s">
        <v>101</v>
      </c>
      <c r="BS687" t="s">
        <v>12612</v>
      </c>
      <c r="BT687" t="str">
        <f>HYPERLINK("https%3A%2F%2Fwww.webofscience.com%2Fwos%2Fwoscc%2Ffull-record%2FWOS:000273801700002","View Full Record in Web of Science")</f>
        <v>View Full Record in Web of Science</v>
      </c>
    </row>
    <row r="688" spans="1:72" x14ac:dyDescent="0.15">
      <c r="A688" t="s">
        <v>72</v>
      </c>
      <c r="B688" t="s">
        <v>12613</v>
      </c>
      <c r="C688" t="s">
        <v>74</v>
      </c>
      <c r="D688" t="s">
        <v>74</v>
      </c>
      <c r="E688" t="s">
        <v>74</v>
      </c>
      <c r="F688" t="s">
        <v>12614</v>
      </c>
      <c r="G688" t="s">
        <v>74</v>
      </c>
      <c r="H688" t="s">
        <v>74</v>
      </c>
      <c r="I688" t="s">
        <v>12615</v>
      </c>
      <c r="J688" t="s">
        <v>2860</v>
      </c>
      <c r="K688" t="s">
        <v>74</v>
      </c>
      <c r="L688" t="s">
        <v>74</v>
      </c>
      <c r="M688" t="s">
        <v>78</v>
      </c>
      <c r="N688" t="s">
        <v>79</v>
      </c>
      <c r="O688" t="s">
        <v>74</v>
      </c>
      <c r="P688" t="s">
        <v>74</v>
      </c>
      <c r="Q688" t="s">
        <v>74</v>
      </c>
      <c r="R688" t="s">
        <v>74</v>
      </c>
      <c r="S688" t="s">
        <v>74</v>
      </c>
      <c r="T688" t="s">
        <v>74</v>
      </c>
      <c r="U688" t="s">
        <v>12616</v>
      </c>
      <c r="V688" t="s">
        <v>12617</v>
      </c>
      <c r="W688" t="s">
        <v>12618</v>
      </c>
      <c r="X688" t="s">
        <v>12619</v>
      </c>
      <c r="Y688" t="s">
        <v>12620</v>
      </c>
      <c r="Z688" t="s">
        <v>12621</v>
      </c>
      <c r="AA688" t="s">
        <v>12622</v>
      </c>
      <c r="AB688" t="s">
        <v>12623</v>
      </c>
      <c r="AC688" t="s">
        <v>12624</v>
      </c>
      <c r="AD688" t="s">
        <v>12625</v>
      </c>
      <c r="AE688" t="s">
        <v>12626</v>
      </c>
      <c r="AF688" t="s">
        <v>74</v>
      </c>
      <c r="AG688">
        <v>33</v>
      </c>
      <c r="AH688">
        <v>93</v>
      </c>
      <c r="AI688">
        <v>104</v>
      </c>
      <c r="AJ688">
        <v>4</v>
      </c>
      <c r="AK688">
        <v>36</v>
      </c>
      <c r="AL688" t="s">
        <v>2890</v>
      </c>
      <c r="AM688" t="s">
        <v>684</v>
      </c>
      <c r="AN688" t="s">
        <v>2891</v>
      </c>
      <c r="AO688" t="s">
        <v>2870</v>
      </c>
      <c r="AP688" t="s">
        <v>2871</v>
      </c>
      <c r="AQ688" t="s">
        <v>74</v>
      </c>
      <c r="AR688" t="s">
        <v>2872</v>
      </c>
      <c r="AS688" t="s">
        <v>2873</v>
      </c>
      <c r="AT688" t="s">
        <v>11524</v>
      </c>
      <c r="AU688">
        <v>2009</v>
      </c>
      <c r="AV688">
        <v>2</v>
      </c>
      <c r="AW688">
        <v>8</v>
      </c>
      <c r="AX688" t="s">
        <v>74</v>
      </c>
      <c r="AY688" t="s">
        <v>74</v>
      </c>
      <c r="AZ688" t="s">
        <v>74</v>
      </c>
      <c r="BA688" t="s">
        <v>74</v>
      </c>
      <c r="BB688">
        <v>548</v>
      </c>
      <c r="BC688">
        <v>552</v>
      </c>
      <c r="BD688" t="s">
        <v>74</v>
      </c>
      <c r="BE688" t="s">
        <v>12627</v>
      </c>
      <c r="BF688" t="str">
        <f>HYPERLINK("http://dx.doi.org/10.1038/NGEO579","http://dx.doi.org/10.1038/NGEO579")</f>
        <v>http://dx.doi.org/10.1038/NGEO579</v>
      </c>
      <c r="BG688" t="s">
        <v>74</v>
      </c>
      <c r="BH688" t="s">
        <v>74</v>
      </c>
      <c r="BI688">
        <v>5</v>
      </c>
      <c r="BJ688" t="s">
        <v>464</v>
      </c>
      <c r="BK688" t="s">
        <v>98</v>
      </c>
      <c r="BL688" t="s">
        <v>465</v>
      </c>
      <c r="BM688" t="s">
        <v>12628</v>
      </c>
      <c r="BN688" t="s">
        <v>74</v>
      </c>
      <c r="BO688" t="s">
        <v>74</v>
      </c>
      <c r="BP688" t="s">
        <v>74</v>
      </c>
      <c r="BQ688" t="s">
        <v>74</v>
      </c>
      <c r="BR688" t="s">
        <v>101</v>
      </c>
      <c r="BS688" t="s">
        <v>12629</v>
      </c>
      <c r="BT688" t="str">
        <f>HYPERLINK("https%3A%2F%2Fwww.webofscience.com%2Fwos%2Fwoscc%2Ffull-record%2FWOS:000270061800012","View Full Record in Web of Science")</f>
        <v>View Full Record in Web of Science</v>
      </c>
    </row>
    <row r="689" spans="1:72" x14ac:dyDescent="0.15">
      <c r="A689" t="s">
        <v>72</v>
      </c>
      <c r="B689" t="s">
        <v>12630</v>
      </c>
      <c r="C689" t="s">
        <v>74</v>
      </c>
      <c r="D689" t="s">
        <v>74</v>
      </c>
      <c r="E689" t="s">
        <v>74</v>
      </c>
      <c r="F689" t="s">
        <v>12631</v>
      </c>
      <c r="G689" t="s">
        <v>74</v>
      </c>
      <c r="H689" t="s">
        <v>74</v>
      </c>
      <c r="I689" t="s">
        <v>12632</v>
      </c>
      <c r="J689" t="s">
        <v>2860</v>
      </c>
      <c r="K689" t="s">
        <v>74</v>
      </c>
      <c r="L689" t="s">
        <v>74</v>
      </c>
      <c r="M689" t="s">
        <v>78</v>
      </c>
      <c r="N689" t="s">
        <v>12633</v>
      </c>
      <c r="O689" t="s">
        <v>74</v>
      </c>
      <c r="P689" t="s">
        <v>74</v>
      </c>
      <c r="Q689" t="s">
        <v>74</v>
      </c>
      <c r="R689" t="s">
        <v>74</v>
      </c>
      <c r="S689" t="s">
        <v>74</v>
      </c>
      <c r="T689" t="s">
        <v>74</v>
      </c>
      <c r="U689" t="s">
        <v>12634</v>
      </c>
      <c r="V689" t="s">
        <v>12635</v>
      </c>
      <c r="W689" t="s">
        <v>12636</v>
      </c>
      <c r="X689" t="s">
        <v>12637</v>
      </c>
      <c r="Y689" t="s">
        <v>12638</v>
      </c>
      <c r="Z689" t="s">
        <v>12639</v>
      </c>
      <c r="AA689" t="s">
        <v>12640</v>
      </c>
      <c r="AB689" t="s">
        <v>74</v>
      </c>
      <c r="AC689" t="s">
        <v>12641</v>
      </c>
      <c r="AD689" t="s">
        <v>12642</v>
      </c>
      <c r="AE689" t="s">
        <v>12643</v>
      </c>
      <c r="AF689" t="s">
        <v>74</v>
      </c>
      <c r="AG689">
        <v>29</v>
      </c>
      <c r="AH689">
        <v>30</v>
      </c>
      <c r="AI689">
        <v>37</v>
      </c>
      <c r="AJ689">
        <v>0</v>
      </c>
      <c r="AK689">
        <v>32</v>
      </c>
      <c r="AL689" t="s">
        <v>530</v>
      </c>
      <c r="AM689" t="s">
        <v>173</v>
      </c>
      <c r="AN689" t="s">
        <v>531</v>
      </c>
      <c r="AO689" t="s">
        <v>2870</v>
      </c>
      <c r="AP689" t="s">
        <v>2871</v>
      </c>
      <c r="AQ689" t="s">
        <v>74</v>
      </c>
      <c r="AR689" t="s">
        <v>2872</v>
      </c>
      <c r="AS689" t="s">
        <v>2873</v>
      </c>
      <c r="AT689" t="s">
        <v>11524</v>
      </c>
      <c r="AU689">
        <v>2009</v>
      </c>
      <c r="AV689">
        <v>2</v>
      </c>
      <c r="AW689">
        <v>8</v>
      </c>
      <c r="AX689" t="s">
        <v>74</v>
      </c>
      <c r="AY689" t="s">
        <v>74</v>
      </c>
      <c r="AZ689" t="s">
        <v>74</v>
      </c>
      <c r="BA689" t="s">
        <v>74</v>
      </c>
      <c r="BB689">
        <v>571</v>
      </c>
      <c r="BC689">
        <v>575</v>
      </c>
      <c r="BD689" t="s">
        <v>74</v>
      </c>
      <c r="BE689" t="s">
        <v>12644</v>
      </c>
      <c r="BF689" t="str">
        <f>HYPERLINK("http://dx.doi.org/10.1038/NGEO587","http://dx.doi.org/10.1038/NGEO587")</f>
        <v>http://dx.doi.org/10.1038/NGEO587</v>
      </c>
      <c r="BG689" t="s">
        <v>74</v>
      </c>
      <c r="BH689" t="s">
        <v>74</v>
      </c>
      <c r="BI689">
        <v>5</v>
      </c>
      <c r="BJ689" t="s">
        <v>464</v>
      </c>
      <c r="BK689" t="s">
        <v>98</v>
      </c>
      <c r="BL689" t="s">
        <v>465</v>
      </c>
      <c r="BM689" t="s">
        <v>12628</v>
      </c>
      <c r="BN689" t="s">
        <v>74</v>
      </c>
      <c r="BO689" t="s">
        <v>74</v>
      </c>
      <c r="BP689" t="s">
        <v>74</v>
      </c>
      <c r="BQ689" t="s">
        <v>74</v>
      </c>
      <c r="BR689" t="s">
        <v>101</v>
      </c>
      <c r="BS689" t="s">
        <v>12645</v>
      </c>
      <c r="BT689" t="str">
        <f>HYPERLINK("https%3A%2F%2Fwww.webofscience.com%2Fwos%2Fwoscc%2Ffull-record%2FWOS:000270061800017","View Full Record in Web of Science")</f>
        <v>View Full Record in Web of Science</v>
      </c>
    </row>
    <row r="690" spans="1:72" x14ac:dyDescent="0.15">
      <c r="A690" t="s">
        <v>72</v>
      </c>
      <c r="B690" t="s">
        <v>12646</v>
      </c>
      <c r="C690" t="s">
        <v>74</v>
      </c>
      <c r="D690" t="s">
        <v>74</v>
      </c>
      <c r="E690" t="s">
        <v>74</v>
      </c>
      <c r="F690" t="s">
        <v>12647</v>
      </c>
      <c r="G690" t="s">
        <v>74</v>
      </c>
      <c r="H690" t="s">
        <v>74</v>
      </c>
      <c r="I690" t="s">
        <v>12648</v>
      </c>
      <c r="J690" t="s">
        <v>2860</v>
      </c>
      <c r="K690" t="s">
        <v>74</v>
      </c>
      <c r="L690" t="s">
        <v>74</v>
      </c>
      <c r="M690" t="s">
        <v>78</v>
      </c>
      <c r="N690" t="s">
        <v>79</v>
      </c>
      <c r="O690" t="s">
        <v>74</v>
      </c>
      <c r="P690" t="s">
        <v>74</v>
      </c>
      <c r="Q690" t="s">
        <v>74</v>
      </c>
      <c r="R690" t="s">
        <v>74</v>
      </c>
      <c r="S690" t="s">
        <v>74</v>
      </c>
      <c r="T690" t="s">
        <v>74</v>
      </c>
      <c r="U690" t="s">
        <v>12649</v>
      </c>
      <c r="V690" t="s">
        <v>12650</v>
      </c>
      <c r="W690" t="s">
        <v>12651</v>
      </c>
      <c r="X690" t="s">
        <v>12652</v>
      </c>
      <c r="Y690" t="s">
        <v>12653</v>
      </c>
      <c r="Z690" t="s">
        <v>12654</v>
      </c>
      <c r="AA690" t="s">
        <v>12655</v>
      </c>
      <c r="AB690" t="s">
        <v>12656</v>
      </c>
      <c r="AC690" t="s">
        <v>12657</v>
      </c>
      <c r="AD690" t="s">
        <v>730</v>
      </c>
      <c r="AE690" t="s">
        <v>74</v>
      </c>
      <c r="AF690" t="s">
        <v>74</v>
      </c>
      <c r="AG690">
        <v>31</v>
      </c>
      <c r="AH690">
        <v>254</v>
      </c>
      <c r="AI690">
        <v>269</v>
      </c>
      <c r="AJ690">
        <v>0</v>
      </c>
      <c r="AK690">
        <v>55</v>
      </c>
      <c r="AL690" t="s">
        <v>2890</v>
      </c>
      <c r="AM690" t="s">
        <v>684</v>
      </c>
      <c r="AN690" t="s">
        <v>2891</v>
      </c>
      <c r="AO690" t="s">
        <v>2870</v>
      </c>
      <c r="AP690" t="s">
        <v>2871</v>
      </c>
      <c r="AQ690" t="s">
        <v>74</v>
      </c>
      <c r="AR690" t="s">
        <v>2872</v>
      </c>
      <c r="AS690" t="s">
        <v>2873</v>
      </c>
      <c r="AT690" t="s">
        <v>11524</v>
      </c>
      <c r="AU690">
        <v>2009</v>
      </c>
      <c r="AV690">
        <v>2</v>
      </c>
      <c r="AW690">
        <v>8</v>
      </c>
      <c r="AX690" t="s">
        <v>74</v>
      </c>
      <c r="AY690" t="s">
        <v>74</v>
      </c>
      <c r="AZ690" t="s">
        <v>74</v>
      </c>
      <c r="BA690" t="s">
        <v>74</v>
      </c>
      <c r="BB690">
        <v>585</v>
      </c>
      <c r="BC690">
        <v>588</v>
      </c>
      <c r="BD690" t="s">
        <v>74</v>
      </c>
      <c r="BE690" t="s">
        <v>12658</v>
      </c>
      <c r="BF690" t="str">
        <f>HYPERLINK("http://dx.doi.org/10.1038/NGEO581","http://dx.doi.org/10.1038/NGEO581")</f>
        <v>http://dx.doi.org/10.1038/NGEO581</v>
      </c>
      <c r="BG690" t="s">
        <v>74</v>
      </c>
      <c r="BH690" t="s">
        <v>74</v>
      </c>
      <c r="BI690">
        <v>4</v>
      </c>
      <c r="BJ690" t="s">
        <v>464</v>
      </c>
      <c r="BK690" t="s">
        <v>98</v>
      </c>
      <c r="BL690" t="s">
        <v>465</v>
      </c>
      <c r="BM690" t="s">
        <v>12628</v>
      </c>
      <c r="BN690" t="s">
        <v>74</v>
      </c>
      <c r="BO690" t="s">
        <v>74</v>
      </c>
      <c r="BP690" t="s">
        <v>74</v>
      </c>
      <c r="BQ690" t="s">
        <v>74</v>
      </c>
      <c r="BR690" t="s">
        <v>101</v>
      </c>
      <c r="BS690" t="s">
        <v>12659</v>
      </c>
      <c r="BT690" t="str">
        <f>HYPERLINK("https%3A%2F%2Fwww.webofscience.com%2Fwos%2Fwoscc%2Ffull-record%2FWOS:000270061800020","View Full Record in Web of Science")</f>
        <v>View Full Record in Web of Science</v>
      </c>
    </row>
    <row r="691" spans="1:72" x14ac:dyDescent="0.15">
      <c r="A691" t="s">
        <v>72</v>
      </c>
      <c r="B691" t="s">
        <v>12660</v>
      </c>
      <c r="C691" t="s">
        <v>74</v>
      </c>
      <c r="D691" t="s">
        <v>74</v>
      </c>
      <c r="E691" t="s">
        <v>74</v>
      </c>
      <c r="F691" t="s">
        <v>12661</v>
      </c>
      <c r="G691" t="s">
        <v>74</v>
      </c>
      <c r="H691" t="s">
        <v>74</v>
      </c>
      <c r="I691" t="s">
        <v>12662</v>
      </c>
      <c r="J691" t="s">
        <v>12663</v>
      </c>
      <c r="K691" t="s">
        <v>74</v>
      </c>
      <c r="L691" t="s">
        <v>74</v>
      </c>
      <c r="M691" t="s">
        <v>78</v>
      </c>
      <c r="N691" t="s">
        <v>79</v>
      </c>
      <c r="O691" t="s">
        <v>74</v>
      </c>
      <c r="P691" t="s">
        <v>74</v>
      </c>
      <c r="Q691" t="s">
        <v>74</v>
      </c>
      <c r="R691" t="s">
        <v>74</v>
      </c>
      <c r="S691" t="s">
        <v>74</v>
      </c>
      <c r="T691" t="s">
        <v>12664</v>
      </c>
      <c r="U691" t="s">
        <v>74</v>
      </c>
      <c r="V691" t="s">
        <v>12665</v>
      </c>
      <c r="W691" t="s">
        <v>12666</v>
      </c>
      <c r="X691" t="s">
        <v>12667</v>
      </c>
      <c r="Y691" t="s">
        <v>12668</v>
      </c>
      <c r="Z691" t="s">
        <v>74</v>
      </c>
      <c r="AA691" t="s">
        <v>12669</v>
      </c>
      <c r="AB691" t="s">
        <v>12670</v>
      </c>
      <c r="AC691" t="s">
        <v>12671</v>
      </c>
      <c r="AD691" t="s">
        <v>12672</v>
      </c>
      <c r="AE691" t="s">
        <v>12673</v>
      </c>
      <c r="AF691" t="s">
        <v>74</v>
      </c>
      <c r="AG691">
        <v>21</v>
      </c>
      <c r="AH691">
        <v>13</v>
      </c>
      <c r="AI691">
        <v>13</v>
      </c>
      <c r="AJ691">
        <v>0</v>
      </c>
      <c r="AK691">
        <v>0</v>
      </c>
      <c r="AL691" t="s">
        <v>12674</v>
      </c>
      <c r="AM691" t="s">
        <v>2028</v>
      </c>
      <c r="AN691" t="s">
        <v>12675</v>
      </c>
      <c r="AO691" t="s">
        <v>12676</v>
      </c>
      <c r="AP691" t="s">
        <v>12677</v>
      </c>
      <c r="AQ691" t="s">
        <v>74</v>
      </c>
      <c r="AR691" t="s">
        <v>12663</v>
      </c>
      <c r="AS691" t="s">
        <v>12678</v>
      </c>
      <c r="AT691" t="s">
        <v>11524</v>
      </c>
      <c r="AU691">
        <v>2009</v>
      </c>
      <c r="AV691">
        <v>89</v>
      </c>
      <c r="AW691" t="s">
        <v>180</v>
      </c>
      <c r="AX691" t="s">
        <v>74</v>
      </c>
      <c r="AY691" t="s">
        <v>74</v>
      </c>
      <c r="AZ691" t="s">
        <v>74</v>
      </c>
      <c r="BA691" t="s">
        <v>74</v>
      </c>
      <c r="BB691">
        <v>121</v>
      </c>
      <c r="BC691">
        <v>129</v>
      </c>
      <c r="BD691" t="s">
        <v>74</v>
      </c>
      <c r="BE691" t="s">
        <v>12679</v>
      </c>
      <c r="BF691" t="str">
        <f>HYPERLINK("http://dx.doi.org/10.1127/0029-5035/2009/0089-0121","http://dx.doi.org/10.1127/0029-5035/2009/0089-0121")</f>
        <v>http://dx.doi.org/10.1127/0029-5035/2009/0089-0121</v>
      </c>
      <c r="BG691" t="s">
        <v>74</v>
      </c>
      <c r="BH691" t="s">
        <v>74</v>
      </c>
      <c r="BI691">
        <v>9</v>
      </c>
      <c r="BJ691" t="s">
        <v>1527</v>
      </c>
      <c r="BK691" t="s">
        <v>98</v>
      </c>
      <c r="BL691" t="s">
        <v>1527</v>
      </c>
      <c r="BM691" t="s">
        <v>12680</v>
      </c>
      <c r="BN691" t="s">
        <v>74</v>
      </c>
      <c r="BO691" t="s">
        <v>74</v>
      </c>
      <c r="BP691" t="s">
        <v>74</v>
      </c>
      <c r="BQ691" t="s">
        <v>74</v>
      </c>
      <c r="BR691" t="s">
        <v>101</v>
      </c>
      <c r="BS691" t="s">
        <v>12681</v>
      </c>
      <c r="BT691" t="str">
        <f>HYPERLINK("https%3A%2F%2Fwww.webofscience.com%2Fwos%2Fwoscc%2Ffull-record%2FWOS:000268616100006","View Full Record in Web of Science")</f>
        <v>View Full Record in Web of Science</v>
      </c>
    </row>
    <row r="692" spans="1:72" x14ac:dyDescent="0.15">
      <c r="A692" t="s">
        <v>72</v>
      </c>
      <c r="B692" t="s">
        <v>12682</v>
      </c>
      <c r="C692" t="s">
        <v>74</v>
      </c>
      <c r="D692" t="s">
        <v>74</v>
      </c>
      <c r="E692" t="s">
        <v>74</v>
      </c>
      <c r="F692" t="s">
        <v>12683</v>
      </c>
      <c r="G692" t="s">
        <v>74</v>
      </c>
      <c r="H692" t="s">
        <v>74</v>
      </c>
      <c r="I692" t="s">
        <v>12684</v>
      </c>
      <c r="J692" t="s">
        <v>8287</v>
      </c>
      <c r="K692" t="s">
        <v>74</v>
      </c>
      <c r="L692" t="s">
        <v>74</v>
      </c>
      <c r="M692" t="s">
        <v>78</v>
      </c>
      <c r="N692" t="s">
        <v>79</v>
      </c>
      <c r="O692" t="s">
        <v>74</v>
      </c>
      <c r="P692" t="s">
        <v>74</v>
      </c>
      <c r="Q692" t="s">
        <v>74</v>
      </c>
      <c r="R692" t="s">
        <v>74</v>
      </c>
      <c r="S692" t="s">
        <v>74</v>
      </c>
      <c r="T692" t="s">
        <v>74</v>
      </c>
      <c r="U692" t="s">
        <v>74</v>
      </c>
      <c r="V692" t="s">
        <v>12685</v>
      </c>
      <c r="W692" t="s">
        <v>12686</v>
      </c>
      <c r="X692" t="s">
        <v>8291</v>
      </c>
      <c r="Y692" t="s">
        <v>12687</v>
      </c>
      <c r="Z692" t="s">
        <v>12688</v>
      </c>
      <c r="AA692" t="s">
        <v>12689</v>
      </c>
      <c r="AB692" t="s">
        <v>74</v>
      </c>
      <c r="AC692" t="s">
        <v>12690</v>
      </c>
      <c r="AD692" t="s">
        <v>2800</v>
      </c>
      <c r="AE692" t="s">
        <v>12691</v>
      </c>
      <c r="AF692" t="s">
        <v>74</v>
      </c>
      <c r="AG692">
        <v>35</v>
      </c>
      <c r="AH692">
        <v>0</v>
      </c>
      <c r="AI692">
        <v>0</v>
      </c>
      <c r="AJ692">
        <v>0</v>
      </c>
      <c r="AK692">
        <v>1</v>
      </c>
      <c r="AL692" t="s">
        <v>1931</v>
      </c>
      <c r="AM692" t="s">
        <v>684</v>
      </c>
      <c r="AN692" t="s">
        <v>1932</v>
      </c>
      <c r="AO692" t="s">
        <v>8299</v>
      </c>
      <c r="AP692" t="s">
        <v>74</v>
      </c>
      <c r="AQ692" t="s">
        <v>74</v>
      </c>
      <c r="AR692" t="s">
        <v>8301</v>
      </c>
      <c r="AS692" t="s">
        <v>8302</v>
      </c>
      <c r="AT692" t="s">
        <v>11524</v>
      </c>
      <c r="AU692">
        <v>2009</v>
      </c>
      <c r="AV692">
        <v>49</v>
      </c>
      <c r="AW692">
        <v>4</v>
      </c>
      <c r="AX692" t="s">
        <v>74</v>
      </c>
      <c r="AY692" t="s">
        <v>74</v>
      </c>
      <c r="AZ692" t="s">
        <v>74</v>
      </c>
      <c r="BA692" t="s">
        <v>74</v>
      </c>
      <c r="BB692">
        <v>567</v>
      </c>
      <c r="BC692">
        <v>574</v>
      </c>
      <c r="BD692" t="s">
        <v>74</v>
      </c>
      <c r="BE692" t="s">
        <v>12692</v>
      </c>
      <c r="BF692" t="str">
        <f>HYPERLINK("http://dx.doi.org/10.1134/S0001437009040146","http://dx.doi.org/10.1134/S0001437009040146")</f>
        <v>http://dx.doi.org/10.1134/S0001437009040146</v>
      </c>
      <c r="BG692" t="s">
        <v>74</v>
      </c>
      <c r="BH692" t="s">
        <v>74</v>
      </c>
      <c r="BI692">
        <v>8</v>
      </c>
      <c r="BJ692" t="s">
        <v>806</v>
      </c>
      <c r="BK692" t="s">
        <v>98</v>
      </c>
      <c r="BL692" t="s">
        <v>806</v>
      </c>
      <c r="BM692" t="s">
        <v>12693</v>
      </c>
      <c r="BN692" t="s">
        <v>74</v>
      </c>
      <c r="BO692" t="s">
        <v>74</v>
      </c>
      <c r="BP692" t="s">
        <v>74</v>
      </c>
      <c r="BQ692" t="s">
        <v>74</v>
      </c>
      <c r="BR692" t="s">
        <v>101</v>
      </c>
      <c r="BS692" t="s">
        <v>12694</v>
      </c>
      <c r="BT692" t="str">
        <f>HYPERLINK("https%3A%2F%2Fwww.webofscience.com%2Fwos%2Fwoscc%2Ffull-record%2FWOS:000269974500014","View Full Record in Web of Science")</f>
        <v>View Full Record in Web of Science</v>
      </c>
    </row>
    <row r="693" spans="1:72" x14ac:dyDescent="0.15">
      <c r="A693" t="s">
        <v>72</v>
      </c>
      <c r="B693" t="s">
        <v>12695</v>
      </c>
      <c r="C693" t="s">
        <v>74</v>
      </c>
      <c r="D693" t="s">
        <v>74</v>
      </c>
      <c r="E693" t="s">
        <v>74</v>
      </c>
      <c r="F693" t="s">
        <v>12696</v>
      </c>
      <c r="G693" t="s">
        <v>74</v>
      </c>
      <c r="H693" t="s">
        <v>74</v>
      </c>
      <c r="I693" t="s">
        <v>12697</v>
      </c>
      <c r="J693" t="s">
        <v>12698</v>
      </c>
      <c r="K693" t="s">
        <v>74</v>
      </c>
      <c r="L693" t="s">
        <v>74</v>
      </c>
      <c r="M693" t="s">
        <v>78</v>
      </c>
      <c r="N693" t="s">
        <v>79</v>
      </c>
      <c r="O693" t="s">
        <v>74</v>
      </c>
      <c r="P693" t="s">
        <v>74</v>
      </c>
      <c r="Q693" t="s">
        <v>74</v>
      </c>
      <c r="R693" t="s">
        <v>74</v>
      </c>
      <c r="S693" t="s">
        <v>74</v>
      </c>
      <c r="T693" t="s">
        <v>12699</v>
      </c>
      <c r="U693" t="s">
        <v>12700</v>
      </c>
      <c r="V693" t="s">
        <v>12701</v>
      </c>
      <c r="W693" t="s">
        <v>12702</v>
      </c>
      <c r="X693" t="s">
        <v>12703</v>
      </c>
      <c r="Y693" t="s">
        <v>12704</v>
      </c>
      <c r="Z693" t="s">
        <v>12705</v>
      </c>
      <c r="AA693" t="s">
        <v>12706</v>
      </c>
      <c r="AB693" t="s">
        <v>12707</v>
      </c>
      <c r="AC693" t="s">
        <v>12708</v>
      </c>
      <c r="AD693" t="s">
        <v>12709</v>
      </c>
      <c r="AE693" t="s">
        <v>12710</v>
      </c>
      <c r="AF693" t="s">
        <v>74</v>
      </c>
      <c r="AG693">
        <v>80</v>
      </c>
      <c r="AH693">
        <v>55</v>
      </c>
      <c r="AI693">
        <v>60</v>
      </c>
      <c r="AJ693">
        <v>1</v>
      </c>
      <c r="AK693">
        <v>41</v>
      </c>
      <c r="AL693" t="s">
        <v>1850</v>
      </c>
      <c r="AM693" t="s">
        <v>684</v>
      </c>
      <c r="AN693" t="s">
        <v>3108</v>
      </c>
      <c r="AO693" t="s">
        <v>12711</v>
      </c>
      <c r="AP693" t="s">
        <v>12712</v>
      </c>
      <c r="AQ693" t="s">
        <v>74</v>
      </c>
      <c r="AR693" t="s">
        <v>12698</v>
      </c>
      <c r="AS693" t="s">
        <v>12713</v>
      </c>
      <c r="AT693" t="s">
        <v>11524</v>
      </c>
      <c r="AU693">
        <v>2009</v>
      </c>
      <c r="AV693">
        <v>161</v>
      </c>
      <c r="AW693">
        <v>2</v>
      </c>
      <c r="AX693" t="s">
        <v>74</v>
      </c>
      <c r="AY693" t="s">
        <v>74</v>
      </c>
      <c r="AZ693" t="s">
        <v>74</v>
      </c>
      <c r="BA693" t="s">
        <v>74</v>
      </c>
      <c r="BB693">
        <v>253</v>
      </c>
      <c r="BC693">
        <v>265</v>
      </c>
      <c r="BD693" t="s">
        <v>74</v>
      </c>
      <c r="BE693" t="s">
        <v>12714</v>
      </c>
      <c r="BF693" t="str">
        <f>HYPERLINK("http://dx.doi.org/10.1007/s00442-009-1387-9","http://dx.doi.org/10.1007/s00442-009-1387-9")</f>
        <v>http://dx.doi.org/10.1007/s00442-009-1387-9</v>
      </c>
      <c r="BG693" t="s">
        <v>74</v>
      </c>
      <c r="BH693" t="s">
        <v>74</v>
      </c>
      <c r="BI693">
        <v>13</v>
      </c>
      <c r="BJ693" t="s">
        <v>5022</v>
      </c>
      <c r="BK693" t="s">
        <v>98</v>
      </c>
      <c r="BL693" t="s">
        <v>516</v>
      </c>
      <c r="BM693" t="s">
        <v>12715</v>
      </c>
      <c r="BN693">
        <v>19543920</v>
      </c>
      <c r="BO693" t="s">
        <v>74</v>
      </c>
      <c r="BP693" t="s">
        <v>74</v>
      </c>
      <c r="BQ693" t="s">
        <v>74</v>
      </c>
      <c r="BR693" t="s">
        <v>101</v>
      </c>
      <c r="BS693" t="s">
        <v>12716</v>
      </c>
      <c r="BT693" t="str">
        <f>HYPERLINK("https%3A%2F%2Fwww.webofscience.com%2Fwos%2Fwoscc%2Ffull-record%2FWOS:000268548000004","View Full Record in Web of Science")</f>
        <v>View Full Record in Web of Science</v>
      </c>
    </row>
    <row r="694" spans="1:72" x14ac:dyDescent="0.15">
      <c r="A694" t="s">
        <v>72</v>
      </c>
      <c r="B694" t="s">
        <v>12717</v>
      </c>
      <c r="C694" t="s">
        <v>74</v>
      </c>
      <c r="D694" t="s">
        <v>74</v>
      </c>
      <c r="E694" t="s">
        <v>74</v>
      </c>
      <c r="F694" t="s">
        <v>12718</v>
      </c>
      <c r="G694" t="s">
        <v>74</v>
      </c>
      <c r="H694" t="s">
        <v>74</v>
      </c>
      <c r="I694" t="s">
        <v>12719</v>
      </c>
      <c r="J694" t="s">
        <v>12720</v>
      </c>
      <c r="K694" t="s">
        <v>74</v>
      </c>
      <c r="L694" t="s">
        <v>74</v>
      </c>
      <c r="M694" t="s">
        <v>78</v>
      </c>
      <c r="N694" t="s">
        <v>79</v>
      </c>
      <c r="O694" t="s">
        <v>74</v>
      </c>
      <c r="P694" t="s">
        <v>74</v>
      </c>
      <c r="Q694" t="s">
        <v>74</v>
      </c>
      <c r="R694" t="s">
        <v>74</v>
      </c>
      <c r="S694" t="s">
        <v>74</v>
      </c>
      <c r="T694" t="s">
        <v>74</v>
      </c>
      <c r="U694" t="s">
        <v>12721</v>
      </c>
      <c r="V694" t="s">
        <v>12722</v>
      </c>
      <c r="W694" t="s">
        <v>12723</v>
      </c>
      <c r="X694" t="s">
        <v>12724</v>
      </c>
      <c r="Y694" t="s">
        <v>12725</v>
      </c>
      <c r="Z694" t="s">
        <v>12726</v>
      </c>
      <c r="AA694" t="s">
        <v>12727</v>
      </c>
      <c r="AB694" t="s">
        <v>12728</v>
      </c>
      <c r="AC694" t="s">
        <v>12729</v>
      </c>
      <c r="AD694" t="s">
        <v>12730</v>
      </c>
      <c r="AE694" t="s">
        <v>12731</v>
      </c>
      <c r="AF694" t="s">
        <v>74</v>
      </c>
      <c r="AG694">
        <v>62</v>
      </c>
      <c r="AH694">
        <v>159</v>
      </c>
      <c r="AI694">
        <v>169</v>
      </c>
      <c r="AJ694">
        <v>2</v>
      </c>
      <c r="AK694">
        <v>55</v>
      </c>
      <c r="AL694" t="s">
        <v>1184</v>
      </c>
      <c r="AM694" t="s">
        <v>1185</v>
      </c>
      <c r="AN694" t="s">
        <v>1186</v>
      </c>
      <c r="AO694" t="s">
        <v>12732</v>
      </c>
      <c r="AP694" t="s">
        <v>12733</v>
      </c>
      <c r="AQ694" t="s">
        <v>74</v>
      </c>
      <c r="AR694" t="s">
        <v>12720</v>
      </c>
      <c r="AS694" t="s">
        <v>12734</v>
      </c>
      <c r="AT694" t="s">
        <v>11524</v>
      </c>
      <c r="AU694">
        <v>2009</v>
      </c>
      <c r="AV694">
        <v>118</v>
      </c>
      <c r="AW694">
        <v>8</v>
      </c>
      <c r="AX694" t="s">
        <v>74</v>
      </c>
      <c r="AY694" t="s">
        <v>74</v>
      </c>
      <c r="AZ694" t="s">
        <v>74</v>
      </c>
      <c r="BA694" t="s">
        <v>74</v>
      </c>
      <c r="BB694">
        <v>1239</v>
      </c>
      <c r="BC694">
        <v>1249</v>
      </c>
      <c r="BD694" t="s">
        <v>74</v>
      </c>
      <c r="BE694" t="s">
        <v>12735</v>
      </c>
      <c r="BF694" t="str">
        <f>HYPERLINK("http://dx.doi.org/10.1111/j.1600-0706.2009.17575.x","http://dx.doi.org/10.1111/j.1600-0706.2009.17575.x")</f>
        <v>http://dx.doi.org/10.1111/j.1600-0706.2009.17575.x</v>
      </c>
      <c r="BG694" t="s">
        <v>74</v>
      </c>
      <c r="BH694" t="s">
        <v>74</v>
      </c>
      <c r="BI694">
        <v>11</v>
      </c>
      <c r="BJ694" t="s">
        <v>5022</v>
      </c>
      <c r="BK694" t="s">
        <v>98</v>
      </c>
      <c r="BL694" t="s">
        <v>516</v>
      </c>
      <c r="BM694" t="s">
        <v>12736</v>
      </c>
      <c r="BN694" t="s">
        <v>74</v>
      </c>
      <c r="BO694" t="s">
        <v>239</v>
      </c>
      <c r="BP694" t="s">
        <v>74</v>
      </c>
      <c r="BQ694" t="s">
        <v>74</v>
      </c>
      <c r="BR694" t="s">
        <v>101</v>
      </c>
      <c r="BS694" t="s">
        <v>12737</v>
      </c>
      <c r="BT694" t="str">
        <f>HYPERLINK("https%3A%2F%2Fwww.webofscience.com%2Fwos%2Fwoscc%2Ffull-record%2FWOS:000268535300015","View Full Record in Web of Science")</f>
        <v>View Full Record in Web of Science</v>
      </c>
    </row>
    <row r="695" spans="1:72" x14ac:dyDescent="0.15">
      <c r="A695" t="s">
        <v>72</v>
      </c>
      <c r="B695" t="s">
        <v>12738</v>
      </c>
      <c r="C695" t="s">
        <v>74</v>
      </c>
      <c r="D695" t="s">
        <v>74</v>
      </c>
      <c r="E695" t="s">
        <v>74</v>
      </c>
      <c r="F695" t="s">
        <v>12739</v>
      </c>
      <c r="G695" t="s">
        <v>74</v>
      </c>
      <c r="H695" t="s">
        <v>74</v>
      </c>
      <c r="I695" t="s">
        <v>12740</v>
      </c>
      <c r="J695" t="s">
        <v>12741</v>
      </c>
      <c r="K695" t="s">
        <v>74</v>
      </c>
      <c r="L695" t="s">
        <v>74</v>
      </c>
      <c r="M695" t="s">
        <v>78</v>
      </c>
      <c r="N695" t="s">
        <v>52</v>
      </c>
      <c r="O695" t="s">
        <v>74</v>
      </c>
      <c r="P695" t="s">
        <v>74</v>
      </c>
      <c r="Q695" t="s">
        <v>74</v>
      </c>
      <c r="R695" t="s">
        <v>74</v>
      </c>
      <c r="S695" t="s">
        <v>74</v>
      </c>
      <c r="T695" t="s">
        <v>74</v>
      </c>
      <c r="U695" t="s">
        <v>12742</v>
      </c>
      <c r="V695" t="s">
        <v>74</v>
      </c>
      <c r="W695" t="s">
        <v>12743</v>
      </c>
      <c r="X695" t="s">
        <v>12744</v>
      </c>
      <c r="Y695" t="s">
        <v>74</v>
      </c>
      <c r="Z695" t="s">
        <v>12745</v>
      </c>
      <c r="AA695" t="s">
        <v>12746</v>
      </c>
      <c r="AB695" t="s">
        <v>12747</v>
      </c>
      <c r="AC695" t="s">
        <v>74</v>
      </c>
      <c r="AD695" t="s">
        <v>74</v>
      </c>
      <c r="AE695" t="s">
        <v>74</v>
      </c>
      <c r="AF695" t="s">
        <v>74</v>
      </c>
      <c r="AG695">
        <v>4</v>
      </c>
      <c r="AH695">
        <v>3</v>
      </c>
      <c r="AI695">
        <v>3</v>
      </c>
      <c r="AJ695">
        <v>0</v>
      </c>
      <c r="AK695">
        <v>4</v>
      </c>
      <c r="AL695" t="s">
        <v>1850</v>
      </c>
      <c r="AM695" t="s">
        <v>1851</v>
      </c>
      <c r="AN695" t="s">
        <v>1852</v>
      </c>
      <c r="AO695" t="s">
        <v>12748</v>
      </c>
      <c r="AP695" t="s">
        <v>74</v>
      </c>
      <c r="AQ695" t="s">
        <v>74</v>
      </c>
      <c r="AR695" t="s">
        <v>12749</v>
      </c>
      <c r="AS695" t="s">
        <v>12750</v>
      </c>
      <c r="AT695" t="s">
        <v>11524</v>
      </c>
      <c r="AU695">
        <v>2009</v>
      </c>
      <c r="AV695">
        <v>39</v>
      </c>
      <c r="AW695" t="s">
        <v>288</v>
      </c>
      <c r="AX695" t="s">
        <v>74</v>
      </c>
      <c r="AY695" t="s">
        <v>74</v>
      </c>
      <c r="AZ695" t="s">
        <v>74</v>
      </c>
      <c r="BA695" t="s">
        <v>74</v>
      </c>
      <c r="BB695">
        <v>225</v>
      </c>
      <c r="BC695">
        <v>226</v>
      </c>
      <c r="BD695" t="s">
        <v>74</v>
      </c>
      <c r="BE695" t="s">
        <v>74</v>
      </c>
      <c r="BF695" t="s">
        <v>74</v>
      </c>
      <c r="BG695" t="s">
        <v>74</v>
      </c>
      <c r="BH695" t="s">
        <v>74</v>
      </c>
      <c r="BI695">
        <v>2</v>
      </c>
      <c r="BJ695" t="s">
        <v>624</v>
      </c>
      <c r="BK695" t="s">
        <v>98</v>
      </c>
      <c r="BL695" t="s">
        <v>625</v>
      </c>
      <c r="BM695" t="s">
        <v>12751</v>
      </c>
      <c r="BN695" t="s">
        <v>74</v>
      </c>
      <c r="BO695" t="s">
        <v>74</v>
      </c>
      <c r="BP695" t="s">
        <v>74</v>
      </c>
      <c r="BQ695" t="s">
        <v>74</v>
      </c>
      <c r="BR695" t="s">
        <v>101</v>
      </c>
      <c r="BS695" t="s">
        <v>12752</v>
      </c>
      <c r="BT695" t="str">
        <f>HYPERLINK("https%3A%2F%2Fwww.webofscience.com%2Fwos%2Fwoscc%2Ffull-record%2FWOS:000267033300051","View Full Record in Web of Science")</f>
        <v>View Full Record in Web of Science</v>
      </c>
    </row>
    <row r="696" spans="1:72" x14ac:dyDescent="0.15">
      <c r="A696" t="s">
        <v>72</v>
      </c>
      <c r="B696" t="s">
        <v>12753</v>
      </c>
      <c r="C696" t="s">
        <v>74</v>
      </c>
      <c r="D696" t="s">
        <v>74</v>
      </c>
      <c r="E696" t="s">
        <v>74</v>
      </c>
      <c r="F696" t="s">
        <v>12754</v>
      </c>
      <c r="G696" t="s">
        <v>74</v>
      </c>
      <c r="H696" t="s">
        <v>74</v>
      </c>
      <c r="I696" t="s">
        <v>12755</v>
      </c>
      <c r="J696" t="s">
        <v>12756</v>
      </c>
      <c r="K696" t="s">
        <v>74</v>
      </c>
      <c r="L696" t="s">
        <v>74</v>
      </c>
      <c r="M696" t="s">
        <v>78</v>
      </c>
      <c r="N696" t="s">
        <v>79</v>
      </c>
      <c r="O696" t="s">
        <v>74</v>
      </c>
      <c r="P696" t="s">
        <v>74</v>
      </c>
      <c r="Q696" t="s">
        <v>74</v>
      </c>
      <c r="R696" t="s">
        <v>74</v>
      </c>
      <c r="S696" t="s">
        <v>74</v>
      </c>
      <c r="T696" t="s">
        <v>12757</v>
      </c>
      <c r="U696" t="s">
        <v>12758</v>
      </c>
      <c r="V696" t="s">
        <v>12759</v>
      </c>
      <c r="W696" t="s">
        <v>12760</v>
      </c>
      <c r="X696" t="s">
        <v>12761</v>
      </c>
      <c r="Y696" t="s">
        <v>12762</v>
      </c>
      <c r="Z696" t="s">
        <v>12763</v>
      </c>
      <c r="AA696" t="s">
        <v>12764</v>
      </c>
      <c r="AB696" t="s">
        <v>12765</v>
      </c>
      <c r="AC696" t="s">
        <v>74</v>
      </c>
      <c r="AD696" t="s">
        <v>74</v>
      </c>
      <c r="AE696" t="s">
        <v>74</v>
      </c>
      <c r="AF696" t="s">
        <v>74</v>
      </c>
      <c r="AG696">
        <v>22</v>
      </c>
      <c r="AH696">
        <v>10</v>
      </c>
      <c r="AI696">
        <v>11</v>
      </c>
      <c r="AJ696">
        <v>0</v>
      </c>
      <c r="AK696">
        <v>10</v>
      </c>
      <c r="AL696" t="s">
        <v>12766</v>
      </c>
      <c r="AM696" t="s">
        <v>12767</v>
      </c>
      <c r="AN696" t="s">
        <v>12768</v>
      </c>
      <c r="AO696" t="s">
        <v>12769</v>
      </c>
      <c r="AP696" t="s">
        <v>12770</v>
      </c>
      <c r="AQ696" t="s">
        <v>74</v>
      </c>
      <c r="AR696" t="s">
        <v>12771</v>
      </c>
      <c r="AS696" t="s">
        <v>12772</v>
      </c>
      <c r="AT696" t="s">
        <v>11524</v>
      </c>
      <c r="AU696">
        <v>2009</v>
      </c>
      <c r="AV696">
        <v>44</v>
      </c>
      <c r="AW696">
        <v>8</v>
      </c>
      <c r="AX696" t="s">
        <v>74</v>
      </c>
      <c r="AY696" t="s">
        <v>74</v>
      </c>
      <c r="AZ696" t="s">
        <v>74</v>
      </c>
      <c r="BA696" t="s">
        <v>74</v>
      </c>
      <c r="BB696">
        <v>891</v>
      </c>
      <c r="BC696">
        <v>895</v>
      </c>
      <c r="BD696" t="s">
        <v>74</v>
      </c>
      <c r="BE696" t="s">
        <v>12773</v>
      </c>
      <c r="BF696" t="str">
        <f>HYPERLINK("http://dx.doi.org/10.1590/S0100-204X2009000800013","http://dx.doi.org/10.1590/S0100-204X2009000800013")</f>
        <v>http://dx.doi.org/10.1590/S0100-204X2009000800013</v>
      </c>
      <c r="BG696" t="s">
        <v>74</v>
      </c>
      <c r="BH696" t="s">
        <v>74</v>
      </c>
      <c r="BI696">
        <v>5</v>
      </c>
      <c r="BJ696" t="s">
        <v>12774</v>
      </c>
      <c r="BK696" t="s">
        <v>98</v>
      </c>
      <c r="BL696" t="s">
        <v>8787</v>
      </c>
      <c r="BM696" t="s">
        <v>12775</v>
      </c>
      <c r="BN696" t="s">
        <v>74</v>
      </c>
      <c r="BO696" t="s">
        <v>12776</v>
      </c>
      <c r="BP696" t="s">
        <v>74</v>
      </c>
      <c r="BQ696" t="s">
        <v>74</v>
      </c>
      <c r="BR696" t="s">
        <v>101</v>
      </c>
      <c r="BS696" t="s">
        <v>12777</v>
      </c>
      <c r="BT696" t="str">
        <f>HYPERLINK("https%3A%2F%2Fwww.webofscience.com%2Fwos%2Fwoscc%2Ffull-record%2FWOS:000272088400013","View Full Record in Web of Science")</f>
        <v>View Full Record in Web of Science</v>
      </c>
    </row>
    <row r="697" spans="1:72" x14ac:dyDescent="0.15">
      <c r="A697" t="s">
        <v>72</v>
      </c>
      <c r="B697" t="s">
        <v>12778</v>
      </c>
      <c r="C697" t="s">
        <v>74</v>
      </c>
      <c r="D697" t="s">
        <v>74</v>
      </c>
      <c r="E697" t="s">
        <v>74</v>
      </c>
      <c r="F697" t="s">
        <v>12779</v>
      </c>
      <c r="G697" t="s">
        <v>74</v>
      </c>
      <c r="H697" t="s">
        <v>74</v>
      </c>
      <c r="I697" t="s">
        <v>12780</v>
      </c>
      <c r="J697" t="s">
        <v>3098</v>
      </c>
      <c r="K697" t="s">
        <v>74</v>
      </c>
      <c r="L697" t="s">
        <v>74</v>
      </c>
      <c r="M697" t="s">
        <v>78</v>
      </c>
      <c r="N697" t="s">
        <v>297</v>
      </c>
      <c r="O697" t="s">
        <v>74</v>
      </c>
      <c r="P697" t="s">
        <v>74</v>
      </c>
      <c r="Q697" t="s">
        <v>74</v>
      </c>
      <c r="R697" t="s">
        <v>74</v>
      </c>
      <c r="S697" t="s">
        <v>74</v>
      </c>
      <c r="T697" t="s">
        <v>12781</v>
      </c>
      <c r="U697" t="s">
        <v>12782</v>
      </c>
      <c r="V697" t="s">
        <v>12783</v>
      </c>
      <c r="W697" t="s">
        <v>12784</v>
      </c>
      <c r="X697" t="s">
        <v>12785</v>
      </c>
      <c r="Y697" t="s">
        <v>12786</v>
      </c>
      <c r="Z697" t="s">
        <v>12787</v>
      </c>
      <c r="AA697" t="s">
        <v>12788</v>
      </c>
      <c r="AB697" t="s">
        <v>12789</v>
      </c>
      <c r="AC697" t="s">
        <v>12790</v>
      </c>
      <c r="AD697" t="s">
        <v>12791</v>
      </c>
      <c r="AE697" t="s">
        <v>12792</v>
      </c>
      <c r="AF697" t="s">
        <v>74</v>
      </c>
      <c r="AG697">
        <v>140</v>
      </c>
      <c r="AH697">
        <v>103</v>
      </c>
      <c r="AI697">
        <v>106</v>
      </c>
      <c r="AJ697">
        <v>2</v>
      </c>
      <c r="AK697">
        <v>52</v>
      </c>
      <c r="AL697" t="s">
        <v>1850</v>
      </c>
      <c r="AM697" t="s">
        <v>684</v>
      </c>
      <c r="AN697" t="s">
        <v>3108</v>
      </c>
      <c r="AO697" t="s">
        <v>3109</v>
      </c>
      <c r="AP697" t="s">
        <v>3110</v>
      </c>
      <c r="AQ697" t="s">
        <v>74</v>
      </c>
      <c r="AR697" t="s">
        <v>3111</v>
      </c>
      <c r="AS697" t="s">
        <v>3112</v>
      </c>
      <c r="AT697" t="s">
        <v>11524</v>
      </c>
      <c r="AU697">
        <v>2009</v>
      </c>
      <c r="AV697">
        <v>32</v>
      </c>
      <c r="AW697">
        <v>8</v>
      </c>
      <c r="AX697" t="s">
        <v>74</v>
      </c>
      <c r="AY697" t="s">
        <v>74</v>
      </c>
      <c r="AZ697" t="s">
        <v>74</v>
      </c>
      <c r="BA697" t="s">
        <v>74</v>
      </c>
      <c r="BB697">
        <v>1095</v>
      </c>
      <c r="BC697">
        <v>1115</v>
      </c>
      <c r="BD697" t="s">
        <v>74</v>
      </c>
      <c r="BE697" t="s">
        <v>12793</v>
      </c>
      <c r="BF697" t="str">
        <f>HYPERLINK("http://dx.doi.org/10.1007/s00300-009-0640-3","http://dx.doi.org/10.1007/s00300-009-0640-3")</f>
        <v>http://dx.doi.org/10.1007/s00300-009-0640-3</v>
      </c>
      <c r="BG697" t="s">
        <v>74</v>
      </c>
      <c r="BH697" t="s">
        <v>74</v>
      </c>
      <c r="BI697">
        <v>21</v>
      </c>
      <c r="BJ697" t="s">
        <v>3114</v>
      </c>
      <c r="BK697" t="s">
        <v>98</v>
      </c>
      <c r="BL697" t="s">
        <v>3115</v>
      </c>
      <c r="BM697" t="s">
        <v>12794</v>
      </c>
      <c r="BN697">
        <v>32214635</v>
      </c>
      <c r="BO697" t="s">
        <v>491</v>
      </c>
      <c r="BP697" t="s">
        <v>74</v>
      </c>
      <c r="BQ697" t="s">
        <v>74</v>
      </c>
      <c r="BR697" t="s">
        <v>101</v>
      </c>
      <c r="BS697" t="s">
        <v>12795</v>
      </c>
      <c r="BT697" t="str">
        <f>HYPERLINK("https%3A%2F%2Fwww.webofscience.com%2Fwos%2Fwoscc%2Ffull-record%2FWOS:000268787700001","View Full Record in Web of Science")</f>
        <v>View Full Record in Web of Science</v>
      </c>
    </row>
    <row r="698" spans="1:72" x14ac:dyDescent="0.15">
      <c r="A698" t="s">
        <v>72</v>
      </c>
      <c r="B698" t="s">
        <v>12796</v>
      </c>
      <c r="C698" t="s">
        <v>74</v>
      </c>
      <c r="D698" t="s">
        <v>74</v>
      </c>
      <c r="E698" t="s">
        <v>74</v>
      </c>
      <c r="F698" t="s">
        <v>12797</v>
      </c>
      <c r="G698" t="s">
        <v>74</v>
      </c>
      <c r="H698" t="s">
        <v>74</v>
      </c>
      <c r="I698" t="s">
        <v>12798</v>
      </c>
      <c r="J698" t="s">
        <v>3098</v>
      </c>
      <c r="K698" t="s">
        <v>74</v>
      </c>
      <c r="L698" t="s">
        <v>74</v>
      </c>
      <c r="M698" t="s">
        <v>78</v>
      </c>
      <c r="N698" t="s">
        <v>79</v>
      </c>
      <c r="O698" t="s">
        <v>74</v>
      </c>
      <c r="P698" t="s">
        <v>74</v>
      </c>
      <c r="Q698" t="s">
        <v>74</v>
      </c>
      <c r="R698" t="s">
        <v>74</v>
      </c>
      <c r="S698" t="s">
        <v>74</v>
      </c>
      <c r="T698" t="s">
        <v>12799</v>
      </c>
      <c r="U698" t="s">
        <v>12800</v>
      </c>
      <c r="V698" t="s">
        <v>12801</v>
      </c>
      <c r="W698" t="s">
        <v>12802</v>
      </c>
      <c r="X698" t="s">
        <v>12803</v>
      </c>
      <c r="Y698" t="s">
        <v>12804</v>
      </c>
      <c r="Z698" t="s">
        <v>12805</v>
      </c>
      <c r="AA698" t="s">
        <v>12806</v>
      </c>
      <c r="AB698" t="s">
        <v>12807</v>
      </c>
      <c r="AC698" t="s">
        <v>74</v>
      </c>
      <c r="AD698" t="s">
        <v>74</v>
      </c>
      <c r="AE698" t="s">
        <v>74</v>
      </c>
      <c r="AF698" t="s">
        <v>74</v>
      </c>
      <c r="AG698">
        <v>28</v>
      </c>
      <c r="AH698">
        <v>11</v>
      </c>
      <c r="AI698">
        <v>12</v>
      </c>
      <c r="AJ698">
        <v>1</v>
      </c>
      <c r="AK698">
        <v>15</v>
      </c>
      <c r="AL698" t="s">
        <v>1850</v>
      </c>
      <c r="AM698" t="s">
        <v>684</v>
      </c>
      <c r="AN698" t="s">
        <v>2272</v>
      </c>
      <c r="AO698" t="s">
        <v>3109</v>
      </c>
      <c r="AP698" t="s">
        <v>3110</v>
      </c>
      <c r="AQ698" t="s">
        <v>74</v>
      </c>
      <c r="AR698" t="s">
        <v>3111</v>
      </c>
      <c r="AS698" t="s">
        <v>3112</v>
      </c>
      <c r="AT698" t="s">
        <v>11524</v>
      </c>
      <c r="AU698">
        <v>2009</v>
      </c>
      <c r="AV698">
        <v>32</v>
      </c>
      <c r="AW698">
        <v>8</v>
      </c>
      <c r="AX698" t="s">
        <v>74</v>
      </c>
      <c r="AY698" t="s">
        <v>74</v>
      </c>
      <c r="AZ698" t="s">
        <v>74</v>
      </c>
      <c r="BA698" t="s">
        <v>74</v>
      </c>
      <c r="BB698">
        <v>1147</v>
      </c>
      <c r="BC698">
        <v>1155</v>
      </c>
      <c r="BD698" t="s">
        <v>74</v>
      </c>
      <c r="BE698" t="s">
        <v>12808</v>
      </c>
      <c r="BF698" t="str">
        <f>HYPERLINK("http://dx.doi.org/10.1007/s00300-009-0611-8","http://dx.doi.org/10.1007/s00300-009-0611-8")</f>
        <v>http://dx.doi.org/10.1007/s00300-009-0611-8</v>
      </c>
      <c r="BG698" t="s">
        <v>74</v>
      </c>
      <c r="BH698" t="s">
        <v>74</v>
      </c>
      <c r="BI698">
        <v>9</v>
      </c>
      <c r="BJ698" t="s">
        <v>3114</v>
      </c>
      <c r="BK698" t="s">
        <v>98</v>
      </c>
      <c r="BL698" t="s">
        <v>3115</v>
      </c>
      <c r="BM698" t="s">
        <v>12794</v>
      </c>
      <c r="BN698" t="s">
        <v>74</v>
      </c>
      <c r="BO698" t="s">
        <v>74</v>
      </c>
      <c r="BP698" t="s">
        <v>74</v>
      </c>
      <c r="BQ698" t="s">
        <v>74</v>
      </c>
      <c r="BR698" t="s">
        <v>101</v>
      </c>
      <c r="BS698" t="s">
        <v>12809</v>
      </c>
      <c r="BT698" t="str">
        <f>HYPERLINK("https%3A%2F%2Fwww.webofscience.com%2Fwos%2Fwoscc%2Ffull-record%2FWOS:000268787700005","View Full Record in Web of Science")</f>
        <v>View Full Record in Web of Science</v>
      </c>
    </row>
    <row r="699" spans="1:72" x14ac:dyDescent="0.15">
      <c r="A699" t="s">
        <v>72</v>
      </c>
      <c r="B699" t="s">
        <v>12810</v>
      </c>
      <c r="C699" t="s">
        <v>74</v>
      </c>
      <c r="D699" t="s">
        <v>74</v>
      </c>
      <c r="E699" t="s">
        <v>74</v>
      </c>
      <c r="F699" t="s">
        <v>12811</v>
      </c>
      <c r="G699" t="s">
        <v>74</v>
      </c>
      <c r="H699" t="s">
        <v>74</v>
      </c>
      <c r="I699" t="s">
        <v>12812</v>
      </c>
      <c r="J699" t="s">
        <v>3098</v>
      </c>
      <c r="K699" t="s">
        <v>74</v>
      </c>
      <c r="L699" t="s">
        <v>74</v>
      </c>
      <c r="M699" t="s">
        <v>78</v>
      </c>
      <c r="N699" t="s">
        <v>79</v>
      </c>
      <c r="O699" t="s">
        <v>74</v>
      </c>
      <c r="P699" t="s">
        <v>74</v>
      </c>
      <c r="Q699" t="s">
        <v>74</v>
      </c>
      <c r="R699" t="s">
        <v>74</v>
      </c>
      <c r="S699" t="s">
        <v>74</v>
      </c>
      <c r="T699" t="s">
        <v>12813</v>
      </c>
      <c r="U699" t="s">
        <v>12814</v>
      </c>
      <c r="V699" t="s">
        <v>12815</v>
      </c>
      <c r="W699" t="s">
        <v>12816</v>
      </c>
      <c r="X699" t="s">
        <v>12817</v>
      </c>
      <c r="Y699" t="s">
        <v>12818</v>
      </c>
      <c r="Z699" t="s">
        <v>12819</v>
      </c>
      <c r="AA699" t="s">
        <v>74</v>
      </c>
      <c r="AB699" t="s">
        <v>74</v>
      </c>
      <c r="AC699" t="s">
        <v>74</v>
      </c>
      <c r="AD699" t="s">
        <v>74</v>
      </c>
      <c r="AE699" t="s">
        <v>74</v>
      </c>
      <c r="AF699" t="s">
        <v>74</v>
      </c>
      <c r="AG699">
        <v>24</v>
      </c>
      <c r="AH699">
        <v>8</v>
      </c>
      <c r="AI699">
        <v>9</v>
      </c>
      <c r="AJ699">
        <v>1</v>
      </c>
      <c r="AK699">
        <v>14</v>
      </c>
      <c r="AL699" t="s">
        <v>1850</v>
      </c>
      <c r="AM699" t="s">
        <v>684</v>
      </c>
      <c r="AN699" t="s">
        <v>2272</v>
      </c>
      <c r="AO699" t="s">
        <v>3109</v>
      </c>
      <c r="AP699" t="s">
        <v>3110</v>
      </c>
      <c r="AQ699" t="s">
        <v>74</v>
      </c>
      <c r="AR699" t="s">
        <v>3111</v>
      </c>
      <c r="AS699" t="s">
        <v>3112</v>
      </c>
      <c r="AT699" t="s">
        <v>11524</v>
      </c>
      <c r="AU699">
        <v>2009</v>
      </c>
      <c r="AV699">
        <v>32</v>
      </c>
      <c r="AW699">
        <v>8</v>
      </c>
      <c r="AX699" t="s">
        <v>74</v>
      </c>
      <c r="AY699" t="s">
        <v>74</v>
      </c>
      <c r="AZ699" t="s">
        <v>74</v>
      </c>
      <c r="BA699" t="s">
        <v>74</v>
      </c>
      <c r="BB699">
        <v>1177</v>
      </c>
      <c r="BC699">
        <v>1186</v>
      </c>
      <c r="BD699" t="s">
        <v>74</v>
      </c>
      <c r="BE699" t="s">
        <v>12820</v>
      </c>
      <c r="BF699" t="str">
        <f>HYPERLINK("http://dx.doi.org/10.1007/s00300-009-0615-4","http://dx.doi.org/10.1007/s00300-009-0615-4")</f>
        <v>http://dx.doi.org/10.1007/s00300-009-0615-4</v>
      </c>
      <c r="BG699" t="s">
        <v>74</v>
      </c>
      <c r="BH699" t="s">
        <v>74</v>
      </c>
      <c r="BI699">
        <v>10</v>
      </c>
      <c r="BJ699" t="s">
        <v>3114</v>
      </c>
      <c r="BK699" t="s">
        <v>98</v>
      </c>
      <c r="BL699" t="s">
        <v>3115</v>
      </c>
      <c r="BM699" t="s">
        <v>12794</v>
      </c>
      <c r="BN699" t="s">
        <v>74</v>
      </c>
      <c r="BO699" t="s">
        <v>74</v>
      </c>
      <c r="BP699" t="s">
        <v>74</v>
      </c>
      <c r="BQ699" t="s">
        <v>74</v>
      </c>
      <c r="BR699" t="s">
        <v>101</v>
      </c>
      <c r="BS699" t="s">
        <v>12821</v>
      </c>
      <c r="BT699" t="str">
        <f>HYPERLINK("https%3A%2F%2Fwww.webofscience.com%2Fwos%2Fwoscc%2Ffull-record%2FWOS:000268787700008","View Full Record in Web of Science")</f>
        <v>View Full Record in Web of Science</v>
      </c>
    </row>
    <row r="700" spans="1:72" x14ac:dyDescent="0.15">
      <c r="A700" t="s">
        <v>72</v>
      </c>
      <c r="B700" t="s">
        <v>12822</v>
      </c>
      <c r="C700" t="s">
        <v>74</v>
      </c>
      <c r="D700" t="s">
        <v>74</v>
      </c>
      <c r="E700" t="s">
        <v>74</v>
      </c>
      <c r="F700" t="s">
        <v>12823</v>
      </c>
      <c r="G700" t="s">
        <v>74</v>
      </c>
      <c r="H700" t="s">
        <v>74</v>
      </c>
      <c r="I700" t="s">
        <v>12824</v>
      </c>
      <c r="J700" t="s">
        <v>3098</v>
      </c>
      <c r="K700" t="s">
        <v>74</v>
      </c>
      <c r="L700" t="s">
        <v>74</v>
      </c>
      <c r="M700" t="s">
        <v>78</v>
      </c>
      <c r="N700" t="s">
        <v>79</v>
      </c>
      <c r="O700" t="s">
        <v>74</v>
      </c>
      <c r="P700" t="s">
        <v>74</v>
      </c>
      <c r="Q700" t="s">
        <v>74</v>
      </c>
      <c r="R700" t="s">
        <v>74</v>
      </c>
      <c r="S700" t="s">
        <v>74</v>
      </c>
      <c r="T700" t="s">
        <v>12825</v>
      </c>
      <c r="U700" t="s">
        <v>12826</v>
      </c>
      <c r="V700" t="s">
        <v>12827</v>
      </c>
      <c r="W700" t="s">
        <v>12828</v>
      </c>
      <c r="X700" t="s">
        <v>12829</v>
      </c>
      <c r="Y700" t="s">
        <v>12830</v>
      </c>
      <c r="Z700" t="s">
        <v>4886</v>
      </c>
      <c r="AA700" t="s">
        <v>74</v>
      </c>
      <c r="AB700" t="s">
        <v>12831</v>
      </c>
      <c r="AC700" t="s">
        <v>12832</v>
      </c>
      <c r="AD700" t="s">
        <v>573</v>
      </c>
      <c r="AE700" t="s">
        <v>74</v>
      </c>
      <c r="AF700" t="s">
        <v>74</v>
      </c>
      <c r="AG700">
        <v>24</v>
      </c>
      <c r="AH700">
        <v>5</v>
      </c>
      <c r="AI700">
        <v>5</v>
      </c>
      <c r="AJ700">
        <v>0</v>
      </c>
      <c r="AK700">
        <v>12</v>
      </c>
      <c r="AL700" t="s">
        <v>1850</v>
      </c>
      <c r="AM700" t="s">
        <v>684</v>
      </c>
      <c r="AN700" t="s">
        <v>2272</v>
      </c>
      <c r="AO700" t="s">
        <v>3109</v>
      </c>
      <c r="AP700" t="s">
        <v>3110</v>
      </c>
      <c r="AQ700" t="s">
        <v>74</v>
      </c>
      <c r="AR700" t="s">
        <v>3111</v>
      </c>
      <c r="AS700" t="s">
        <v>3112</v>
      </c>
      <c r="AT700" t="s">
        <v>11524</v>
      </c>
      <c r="AU700">
        <v>2009</v>
      </c>
      <c r="AV700">
        <v>32</v>
      </c>
      <c r="AW700">
        <v>8</v>
      </c>
      <c r="AX700" t="s">
        <v>74</v>
      </c>
      <c r="AY700" t="s">
        <v>74</v>
      </c>
      <c r="AZ700" t="s">
        <v>74</v>
      </c>
      <c r="BA700" t="s">
        <v>74</v>
      </c>
      <c r="BB700">
        <v>1187</v>
      </c>
      <c r="BC700">
        <v>1194</v>
      </c>
      <c r="BD700" t="s">
        <v>74</v>
      </c>
      <c r="BE700" t="s">
        <v>12833</v>
      </c>
      <c r="BF700" t="str">
        <f>HYPERLINK("http://dx.doi.org/10.1007/s00300-009-0617-2","http://dx.doi.org/10.1007/s00300-009-0617-2")</f>
        <v>http://dx.doi.org/10.1007/s00300-009-0617-2</v>
      </c>
      <c r="BG700" t="s">
        <v>74</v>
      </c>
      <c r="BH700" t="s">
        <v>74</v>
      </c>
      <c r="BI700">
        <v>8</v>
      </c>
      <c r="BJ700" t="s">
        <v>3114</v>
      </c>
      <c r="BK700" t="s">
        <v>98</v>
      </c>
      <c r="BL700" t="s">
        <v>3115</v>
      </c>
      <c r="BM700" t="s">
        <v>12794</v>
      </c>
      <c r="BN700" t="s">
        <v>74</v>
      </c>
      <c r="BO700" t="s">
        <v>74</v>
      </c>
      <c r="BP700" t="s">
        <v>74</v>
      </c>
      <c r="BQ700" t="s">
        <v>74</v>
      </c>
      <c r="BR700" t="s">
        <v>101</v>
      </c>
      <c r="BS700" t="s">
        <v>12834</v>
      </c>
      <c r="BT700" t="str">
        <f>HYPERLINK("https%3A%2F%2Fwww.webofscience.com%2Fwos%2Fwoscc%2Ffull-record%2FWOS:000268787700009","View Full Record in Web of Science")</f>
        <v>View Full Record in Web of Science</v>
      </c>
    </row>
    <row r="701" spans="1:72" x14ac:dyDescent="0.15">
      <c r="A701" t="s">
        <v>72</v>
      </c>
      <c r="B701" t="s">
        <v>12835</v>
      </c>
      <c r="C701" t="s">
        <v>74</v>
      </c>
      <c r="D701" t="s">
        <v>74</v>
      </c>
      <c r="E701" t="s">
        <v>74</v>
      </c>
      <c r="F701" t="s">
        <v>12836</v>
      </c>
      <c r="G701" t="s">
        <v>74</v>
      </c>
      <c r="H701" t="s">
        <v>74</v>
      </c>
      <c r="I701" t="s">
        <v>12837</v>
      </c>
      <c r="J701" t="s">
        <v>3098</v>
      </c>
      <c r="K701" t="s">
        <v>74</v>
      </c>
      <c r="L701" t="s">
        <v>74</v>
      </c>
      <c r="M701" t="s">
        <v>78</v>
      </c>
      <c r="N701" t="s">
        <v>79</v>
      </c>
      <c r="O701" t="s">
        <v>74</v>
      </c>
      <c r="P701" t="s">
        <v>74</v>
      </c>
      <c r="Q701" t="s">
        <v>74</v>
      </c>
      <c r="R701" t="s">
        <v>74</v>
      </c>
      <c r="S701" t="s">
        <v>74</v>
      </c>
      <c r="T701" t="s">
        <v>12838</v>
      </c>
      <c r="U701" t="s">
        <v>12839</v>
      </c>
      <c r="V701" t="s">
        <v>12840</v>
      </c>
      <c r="W701" t="s">
        <v>12841</v>
      </c>
      <c r="X701" t="s">
        <v>12842</v>
      </c>
      <c r="Y701" t="s">
        <v>12843</v>
      </c>
      <c r="Z701" t="s">
        <v>12844</v>
      </c>
      <c r="AA701" t="s">
        <v>12845</v>
      </c>
      <c r="AB701" t="s">
        <v>12846</v>
      </c>
      <c r="AC701" t="s">
        <v>12847</v>
      </c>
      <c r="AD701" t="s">
        <v>12848</v>
      </c>
      <c r="AE701" t="s">
        <v>12849</v>
      </c>
      <c r="AF701" t="s">
        <v>74</v>
      </c>
      <c r="AG701">
        <v>48</v>
      </c>
      <c r="AH701">
        <v>14</v>
      </c>
      <c r="AI701">
        <v>17</v>
      </c>
      <c r="AJ701">
        <v>0</v>
      </c>
      <c r="AK701">
        <v>18</v>
      </c>
      <c r="AL701" t="s">
        <v>1850</v>
      </c>
      <c r="AM701" t="s">
        <v>684</v>
      </c>
      <c r="AN701" t="s">
        <v>3108</v>
      </c>
      <c r="AO701" t="s">
        <v>3109</v>
      </c>
      <c r="AP701" t="s">
        <v>3110</v>
      </c>
      <c r="AQ701" t="s">
        <v>74</v>
      </c>
      <c r="AR701" t="s">
        <v>3111</v>
      </c>
      <c r="AS701" t="s">
        <v>3112</v>
      </c>
      <c r="AT701" t="s">
        <v>11524</v>
      </c>
      <c r="AU701">
        <v>2009</v>
      </c>
      <c r="AV701">
        <v>32</v>
      </c>
      <c r="AW701">
        <v>8</v>
      </c>
      <c r="AX701" t="s">
        <v>74</v>
      </c>
      <c r="AY701" t="s">
        <v>74</v>
      </c>
      <c r="AZ701" t="s">
        <v>74</v>
      </c>
      <c r="BA701" t="s">
        <v>74</v>
      </c>
      <c r="BB701">
        <v>1195</v>
      </c>
      <c r="BC701">
        <v>1202</v>
      </c>
      <c r="BD701" t="s">
        <v>74</v>
      </c>
      <c r="BE701" t="s">
        <v>12850</v>
      </c>
      <c r="BF701" t="str">
        <f>HYPERLINK("http://dx.doi.org/10.1007/s00300-009-0619-0","http://dx.doi.org/10.1007/s00300-009-0619-0")</f>
        <v>http://dx.doi.org/10.1007/s00300-009-0619-0</v>
      </c>
      <c r="BG701" t="s">
        <v>74</v>
      </c>
      <c r="BH701" t="s">
        <v>74</v>
      </c>
      <c r="BI701">
        <v>8</v>
      </c>
      <c r="BJ701" t="s">
        <v>3114</v>
      </c>
      <c r="BK701" t="s">
        <v>98</v>
      </c>
      <c r="BL701" t="s">
        <v>3115</v>
      </c>
      <c r="BM701" t="s">
        <v>12794</v>
      </c>
      <c r="BN701" t="s">
        <v>74</v>
      </c>
      <c r="BO701" t="s">
        <v>74</v>
      </c>
      <c r="BP701" t="s">
        <v>74</v>
      </c>
      <c r="BQ701" t="s">
        <v>74</v>
      </c>
      <c r="BR701" t="s">
        <v>101</v>
      </c>
      <c r="BS701" t="s">
        <v>12851</v>
      </c>
      <c r="BT701" t="str">
        <f>HYPERLINK("https%3A%2F%2Fwww.webofscience.com%2Fwos%2Fwoscc%2Ffull-record%2FWOS:000268787700010","View Full Record in Web of Science")</f>
        <v>View Full Record in Web of Science</v>
      </c>
    </row>
    <row r="702" spans="1:72" x14ac:dyDescent="0.15">
      <c r="A702" t="s">
        <v>72</v>
      </c>
      <c r="B702" t="s">
        <v>12852</v>
      </c>
      <c r="C702" t="s">
        <v>74</v>
      </c>
      <c r="D702" t="s">
        <v>74</v>
      </c>
      <c r="E702" t="s">
        <v>74</v>
      </c>
      <c r="F702" t="s">
        <v>12853</v>
      </c>
      <c r="G702" t="s">
        <v>74</v>
      </c>
      <c r="H702" t="s">
        <v>74</v>
      </c>
      <c r="I702" t="s">
        <v>12854</v>
      </c>
      <c r="J702" t="s">
        <v>3098</v>
      </c>
      <c r="K702" t="s">
        <v>74</v>
      </c>
      <c r="L702" t="s">
        <v>74</v>
      </c>
      <c r="M702" t="s">
        <v>78</v>
      </c>
      <c r="N702" t="s">
        <v>79</v>
      </c>
      <c r="O702" t="s">
        <v>74</v>
      </c>
      <c r="P702" t="s">
        <v>74</v>
      </c>
      <c r="Q702" t="s">
        <v>74</v>
      </c>
      <c r="R702" t="s">
        <v>74</v>
      </c>
      <c r="S702" t="s">
        <v>74</v>
      </c>
      <c r="T702" t="s">
        <v>12855</v>
      </c>
      <c r="U702" t="s">
        <v>12856</v>
      </c>
      <c r="V702" t="s">
        <v>12857</v>
      </c>
      <c r="W702" t="s">
        <v>12858</v>
      </c>
      <c r="X702" t="s">
        <v>74</v>
      </c>
      <c r="Y702" t="s">
        <v>12859</v>
      </c>
      <c r="Z702" t="s">
        <v>12860</v>
      </c>
      <c r="AA702" t="s">
        <v>12861</v>
      </c>
      <c r="AB702" t="s">
        <v>12862</v>
      </c>
      <c r="AC702" t="s">
        <v>74</v>
      </c>
      <c r="AD702" t="s">
        <v>74</v>
      </c>
      <c r="AE702" t="s">
        <v>74</v>
      </c>
      <c r="AF702" t="s">
        <v>74</v>
      </c>
      <c r="AG702">
        <v>40</v>
      </c>
      <c r="AH702">
        <v>11</v>
      </c>
      <c r="AI702">
        <v>13</v>
      </c>
      <c r="AJ702">
        <v>1</v>
      </c>
      <c r="AK702">
        <v>8</v>
      </c>
      <c r="AL702" t="s">
        <v>1850</v>
      </c>
      <c r="AM702" t="s">
        <v>684</v>
      </c>
      <c r="AN702" t="s">
        <v>2272</v>
      </c>
      <c r="AO702" t="s">
        <v>3109</v>
      </c>
      <c r="AP702" t="s">
        <v>3110</v>
      </c>
      <c r="AQ702" t="s">
        <v>74</v>
      </c>
      <c r="AR702" t="s">
        <v>3111</v>
      </c>
      <c r="AS702" t="s">
        <v>3112</v>
      </c>
      <c r="AT702" t="s">
        <v>11524</v>
      </c>
      <c r="AU702">
        <v>2009</v>
      </c>
      <c r="AV702">
        <v>32</v>
      </c>
      <c r="AW702">
        <v>8</v>
      </c>
      <c r="AX702" t="s">
        <v>74</v>
      </c>
      <c r="AY702" t="s">
        <v>74</v>
      </c>
      <c r="AZ702" t="s">
        <v>74</v>
      </c>
      <c r="BA702" t="s">
        <v>74</v>
      </c>
      <c r="BB702">
        <v>1239</v>
      </c>
      <c r="BC702">
        <v>1243</v>
      </c>
      <c r="BD702" t="s">
        <v>74</v>
      </c>
      <c r="BE702" t="s">
        <v>12863</v>
      </c>
      <c r="BF702" t="str">
        <f>HYPERLINK("http://dx.doi.org/10.1007/s00300-009-0680-8","http://dx.doi.org/10.1007/s00300-009-0680-8")</f>
        <v>http://dx.doi.org/10.1007/s00300-009-0680-8</v>
      </c>
      <c r="BG702" t="s">
        <v>74</v>
      </c>
      <c r="BH702" t="s">
        <v>74</v>
      </c>
      <c r="BI702">
        <v>5</v>
      </c>
      <c r="BJ702" t="s">
        <v>3114</v>
      </c>
      <c r="BK702" t="s">
        <v>98</v>
      </c>
      <c r="BL702" t="s">
        <v>3115</v>
      </c>
      <c r="BM702" t="s">
        <v>12794</v>
      </c>
      <c r="BN702" t="s">
        <v>74</v>
      </c>
      <c r="BO702" t="s">
        <v>74</v>
      </c>
      <c r="BP702" t="s">
        <v>74</v>
      </c>
      <c r="BQ702" t="s">
        <v>74</v>
      </c>
      <c r="BR702" t="s">
        <v>101</v>
      </c>
      <c r="BS702" t="s">
        <v>12864</v>
      </c>
      <c r="BT702" t="str">
        <f>HYPERLINK("https%3A%2F%2Fwww.webofscience.com%2Fwos%2Fwoscc%2Ffull-record%2FWOS:000268787700016","View Full Record in Web of Science")</f>
        <v>View Full Record in Web of Science</v>
      </c>
    </row>
    <row r="703" spans="1:72" x14ac:dyDescent="0.15">
      <c r="A703" t="s">
        <v>72</v>
      </c>
      <c r="B703" t="s">
        <v>12865</v>
      </c>
      <c r="C703" t="s">
        <v>74</v>
      </c>
      <c r="D703" t="s">
        <v>74</v>
      </c>
      <c r="E703" t="s">
        <v>74</v>
      </c>
      <c r="F703" t="s">
        <v>12866</v>
      </c>
      <c r="G703" t="s">
        <v>74</v>
      </c>
      <c r="H703" t="s">
        <v>74</v>
      </c>
      <c r="I703" t="s">
        <v>12867</v>
      </c>
      <c r="J703" t="s">
        <v>3202</v>
      </c>
      <c r="K703" t="s">
        <v>74</v>
      </c>
      <c r="L703" t="s">
        <v>74</v>
      </c>
      <c r="M703" t="s">
        <v>78</v>
      </c>
      <c r="N703" t="s">
        <v>297</v>
      </c>
      <c r="O703" t="s">
        <v>74</v>
      </c>
      <c r="P703" t="s">
        <v>74</v>
      </c>
      <c r="Q703" t="s">
        <v>74</v>
      </c>
      <c r="R703" t="s">
        <v>74</v>
      </c>
      <c r="S703" t="s">
        <v>74</v>
      </c>
      <c r="T703" t="s">
        <v>12868</v>
      </c>
      <c r="U703" t="s">
        <v>12869</v>
      </c>
      <c r="V703" t="s">
        <v>12870</v>
      </c>
      <c r="W703" t="s">
        <v>12871</v>
      </c>
      <c r="X703" t="s">
        <v>12872</v>
      </c>
      <c r="Y703" t="s">
        <v>12873</v>
      </c>
      <c r="Z703" t="s">
        <v>12874</v>
      </c>
      <c r="AA703" t="s">
        <v>74</v>
      </c>
      <c r="AB703" t="s">
        <v>9161</v>
      </c>
      <c r="AC703" t="s">
        <v>9162</v>
      </c>
      <c r="AD703" t="s">
        <v>730</v>
      </c>
      <c r="AE703" t="s">
        <v>74</v>
      </c>
      <c r="AF703" t="s">
        <v>74</v>
      </c>
      <c r="AG703">
        <v>102</v>
      </c>
      <c r="AH703">
        <v>101</v>
      </c>
      <c r="AI703">
        <v>118</v>
      </c>
      <c r="AJ703">
        <v>9</v>
      </c>
      <c r="AK703">
        <v>117</v>
      </c>
      <c r="AL703" t="s">
        <v>3254</v>
      </c>
      <c r="AM703" t="s">
        <v>3255</v>
      </c>
      <c r="AN703" t="s">
        <v>3256</v>
      </c>
      <c r="AO703" t="s">
        <v>3214</v>
      </c>
      <c r="AP703" t="s">
        <v>3215</v>
      </c>
      <c r="AQ703" t="s">
        <v>74</v>
      </c>
      <c r="AR703" t="s">
        <v>3257</v>
      </c>
      <c r="AS703" t="s">
        <v>3217</v>
      </c>
      <c r="AT703" t="s">
        <v>11524</v>
      </c>
      <c r="AU703">
        <v>2009</v>
      </c>
      <c r="AV703">
        <v>28</v>
      </c>
      <c r="AW703">
        <v>2</v>
      </c>
      <c r="AX703" t="s">
        <v>74</v>
      </c>
      <c r="AY703" t="s">
        <v>74</v>
      </c>
      <c r="AZ703" t="s">
        <v>74</v>
      </c>
      <c r="BA703" t="s">
        <v>74</v>
      </c>
      <c r="BB703">
        <v>146</v>
      </c>
      <c r="BC703">
        <v>164</v>
      </c>
      <c r="BD703" t="s">
        <v>74</v>
      </c>
      <c r="BE703" t="s">
        <v>12875</v>
      </c>
      <c r="BF703" t="str">
        <f>HYPERLINK("http://dx.doi.org/10.1111/j.1751-8369.2009.00128.x","http://dx.doi.org/10.1111/j.1751-8369.2009.00128.x")</f>
        <v>http://dx.doi.org/10.1111/j.1751-8369.2009.00128.x</v>
      </c>
      <c r="BG703" t="s">
        <v>74</v>
      </c>
      <c r="BH703" t="s">
        <v>74</v>
      </c>
      <c r="BI703">
        <v>19</v>
      </c>
      <c r="BJ703" t="s">
        <v>3219</v>
      </c>
      <c r="BK703" t="s">
        <v>98</v>
      </c>
      <c r="BL703" t="s">
        <v>3220</v>
      </c>
      <c r="BM703" t="s">
        <v>12876</v>
      </c>
      <c r="BN703" t="s">
        <v>74</v>
      </c>
      <c r="BO703" t="s">
        <v>3849</v>
      </c>
      <c r="BP703" t="s">
        <v>74</v>
      </c>
      <c r="BQ703" t="s">
        <v>74</v>
      </c>
      <c r="BR703" t="s">
        <v>101</v>
      </c>
      <c r="BS703" t="s">
        <v>12877</v>
      </c>
      <c r="BT703" t="str">
        <f>HYPERLINK("https%3A%2F%2Fwww.webofscience.com%2Fwos%2Fwoscc%2Ffull-record%2FWOS:000268302600002","View Full Record in Web of Science")</f>
        <v>View Full Record in Web of Science</v>
      </c>
    </row>
    <row r="704" spans="1:72" x14ac:dyDescent="0.15">
      <c r="A704" t="s">
        <v>72</v>
      </c>
      <c r="B704" t="s">
        <v>12878</v>
      </c>
      <c r="C704" t="s">
        <v>74</v>
      </c>
      <c r="D704" t="s">
        <v>74</v>
      </c>
      <c r="E704" t="s">
        <v>74</v>
      </c>
      <c r="F704" t="s">
        <v>12879</v>
      </c>
      <c r="G704" t="s">
        <v>74</v>
      </c>
      <c r="H704" t="s">
        <v>74</v>
      </c>
      <c r="I704" t="s">
        <v>12880</v>
      </c>
      <c r="J704" t="s">
        <v>3202</v>
      </c>
      <c r="K704" t="s">
        <v>74</v>
      </c>
      <c r="L704" t="s">
        <v>74</v>
      </c>
      <c r="M704" t="s">
        <v>78</v>
      </c>
      <c r="N704" t="s">
        <v>79</v>
      </c>
      <c r="O704" t="s">
        <v>74</v>
      </c>
      <c r="P704" t="s">
        <v>74</v>
      </c>
      <c r="Q704" t="s">
        <v>74</v>
      </c>
      <c r="R704" t="s">
        <v>74</v>
      </c>
      <c r="S704" t="s">
        <v>74</v>
      </c>
      <c r="T704" t="s">
        <v>12881</v>
      </c>
      <c r="U704" t="s">
        <v>12882</v>
      </c>
      <c r="V704" t="s">
        <v>12883</v>
      </c>
      <c r="W704" t="s">
        <v>12884</v>
      </c>
      <c r="X704" t="s">
        <v>12885</v>
      </c>
      <c r="Y704" t="s">
        <v>12886</v>
      </c>
      <c r="Z704" t="s">
        <v>12887</v>
      </c>
      <c r="AA704" t="s">
        <v>74</v>
      </c>
      <c r="AB704" t="s">
        <v>7620</v>
      </c>
      <c r="AC704" t="s">
        <v>12888</v>
      </c>
      <c r="AD704" t="s">
        <v>12889</v>
      </c>
      <c r="AE704" t="s">
        <v>12890</v>
      </c>
      <c r="AF704" t="s">
        <v>74</v>
      </c>
      <c r="AG704">
        <v>72</v>
      </c>
      <c r="AH704">
        <v>16</v>
      </c>
      <c r="AI704">
        <v>16</v>
      </c>
      <c r="AJ704">
        <v>0</v>
      </c>
      <c r="AK704">
        <v>11</v>
      </c>
      <c r="AL704" t="s">
        <v>2614</v>
      </c>
      <c r="AM704" t="s">
        <v>2615</v>
      </c>
      <c r="AN704" t="s">
        <v>2910</v>
      </c>
      <c r="AO704" t="s">
        <v>3214</v>
      </c>
      <c r="AP704" t="s">
        <v>3215</v>
      </c>
      <c r="AQ704" t="s">
        <v>74</v>
      </c>
      <c r="AR704" t="s">
        <v>3216</v>
      </c>
      <c r="AS704" t="s">
        <v>3217</v>
      </c>
      <c r="AT704" t="s">
        <v>11524</v>
      </c>
      <c r="AU704">
        <v>2009</v>
      </c>
      <c r="AV704">
        <v>28</v>
      </c>
      <c r="AW704">
        <v>2</v>
      </c>
      <c r="AX704" t="s">
        <v>74</v>
      </c>
      <c r="AY704" t="s">
        <v>74</v>
      </c>
      <c r="AZ704" t="s">
        <v>74</v>
      </c>
      <c r="BA704" t="s">
        <v>74</v>
      </c>
      <c r="BB704">
        <v>177</v>
      </c>
      <c r="BC704">
        <v>192</v>
      </c>
      <c r="BD704" t="s">
        <v>74</v>
      </c>
      <c r="BE704" t="s">
        <v>12891</v>
      </c>
      <c r="BF704" t="str">
        <f>HYPERLINK("http://dx.doi.org/10.1111/j.1751-8369.2009.00109.x","http://dx.doi.org/10.1111/j.1751-8369.2009.00109.x")</f>
        <v>http://dx.doi.org/10.1111/j.1751-8369.2009.00109.x</v>
      </c>
      <c r="BG704" t="s">
        <v>74</v>
      </c>
      <c r="BH704" t="s">
        <v>74</v>
      </c>
      <c r="BI704">
        <v>16</v>
      </c>
      <c r="BJ704" t="s">
        <v>3219</v>
      </c>
      <c r="BK704" t="s">
        <v>98</v>
      </c>
      <c r="BL704" t="s">
        <v>3220</v>
      </c>
      <c r="BM704" t="s">
        <v>12876</v>
      </c>
      <c r="BN704" t="s">
        <v>74</v>
      </c>
      <c r="BO704" t="s">
        <v>263</v>
      </c>
      <c r="BP704" t="s">
        <v>74</v>
      </c>
      <c r="BQ704" t="s">
        <v>74</v>
      </c>
      <c r="BR704" t="s">
        <v>101</v>
      </c>
      <c r="BS704" t="s">
        <v>12892</v>
      </c>
      <c r="BT704" t="str">
        <f>HYPERLINK("https%3A%2F%2Fwww.webofscience.com%2Fwos%2Fwoscc%2Ffull-record%2FWOS:000268302600004","View Full Record in Web of Science")</f>
        <v>View Full Record in Web of Science</v>
      </c>
    </row>
    <row r="705" spans="1:72" x14ac:dyDescent="0.15">
      <c r="A705" t="s">
        <v>72</v>
      </c>
      <c r="B705" t="s">
        <v>12893</v>
      </c>
      <c r="C705" t="s">
        <v>74</v>
      </c>
      <c r="D705" t="s">
        <v>74</v>
      </c>
      <c r="E705" t="s">
        <v>74</v>
      </c>
      <c r="F705" t="s">
        <v>12894</v>
      </c>
      <c r="G705" t="s">
        <v>74</v>
      </c>
      <c r="H705" t="s">
        <v>74</v>
      </c>
      <c r="I705" t="s">
        <v>12895</v>
      </c>
      <c r="J705" t="s">
        <v>3202</v>
      </c>
      <c r="K705" t="s">
        <v>74</v>
      </c>
      <c r="L705" t="s">
        <v>74</v>
      </c>
      <c r="M705" t="s">
        <v>78</v>
      </c>
      <c r="N705" t="s">
        <v>79</v>
      </c>
      <c r="O705" t="s">
        <v>74</v>
      </c>
      <c r="P705" t="s">
        <v>74</v>
      </c>
      <c r="Q705" t="s">
        <v>74</v>
      </c>
      <c r="R705" t="s">
        <v>74</v>
      </c>
      <c r="S705" t="s">
        <v>74</v>
      </c>
      <c r="T705" t="s">
        <v>12896</v>
      </c>
      <c r="U705" t="s">
        <v>12897</v>
      </c>
      <c r="V705" t="s">
        <v>12898</v>
      </c>
      <c r="W705" t="s">
        <v>12899</v>
      </c>
      <c r="X705" t="s">
        <v>12900</v>
      </c>
      <c r="Y705" t="s">
        <v>12901</v>
      </c>
      <c r="Z705" t="s">
        <v>12902</v>
      </c>
      <c r="AA705" t="s">
        <v>12903</v>
      </c>
      <c r="AB705" t="s">
        <v>12904</v>
      </c>
      <c r="AC705" t="s">
        <v>12905</v>
      </c>
      <c r="AD705" t="s">
        <v>12906</v>
      </c>
      <c r="AE705" t="s">
        <v>12907</v>
      </c>
      <c r="AF705" t="s">
        <v>74</v>
      </c>
      <c r="AG705">
        <v>51</v>
      </c>
      <c r="AH705">
        <v>22</v>
      </c>
      <c r="AI705">
        <v>22</v>
      </c>
      <c r="AJ705">
        <v>0</v>
      </c>
      <c r="AK705">
        <v>4</v>
      </c>
      <c r="AL705" t="s">
        <v>12908</v>
      </c>
      <c r="AM705" t="s">
        <v>12909</v>
      </c>
      <c r="AN705" t="s">
        <v>12910</v>
      </c>
      <c r="AO705" t="s">
        <v>3214</v>
      </c>
      <c r="AP705" t="s">
        <v>3215</v>
      </c>
      <c r="AQ705" t="s">
        <v>74</v>
      </c>
      <c r="AR705" t="s">
        <v>3216</v>
      </c>
      <c r="AS705" t="s">
        <v>3217</v>
      </c>
      <c r="AT705" t="s">
        <v>11524</v>
      </c>
      <c r="AU705">
        <v>2009</v>
      </c>
      <c r="AV705">
        <v>28</v>
      </c>
      <c r="AW705">
        <v>2</v>
      </c>
      <c r="AX705" t="s">
        <v>74</v>
      </c>
      <c r="AY705" t="s">
        <v>74</v>
      </c>
      <c r="AZ705" t="s">
        <v>74</v>
      </c>
      <c r="BA705" t="s">
        <v>74</v>
      </c>
      <c r="BB705">
        <v>193</v>
      </c>
      <c r="BC705">
        <v>202</v>
      </c>
      <c r="BD705" t="s">
        <v>74</v>
      </c>
      <c r="BE705" t="s">
        <v>12911</v>
      </c>
      <c r="BF705" t="str">
        <f>HYPERLINK("http://dx.doi.org/10.1111/j.1751-8369.2008.00091.x","http://dx.doi.org/10.1111/j.1751-8369.2008.00091.x")</f>
        <v>http://dx.doi.org/10.1111/j.1751-8369.2008.00091.x</v>
      </c>
      <c r="BG705" t="s">
        <v>74</v>
      </c>
      <c r="BH705" t="s">
        <v>74</v>
      </c>
      <c r="BI705">
        <v>10</v>
      </c>
      <c r="BJ705" t="s">
        <v>3219</v>
      </c>
      <c r="BK705" t="s">
        <v>98</v>
      </c>
      <c r="BL705" t="s">
        <v>3220</v>
      </c>
      <c r="BM705" t="s">
        <v>12876</v>
      </c>
      <c r="BN705" t="s">
        <v>74</v>
      </c>
      <c r="BO705" t="s">
        <v>263</v>
      </c>
      <c r="BP705" t="s">
        <v>74</v>
      </c>
      <c r="BQ705" t="s">
        <v>74</v>
      </c>
      <c r="BR705" t="s">
        <v>101</v>
      </c>
      <c r="BS705" t="s">
        <v>12912</v>
      </c>
      <c r="BT705" t="str">
        <f>HYPERLINK("https%3A%2F%2Fwww.webofscience.com%2Fwos%2Fwoscc%2Ffull-record%2FWOS:000268302600005","View Full Record in Web of Science")</f>
        <v>View Full Record in Web of Science</v>
      </c>
    </row>
    <row r="706" spans="1:72" x14ac:dyDescent="0.15">
      <c r="A706" t="s">
        <v>72</v>
      </c>
      <c r="B706" t="s">
        <v>12913</v>
      </c>
      <c r="C706" t="s">
        <v>74</v>
      </c>
      <c r="D706" t="s">
        <v>74</v>
      </c>
      <c r="E706" t="s">
        <v>74</v>
      </c>
      <c r="F706" t="s">
        <v>12914</v>
      </c>
      <c r="G706" t="s">
        <v>74</v>
      </c>
      <c r="H706" t="s">
        <v>74</v>
      </c>
      <c r="I706" t="s">
        <v>12915</v>
      </c>
      <c r="J706" t="s">
        <v>3202</v>
      </c>
      <c r="K706" t="s">
        <v>74</v>
      </c>
      <c r="L706" t="s">
        <v>74</v>
      </c>
      <c r="M706" t="s">
        <v>78</v>
      </c>
      <c r="N706" t="s">
        <v>79</v>
      </c>
      <c r="O706" t="s">
        <v>74</v>
      </c>
      <c r="P706" t="s">
        <v>74</v>
      </c>
      <c r="Q706" t="s">
        <v>74</v>
      </c>
      <c r="R706" t="s">
        <v>74</v>
      </c>
      <c r="S706" t="s">
        <v>74</v>
      </c>
      <c r="T706" t="s">
        <v>12916</v>
      </c>
      <c r="U706" t="s">
        <v>12917</v>
      </c>
      <c r="V706" t="s">
        <v>12918</v>
      </c>
      <c r="W706" t="s">
        <v>12919</v>
      </c>
      <c r="X706" t="s">
        <v>12920</v>
      </c>
      <c r="Y706" t="s">
        <v>12921</v>
      </c>
      <c r="Z706" t="s">
        <v>12922</v>
      </c>
      <c r="AA706" t="s">
        <v>74</v>
      </c>
      <c r="AB706" t="s">
        <v>74</v>
      </c>
      <c r="AC706" t="s">
        <v>74</v>
      </c>
      <c r="AD706" t="s">
        <v>74</v>
      </c>
      <c r="AE706" t="s">
        <v>74</v>
      </c>
      <c r="AF706" t="s">
        <v>74</v>
      </c>
      <c r="AG706">
        <v>25</v>
      </c>
      <c r="AH706">
        <v>61</v>
      </c>
      <c r="AI706">
        <v>68</v>
      </c>
      <c r="AJ706">
        <v>1</v>
      </c>
      <c r="AK706">
        <v>33</v>
      </c>
      <c r="AL706" t="s">
        <v>2614</v>
      </c>
      <c r="AM706" t="s">
        <v>2615</v>
      </c>
      <c r="AN706" t="s">
        <v>2910</v>
      </c>
      <c r="AO706" t="s">
        <v>3214</v>
      </c>
      <c r="AP706" t="s">
        <v>3215</v>
      </c>
      <c r="AQ706" t="s">
        <v>74</v>
      </c>
      <c r="AR706" t="s">
        <v>3216</v>
      </c>
      <c r="AS706" t="s">
        <v>3217</v>
      </c>
      <c r="AT706" t="s">
        <v>11524</v>
      </c>
      <c r="AU706">
        <v>2009</v>
      </c>
      <c r="AV706">
        <v>28</v>
      </c>
      <c r="AW706">
        <v>2</v>
      </c>
      <c r="AX706" t="s">
        <v>74</v>
      </c>
      <c r="AY706" t="s">
        <v>74</v>
      </c>
      <c r="AZ706" t="s">
        <v>74</v>
      </c>
      <c r="BA706" t="s">
        <v>74</v>
      </c>
      <c r="BB706">
        <v>298</v>
      </c>
      <c r="BC706">
        <v>306</v>
      </c>
      <c r="BD706" t="s">
        <v>74</v>
      </c>
      <c r="BE706" t="s">
        <v>12923</v>
      </c>
      <c r="BF706" t="str">
        <f>HYPERLINK("http://dx.doi.org/10.1111/j.1751-8369.2008.00056.x","http://dx.doi.org/10.1111/j.1751-8369.2008.00056.x")</f>
        <v>http://dx.doi.org/10.1111/j.1751-8369.2008.00056.x</v>
      </c>
      <c r="BG706" t="s">
        <v>74</v>
      </c>
      <c r="BH706" t="s">
        <v>74</v>
      </c>
      <c r="BI706">
        <v>9</v>
      </c>
      <c r="BJ706" t="s">
        <v>3219</v>
      </c>
      <c r="BK706" t="s">
        <v>98</v>
      </c>
      <c r="BL706" t="s">
        <v>3220</v>
      </c>
      <c r="BM706" t="s">
        <v>12876</v>
      </c>
      <c r="BN706" t="s">
        <v>74</v>
      </c>
      <c r="BO706" t="s">
        <v>239</v>
      </c>
      <c r="BP706" t="s">
        <v>74</v>
      </c>
      <c r="BQ706" t="s">
        <v>74</v>
      </c>
      <c r="BR706" t="s">
        <v>101</v>
      </c>
      <c r="BS706" t="s">
        <v>12924</v>
      </c>
      <c r="BT706" t="str">
        <f>HYPERLINK("https%3A%2F%2Fwww.webofscience.com%2Fwos%2Fwoscc%2Ffull-record%2FWOS:000268302600013","View Full Record in Web of Science")</f>
        <v>View Full Record in Web of Science</v>
      </c>
    </row>
    <row r="707" spans="1:72" x14ac:dyDescent="0.15">
      <c r="A707" t="s">
        <v>72</v>
      </c>
      <c r="B707" t="s">
        <v>12925</v>
      </c>
      <c r="C707" t="s">
        <v>74</v>
      </c>
      <c r="D707" t="s">
        <v>74</v>
      </c>
      <c r="E707" t="s">
        <v>74</v>
      </c>
      <c r="F707" t="s">
        <v>12926</v>
      </c>
      <c r="G707" t="s">
        <v>74</v>
      </c>
      <c r="H707" t="s">
        <v>74</v>
      </c>
      <c r="I707" t="s">
        <v>12927</v>
      </c>
      <c r="J707" t="s">
        <v>3295</v>
      </c>
      <c r="K707" t="s">
        <v>74</v>
      </c>
      <c r="L707" t="s">
        <v>74</v>
      </c>
      <c r="M707" t="s">
        <v>78</v>
      </c>
      <c r="N707" t="s">
        <v>1965</v>
      </c>
      <c r="O707" t="s">
        <v>12928</v>
      </c>
      <c r="P707" t="s">
        <v>12929</v>
      </c>
      <c r="Q707" t="s">
        <v>12930</v>
      </c>
      <c r="R707" t="s">
        <v>74</v>
      </c>
      <c r="S707" t="s">
        <v>12931</v>
      </c>
      <c r="T707" t="s">
        <v>74</v>
      </c>
      <c r="U707" t="s">
        <v>12932</v>
      </c>
      <c r="V707" t="s">
        <v>12933</v>
      </c>
      <c r="W707" t="s">
        <v>12934</v>
      </c>
      <c r="X707" t="s">
        <v>12935</v>
      </c>
      <c r="Y707" t="s">
        <v>12936</v>
      </c>
      <c r="Z707" t="s">
        <v>12937</v>
      </c>
      <c r="AA707" t="s">
        <v>74</v>
      </c>
      <c r="AB707" t="s">
        <v>74</v>
      </c>
      <c r="AC707" t="s">
        <v>74</v>
      </c>
      <c r="AD707" t="s">
        <v>74</v>
      </c>
      <c r="AE707" t="s">
        <v>74</v>
      </c>
      <c r="AF707" t="s">
        <v>74</v>
      </c>
      <c r="AG707">
        <v>53</v>
      </c>
      <c r="AH707">
        <v>33</v>
      </c>
      <c r="AI707">
        <v>42</v>
      </c>
      <c r="AJ707">
        <v>0</v>
      </c>
      <c r="AK707">
        <v>15</v>
      </c>
      <c r="AL707" t="s">
        <v>1894</v>
      </c>
      <c r="AM707" t="s">
        <v>1895</v>
      </c>
      <c r="AN707" t="s">
        <v>1896</v>
      </c>
      <c r="AO707" t="s">
        <v>3307</v>
      </c>
      <c r="AP707" t="s">
        <v>74</v>
      </c>
      <c r="AQ707" t="s">
        <v>74</v>
      </c>
      <c r="AR707" t="s">
        <v>3308</v>
      </c>
      <c r="AS707" t="s">
        <v>3309</v>
      </c>
      <c r="AT707" t="s">
        <v>11524</v>
      </c>
      <c r="AU707">
        <v>2009</v>
      </c>
      <c r="AV707">
        <v>28</v>
      </c>
      <c r="AW707" t="s">
        <v>2345</v>
      </c>
      <c r="AX707" t="s">
        <v>74</v>
      </c>
      <c r="AY707" t="s">
        <v>74</v>
      </c>
      <c r="AZ707" t="s">
        <v>1546</v>
      </c>
      <c r="BA707" t="s">
        <v>74</v>
      </c>
      <c r="BB707">
        <v>1625</v>
      </c>
      <c r="BC707">
        <v>1630</v>
      </c>
      <c r="BD707" t="s">
        <v>74</v>
      </c>
      <c r="BE707" t="s">
        <v>12938</v>
      </c>
      <c r="BF707" t="str">
        <f>HYPERLINK("http://dx.doi.org/10.1016/j.quascirev.2009.02.011","http://dx.doi.org/10.1016/j.quascirev.2009.02.011")</f>
        <v>http://dx.doi.org/10.1016/j.quascirev.2009.02.011</v>
      </c>
      <c r="BG707" t="s">
        <v>74</v>
      </c>
      <c r="BH707" t="s">
        <v>74</v>
      </c>
      <c r="BI707">
        <v>6</v>
      </c>
      <c r="BJ707" t="s">
        <v>2121</v>
      </c>
      <c r="BK707" t="s">
        <v>1986</v>
      </c>
      <c r="BL707" t="s">
        <v>2122</v>
      </c>
      <c r="BM707" t="s">
        <v>12939</v>
      </c>
      <c r="BN707" t="s">
        <v>74</v>
      </c>
      <c r="BO707" t="s">
        <v>74</v>
      </c>
      <c r="BP707" t="s">
        <v>74</v>
      </c>
      <c r="BQ707" t="s">
        <v>74</v>
      </c>
      <c r="BR707" t="s">
        <v>101</v>
      </c>
      <c r="BS707" t="s">
        <v>12940</v>
      </c>
      <c r="BT707" t="str">
        <f>HYPERLINK("https%3A%2F%2Fwww.webofscience.com%2Fwos%2Fwoscc%2Ffull-record%2FWOS:000269088900006","View Full Record in Web of Science")</f>
        <v>View Full Record in Web of Science</v>
      </c>
    </row>
    <row r="708" spans="1:72" x14ac:dyDescent="0.15">
      <c r="A708" t="s">
        <v>72</v>
      </c>
      <c r="B708" t="s">
        <v>12941</v>
      </c>
      <c r="C708" t="s">
        <v>74</v>
      </c>
      <c r="D708" t="s">
        <v>74</v>
      </c>
      <c r="E708" t="s">
        <v>74</v>
      </c>
      <c r="F708" t="s">
        <v>12942</v>
      </c>
      <c r="G708" t="s">
        <v>74</v>
      </c>
      <c r="H708" t="s">
        <v>74</v>
      </c>
      <c r="I708" t="s">
        <v>12943</v>
      </c>
      <c r="J708" t="s">
        <v>3295</v>
      </c>
      <c r="K708" t="s">
        <v>74</v>
      </c>
      <c r="L708" t="s">
        <v>74</v>
      </c>
      <c r="M708" t="s">
        <v>78</v>
      </c>
      <c r="N708" t="s">
        <v>1965</v>
      </c>
      <c r="O708" t="s">
        <v>12928</v>
      </c>
      <c r="P708" t="s">
        <v>12929</v>
      </c>
      <c r="Q708" t="s">
        <v>12930</v>
      </c>
      <c r="R708" t="s">
        <v>74</v>
      </c>
      <c r="S708" t="s">
        <v>12931</v>
      </c>
      <c r="T708" t="s">
        <v>74</v>
      </c>
      <c r="U708" t="s">
        <v>12944</v>
      </c>
      <c r="V708" t="s">
        <v>12945</v>
      </c>
      <c r="W708" t="s">
        <v>12946</v>
      </c>
      <c r="X708" t="s">
        <v>4558</v>
      </c>
      <c r="Y708" t="s">
        <v>12947</v>
      </c>
      <c r="Z708" t="s">
        <v>12948</v>
      </c>
      <c r="AA708" t="s">
        <v>12949</v>
      </c>
      <c r="AB708" t="s">
        <v>74</v>
      </c>
      <c r="AC708" t="s">
        <v>74</v>
      </c>
      <c r="AD708" t="s">
        <v>74</v>
      </c>
      <c r="AE708" t="s">
        <v>74</v>
      </c>
      <c r="AF708" t="s">
        <v>74</v>
      </c>
      <c r="AG708">
        <v>44</v>
      </c>
      <c r="AH708">
        <v>105</v>
      </c>
      <c r="AI708">
        <v>127</v>
      </c>
      <c r="AJ708">
        <v>0</v>
      </c>
      <c r="AK708">
        <v>22</v>
      </c>
      <c r="AL708" t="s">
        <v>1894</v>
      </c>
      <c r="AM708" t="s">
        <v>1895</v>
      </c>
      <c r="AN708" t="s">
        <v>1896</v>
      </c>
      <c r="AO708" t="s">
        <v>3307</v>
      </c>
      <c r="AP708" t="s">
        <v>74</v>
      </c>
      <c r="AQ708" t="s">
        <v>74</v>
      </c>
      <c r="AR708" t="s">
        <v>3308</v>
      </c>
      <c r="AS708" t="s">
        <v>3309</v>
      </c>
      <c r="AT708" t="s">
        <v>11524</v>
      </c>
      <c r="AU708">
        <v>2009</v>
      </c>
      <c r="AV708">
        <v>28</v>
      </c>
      <c r="AW708" t="s">
        <v>2345</v>
      </c>
      <c r="AX708" t="s">
        <v>74</v>
      </c>
      <c r="AY708" t="s">
        <v>74</v>
      </c>
      <c r="AZ708" t="s">
        <v>1546</v>
      </c>
      <c r="BA708" t="s">
        <v>74</v>
      </c>
      <c r="BB708">
        <v>1658</v>
      </c>
      <c r="BC708">
        <v>1674</v>
      </c>
      <c r="BD708" t="s">
        <v>74</v>
      </c>
      <c r="BE708" t="s">
        <v>12950</v>
      </c>
      <c r="BF708" t="str">
        <f>HYPERLINK("http://dx.doi.org/10.1016/j.quascirev.2009.04.004","http://dx.doi.org/10.1016/j.quascirev.2009.04.004")</f>
        <v>http://dx.doi.org/10.1016/j.quascirev.2009.04.004</v>
      </c>
      <c r="BG708" t="s">
        <v>74</v>
      </c>
      <c r="BH708" t="s">
        <v>74</v>
      </c>
      <c r="BI708">
        <v>17</v>
      </c>
      <c r="BJ708" t="s">
        <v>2121</v>
      </c>
      <c r="BK708" t="s">
        <v>1986</v>
      </c>
      <c r="BL708" t="s">
        <v>2122</v>
      </c>
      <c r="BM708" t="s">
        <v>12939</v>
      </c>
      <c r="BN708" t="s">
        <v>74</v>
      </c>
      <c r="BO708" t="s">
        <v>74</v>
      </c>
      <c r="BP708" t="s">
        <v>74</v>
      </c>
      <c r="BQ708" t="s">
        <v>74</v>
      </c>
      <c r="BR708" t="s">
        <v>101</v>
      </c>
      <c r="BS708" t="s">
        <v>12951</v>
      </c>
      <c r="BT708" t="str">
        <f>HYPERLINK("https%3A%2F%2Fwww.webofscience.com%2Fwos%2Fwoscc%2Ffull-record%2FWOS:000269088900008","View Full Record in Web of Science")</f>
        <v>View Full Record in Web of Science</v>
      </c>
    </row>
    <row r="709" spans="1:72" x14ac:dyDescent="0.15">
      <c r="A709" t="s">
        <v>72</v>
      </c>
      <c r="B709" t="s">
        <v>12952</v>
      </c>
      <c r="C709" t="s">
        <v>74</v>
      </c>
      <c r="D709" t="s">
        <v>74</v>
      </c>
      <c r="E709" t="s">
        <v>74</v>
      </c>
      <c r="F709" t="s">
        <v>12953</v>
      </c>
      <c r="G709" t="s">
        <v>74</v>
      </c>
      <c r="H709" t="s">
        <v>74</v>
      </c>
      <c r="I709" t="s">
        <v>12954</v>
      </c>
      <c r="J709" t="s">
        <v>671</v>
      </c>
      <c r="K709" t="s">
        <v>74</v>
      </c>
      <c r="L709" t="s">
        <v>74</v>
      </c>
      <c r="M709" t="s">
        <v>78</v>
      </c>
      <c r="N709" t="s">
        <v>79</v>
      </c>
      <c r="O709" t="s">
        <v>74</v>
      </c>
      <c r="P709" t="s">
        <v>74</v>
      </c>
      <c r="Q709" t="s">
        <v>74</v>
      </c>
      <c r="R709" t="s">
        <v>74</v>
      </c>
      <c r="S709" t="s">
        <v>74</v>
      </c>
      <c r="T709" t="s">
        <v>12955</v>
      </c>
      <c r="U709" t="s">
        <v>12956</v>
      </c>
      <c r="V709" t="s">
        <v>12957</v>
      </c>
      <c r="W709" t="s">
        <v>12958</v>
      </c>
      <c r="X709" t="s">
        <v>3989</v>
      </c>
      <c r="Y709" t="s">
        <v>12959</v>
      </c>
      <c r="Z709" t="s">
        <v>12960</v>
      </c>
      <c r="AA709" t="s">
        <v>12961</v>
      </c>
      <c r="AB709" t="s">
        <v>12962</v>
      </c>
      <c r="AC709" t="s">
        <v>74</v>
      </c>
      <c r="AD709" t="s">
        <v>74</v>
      </c>
      <c r="AE709" t="s">
        <v>74</v>
      </c>
      <c r="AF709" t="s">
        <v>74</v>
      </c>
      <c r="AG709">
        <v>22</v>
      </c>
      <c r="AH709">
        <v>35</v>
      </c>
      <c r="AI709">
        <v>36</v>
      </c>
      <c r="AJ709">
        <v>0</v>
      </c>
      <c r="AK709">
        <v>25</v>
      </c>
      <c r="AL709" t="s">
        <v>683</v>
      </c>
      <c r="AM709" t="s">
        <v>684</v>
      </c>
      <c r="AN709" t="s">
        <v>685</v>
      </c>
      <c r="AO709" t="s">
        <v>686</v>
      </c>
      <c r="AP709" t="s">
        <v>687</v>
      </c>
      <c r="AQ709" t="s">
        <v>74</v>
      </c>
      <c r="AR709" t="s">
        <v>688</v>
      </c>
      <c r="AS709" t="s">
        <v>689</v>
      </c>
      <c r="AT709" t="s">
        <v>11524</v>
      </c>
      <c r="AU709">
        <v>2009</v>
      </c>
      <c r="AV709">
        <v>113</v>
      </c>
      <c r="AW709">
        <v>8</v>
      </c>
      <c r="AX709" t="s">
        <v>74</v>
      </c>
      <c r="AY709" t="s">
        <v>74</v>
      </c>
      <c r="AZ709" t="s">
        <v>74</v>
      </c>
      <c r="BA709" t="s">
        <v>74</v>
      </c>
      <c r="BB709">
        <v>1691</v>
      </c>
      <c r="BC709">
        <v>1699</v>
      </c>
      <c r="BD709" t="s">
        <v>74</v>
      </c>
      <c r="BE709" t="s">
        <v>12963</v>
      </c>
      <c r="BF709" t="str">
        <f>HYPERLINK("http://dx.doi.org/10.1016/j.rse.2009.03.015","http://dx.doi.org/10.1016/j.rse.2009.03.015")</f>
        <v>http://dx.doi.org/10.1016/j.rse.2009.03.015</v>
      </c>
      <c r="BG709" t="s">
        <v>74</v>
      </c>
      <c r="BH709" t="s">
        <v>74</v>
      </c>
      <c r="BI709">
        <v>9</v>
      </c>
      <c r="BJ709" t="s">
        <v>691</v>
      </c>
      <c r="BK709" t="s">
        <v>98</v>
      </c>
      <c r="BL709" t="s">
        <v>692</v>
      </c>
      <c r="BM709" t="s">
        <v>12964</v>
      </c>
      <c r="BN709" t="s">
        <v>74</v>
      </c>
      <c r="BO709" t="s">
        <v>74</v>
      </c>
      <c r="BP709" t="s">
        <v>74</v>
      </c>
      <c r="BQ709" t="s">
        <v>74</v>
      </c>
      <c r="BR709" t="s">
        <v>101</v>
      </c>
      <c r="BS709" t="s">
        <v>12965</v>
      </c>
      <c r="BT709" t="str">
        <f>HYPERLINK("https%3A%2F%2Fwww.webofscience.com%2Fwos%2Fwoscc%2Ffull-record%2FWOS:000267163200010","View Full Record in Web of Science")</f>
        <v>View Full Record in Web of Science</v>
      </c>
    </row>
    <row r="710" spans="1:72" x14ac:dyDescent="0.15">
      <c r="A710" t="s">
        <v>72</v>
      </c>
      <c r="B710" t="s">
        <v>12966</v>
      </c>
      <c r="C710" t="s">
        <v>74</v>
      </c>
      <c r="D710" t="s">
        <v>74</v>
      </c>
      <c r="E710" t="s">
        <v>74</v>
      </c>
      <c r="F710" t="s">
        <v>12967</v>
      </c>
      <c r="G710" t="s">
        <v>74</v>
      </c>
      <c r="H710" t="s">
        <v>74</v>
      </c>
      <c r="I710" t="s">
        <v>12968</v>
      </c>
      <c r="J710" t="s">
        <v>10895</v>
      </c>
      <c r="K710" t="s">
        <v>74</v>
      </c>
      <c r="L710" t="s">
        <v>74</v>
      </c>
      <c r="M710" t="s">
        <v>78</v>
      </c>
      <c r="N710" t="s">
        <v>79</v>
      </c>
      <c r="O710" t="s">
        <v>74</v>
      </c>
      <c r="P710" t="s">
        <v>74</v>
      </c>
      <c r="Q710" t="s">
        <v>74</v>
      </c>
      <c r="R710" t="s">
        <v>74</v>
      </c>
      <c r="S710" t="s">
        <v>74</v>
      </c>
      <c r="T710" t="s">
        <v>74</v>
      </c>
      <c r="U710" t="s">
        <v>74</v>
      </c>
      <c r="V710" t="s">
        <v>12969</v>
      </c>
      <c r="W710" t="s">
        <v>10897</v>
      </c>
      <c r="X710" t="s">
        <v>10898</v>
      </c>
      <c r="Y710" t="s">
        <v>12970</v>
      </c>
      <c r="Z710" t="s">
        <v>74</v>
      </c>
      <c r="AA710" t="s">
        <v>74</v>
      </c>
      <c r="AB710" t="s">
        <v>74</v>
      </c>
      <c r="AC710" t="s">
        <v>74</v>
      </c>
      <c r="AD710" t="s">
        <v>74</v>
      </c>
      <c r="AE710" t="s">
        <v>74</v>
      </c>
      <c r="AF710" t="s">
        <v>74</v>
      </c>
      <c r="AG710">
        <v>10</v>
      </c>
      <c r="AH710">
        <v>2</v>
      </c>
      <c r="AI710">
        <v>2</v>
      </c>
      <c r="AJ710">
        <v>0</v>
      </c>
      <c r="AK710">
        <v>3</v>
      </c>
      <c r="AL710" t="s">
        <v>10902</v>
      </c>
      <c r="AM710" t="s">
        <v>684</v>
      </c>
      <c r="AN710" t="s">
        <v>10903</v>
      </c>
      <c r="AO710" t="s">
        <v>10904</v>
      </c>
      <c r="AP710" t="s">
        <v>74</v>
      </c>
      <c r="AQ710" t="s">
        <v>74</v>
      </c>
      <c r="AR710" t="s">
        <v>10905</v>
      </c>
      <c r="AS710" t="s">
        <v>10906</v>
      </c>
      <c r="AT710" t="s">
        <v>11524</v>
      </c>
      <c r="AU710">
        <v>2009</v>
      </c>
      <c r="AV710">
        <v>34</v>
      </c>
      <c r="AW710">
        <v>8</v>
      </c>
      <c r="AX710" t="s">
        <v>74</v>
      </c>
      <c r="AY710" t="s">
        <v>74</v>
      </c>
      <c r="AZ710" t="s">
        <v>74</v>
      </c>
      <c r="BA710" t="s">
        <v>74</v>
      </c>
      <c r="BB710">
        <v>534</v>
      </c>
      <c r="BC710">
        <v>540</v>
      </c>
      <c r="BD710" t="s">
        <v>74</v>
      </c>
      <c r="BE710" t="s">
        <v>12971</v>
      </c>
      <c r="BF710" t="str">
        <f>HYPERLINK("http://dx.doi.org/10.3103/S1068373909080081","http://dx.doi.org/10.3103/S1068373909080081")</f>
        <v>http://dx.doi.org/10.3103/S1068373909080081</v>
      </c>
      <c r="BG710" t="s">
        <v>74</v>
      </c>
      <c r="BH710" t="s">
        <v>74</v>
      </c>
      <c r="BI710">
        <v>7</v>
      </c>
      <c r="BJ710" t="s">
        <v>413</v>
      </c>
      <c r="BK710" t="s">
        <v>98</v>
      </c>
      <c r="BL710" t="s">
        <v>413</v>
      </c>
      <c r="BM710" t="s">
        <v>12972</v>
      </c>
      <c r="BN710" t="s">
        <v>74</v>
      </c>
      <c r="BO710" t="s">
        <v>74</v>
      </c>
      <c r="BP710" t="s">
        <v>74</v>
      </c>
      <c r="BQ710" t="s">
        <v>74</v>
      </c>
      <c r="BR710" t="s">
        <v>101</v>
      </c>
      <c r="BS710" t="s">
        <v>12973</v>
      </c>
      <c r="BT710" t="str">
        <f>HYPERLINK("https%3A%2F%2Fwww.webofscience.com%2Fwos%2Fwoscc%2Ffull-record%2FWOS:000271810600008","View Full Record in Web of Science")</f>
        <v>View Full Record in Web of Science</v>
      </c>
    </row>
    <row r="711" spans="1:72" x14ac:dyDescent="0.15">
      <c r="A711" t="s">
        <v>72</v>
      </c>
      <c r="B711" t="s">
        <v>12974</v>
      </c>
      <c r="C711" t="s">
        <v>74</v>
      </c>
      <c r="D711" t="s">
        <v>74</v>
      </c>
      <c r="E711" t="s">
        <v>74</v>
      </c>
      <c r="F711" t="s">
        <v>12975</v>
      </c>
      <c r="G711" t="s">
        <v>74</v>
      </c>
      <c r="H711" t="s">
        <v>74</v>
      </c>
      <c r="I711" t="s">
        <v>12976</v>
      </c>
      <c r="J711" t="s">
        <v>8751</v>
      </c>
      <c r="K711" t="s">
        <v>74</v>
      </c>
      <c r="L711" t="s">
        <v>74</v>
      </c>
      <c r="M711" t="s">
        <v>78</v>
      </c>
      <c r="N711" t="s">
        <v>79</v>
      </c>
      <c r="O711" t="s">
        <v>74</v>
      </c>
      <c r="P711" t="s">
        <v>74</v>
      </c>
      <c r="Q711" t="s">
        <v>74</v>
      </c>
      <c r="R711" t="s">
        <v>74</v>
      </c>
      <c r="S711" t="s">
        <v>74</v>
      </c>
      <c r="T711" t="s">
        <v>12977</v>
      </c>
      <c r="U711" t="s">
        <v>12978</v>
      </c>
      <c r="V711" t="s">
        <v>12979</v>
      </c>
      <c r="W711" t="s">
        <v>12980</v>
      </c>
      <c r="X711" t="s">
        <v>12981</v>
      </c>
      <c r="Y711" t="s">
        <v>12982</v>
      </c>
      <c r="Z711" t="s">
        <v>12983</v>
      </c>
      <c r="AA711" t="s">
        <v>74</v>
      </c>
      <c r="AB711" t="s">
        <v>74</v>
      </c>
      <c r="AC711" t="s">
        <v>12984</v>
      </c>
      <c r="AD711" t="s">
        <v>12985</v>
      </c>
      <c r="AE711" t="s">
        <v>12986</v>
      </c>
      <c r="AF711" t="s">
        <v>74</v>
      </c>
      <c r="AG711">
        <v>45</v>
      </c>
      <c r="AH711">
        <v>8</v>
      </c>
      <c r="AI711">
        <v>10</v>
      </c>
      <c r="AJ711">
        <v>2</v>
      </c>
      <c r="AK711">
        <v>19</v>
      </c>
      <c r="AL711" t="s">
        <v>1764</v>
      </c>
      <c r="AM711" t="s">
        <v>1765</v>
      </c>
      <c r="AN711" t="s">
        <v>1766</v>
      </c>
      <c r="AO711" t="s">
        <v>8763</v>
      </c>
      <c r="AP711" t="s">
        <v>74</v>
      </c>
      <c r="AQ711" t="s">
        <v>74</v>
      </c>
      <c r="AR711" t="s">
        <v>8764</v>
      </c>
      <c r="AS711" t="s">
        <v>8765</v>
      </c>
      <c r="AT711" t="s">
        <v>11524</v>
      </c>
      <c r="AU711">
        <v>2009</v>
      </c>
      <c r="AV711">
        <v>52</v>
      </c>
      <c r="AW711">
        <v>8</v>
      </c>
      <c r="AX711" t="s">
        <v>74</v>
      </c>
      <c r="AY711" t="s">
        <v>74</v>
      </c>
      <c r="AZ711" t="s">
        <v>74</v>
      </c>
      <c r="BA711" t="s">
        <v>74</v>
      </c>
      <c r="BB711">
        <v>1091</v>
      </c>
      <c r="BC711">
        <v>1103</v>
      </c>
      <c r="BD711" t="s">
        <v>74</v>
      </c>
      <c r="BE711" t="s">
        <v>12987</v>
      </c>
      <c r="BF711" t="str">
        <f>HYPERLINK("http://dx.doi.org/10.1007/s11430-009-0106-z","http://dx.doi.org/10.1007/s11430-009-0106-z")</f>
        <v>http://dx.doi.org/10.1007/s11430-009-0106-z</v>
      </c>
      <c r="BG711" t="s">
        <v>74</v>
      </c>
      <c r="BH711" t="s">
        <v>74</v>
      </c>
      <c r="BI711">
        <v>13</v>
      </c>
      <c r="BJ711" t="s">
        <v>464</v>
      </c>
      <c r="BK711" t="s">
        <v>98</v>
      </c>
      <c r="BL711" t="s">
        <v>465</v>
      </c>
      <c r="BM711" t="s">
        <v>12988</v>
      </c>
      <c r="BN711" t="s">
        <v>74</v>
      </c>
      <c r="BO711" t="s">
        <v>74</v>
      </c>
      <c r="BP711" t="s">
        <v>74</v>
      </c>
      <c r="BQ711" t="s">
        <v>74</v>
      </c>
      <c r="BR711" t="s">
        <v>101</v>
      </c>
      <c r="BS711" t="s">
        <v>12989</v>
      </c>
      <c r="BT711" t="str">
        <f>HYPERLINK("https%3A%2F%2Fwww.webofscience.com%2Fwos%2Fwoscc%2Ffull-record%2FWOS:000268983300005","View Full Record in Web of Science")</f>
        <v>View Full Record in Web of Science</v>
      </c>
    </row>
    <row r="712" spans="1:72" x14ac:dyDescent="0.15">
      <c r="A712" t="s">
        <v>72</v>
      </c>
      <c r="B712" t="s">
        <v>12990</v>
      </c>
      <c r="C712" t="s">
        <v>74</v>
      </c>
      <c r="D712" t="s">
        <v>74</v>
      </c>
      <c r="E712" t="s">
        <v>74</v>
      </c>
      <c r="F712" t="s">
        <v>12991</v>
      </c>
      <c r="G712" t="s">
        <v>74</v>
      </c>
      <c r="H712" t="s">
        <v>11883</v>
      </c>
      <c r="I712" t="s">
        <v>12992</v>
      </c>
      <c r="J712" t="s">
        <v>3735</v>
      </c>
      <c r="K712" t="s">
        <v>74</v>
      </c>
      <c r="L712" t="s">
        <v>74</v>
      </c>
      <c r="M712" t="s">
        <v>78</v>
      </c>
      <c r="N712" t="s">
        <v>79</v>
      </c>
      <c r="O712" t="s">
        <v>74</v>
      </c>
      <c r="P712" t="s">
        <v>74</v>
      </c>
      <c r="Q712" t="s">
        <v>74</v>
      </c>
      <c r="R712" t="s">
        <v>74</v>
      </c>
      <c r="S712" t="s">
        <v>74</v>
      </c>
      <c r="T712" t="s">
        <v>74</v>
      </c>
      <c r="U712" t="s">
        <v>12993</v>
      </c>
      <c r="V712" t="s">
        <v>12994</v>
      </c>
      <c r="W712" t="s">
        <v>12995</v>
      </c>
      <c r="X712" t="s">
        <v>12996</v>
      </c>
      <c r="Y712" t="s">
        <v>12997</v>
      </c>
      <c r="Z712" t="s">
        <v>74</v>
      </c>
      <c r="AA712" t="s">
        <v>12998</v>
      </c>
      <c r="AB712" t="s">
        <v>12999</v>
      </c>
      <c r="AC712" t="s">
        <v>13000</v>
      </c>
      <c r="AD712" t="s">
        <v>2088</v>
      </c>
      <c r="AE712" t="s">
        <v>74</v>
      </c>
      <c r="AF712" t="s">
        <v>74</v>
      </c>
      <c r="AG712">
        <v>31</v>
      </c>
      <c r="AH712">
        <v>106</v>
      </c>
      <c r="AI712">
        <v>121</v>
      </c>
      <c r="AJ712">
        <v>2</v>
      </c>
      <c r="AK712">
        <v>13</v>
      </c>
      <c r="AL712" t="s">
        <v>3747</v>
      </c>
      <c r="AM712" t="s">
        <v>3748</v>
      </c>
      <c r="AN712" t="s">
        <v>3749</v>
      </c>
      <c r="AO712" t="s">
        <v>3750</v>
      </c>
      <c r="AP712" t="s">
        <v>74</v>
      </c>
      <c r="AQ712" t="s">
        <v>74</v>
      </c>
      <c r="AR712" t="s">
        <v>3751</v>
      </c>
      <c r="AS712" t="s">
        <v>3752</v>
      </c>
      <c r="AT712" t="s">
        <v>13001</v>
      </c>
      <c r="AU712">
        <v>2009</v>
      </c>
      <c r="AV712">
        <v>103</v>
      </c>
      <c r="AW712">
        <v>5</v>
      </c>
      <c r="AX712" t="s">
        <v>74</v>
      </c>
      <c r="AY712" t="s">
        <v>74</v>
      </c>
      <c r="AZ712" t="s">
        <v>74</v>
      </c>
      <c r="BA712" t="s">
        <v>74</v>
      </c>
      <c r="BB712" t="s">
        <v>74</v>
      </c>
      <c r="BC712" t="s">
        <v>74</v>
      </c>
      <c r="BD712">
        <v>51103</v>
      </c>
      <c r="BE712" t="s">
        <v>13002</v>
      </c>
      <c r="BF712" t="str">
        <f>HYPERLINK("http://dx.doi.org/10.1103/PhysRevLett.103.051103","http://dx.doi.org/10.1103/PhysRevLett.103.051103")</f>
        <v>http://dx.doi.org/10.1103/PhysRevLett.103.051103</v>
      </c>
      <c r="BG712" t="s">
        <v>74</v>
      </c>
      <c r="BH712" t="s">
        <v>74</v>
      </c>
      <c r="BI712">
        <v>5</v>
      </c>
      <c r="BJ712" t="s">
        <v>3755</v>
      </c>
      <c r="BK712" t="s">
        <v>98</v>
      </c>
      <c r="BL712" t="s">
        <v>154</v>
      </c>
      <c r="BM712" t="s">
        <v>13003</v>
      </c>
      <c r="BN712">
        <v>19792479</v>
      </c>
      <c r="BO712" t="s">
        <v>1119</v>
      </c>
      <c r="BP712" t="s">
        <v>74</v>
      </c>
      <c r="BQ712" t="s">
        <v>74</v>
      </c>
      <c r="BR712" t="s">
        <v>101</v>
      </c>
      <c r="BS712" t="s">
        <v>13004</v>
      </c>
      <c r="BT712" t="str">
        <f>HYPERLINK("https%3A%2F%2Fwww.webofscience.com%2Fwos%2Fwoscc%2Ffull-record%2FWOS:000268618300013","View Full Record in Web of Science")</f>
        <v>View Full Record in Web of Science</v>
      </c>
    </row>
    <row r="713" spans="1:72" x14ac:dyDescent="0.15">
      <c r="A713" t="s">
        <v>72</v>
      </c>
      <c r="B713" t="s">
        <v>13005</v>
      </c>
      <c r="C713" t="s">
        <v>74</v>
      </c>
      <c r="D713" t="s">
        <v>74</v>
      </c>
      <c r="E713" t="s">
        <v>74</v>
      </c>
      <c r="F713" t="s">
        <v>13006</v>
      </c>
      <c r="G713" t="s">
        <v>74</v>
      </c>
      <c r="H713" t="s">
        <v>74</v>
      </c>
      <c r="I713" t="s">
        <v>13007</v>
      </c>
      <c r="J713" t="s">
        <v>987</v>
      </c>
      <c r="K713" t="s">
        <v>74</v>
      </c>
      <c r="L713" t="s">
        <v>74</v>
      </c>
      <c r="M713" t="s">
        <v>78</v>
      </c>
      <c r="N713" t="s">
        <v>79</v>
      </c>
      <c r="O713" t="s">
        <v>74</v>
      </c>
      <c r="P713" t="s">
        <v>74</v>
      </c>
      <c r="Q713" t="s">
        <v>74</v>
      </c>
      <c r="R713" t="s">
        <v>74</v>
      </c>
      <c r="S713" t="s">
        <v>74</v>
      </c>
      <c r="T713" t="s">
        <v>74</v>
      </c>
      <c r="U713" t="s">
        <v>13008</v>
      </c>
      <c r="V713" t="s">
        <v>13009</v>
      </c>
      <c r="W713" t="s">
        <v>13010</v>
      </c>
      <c r="X713" t="s">
        <v>13011</v>
      </c>
      <c r="Y713" t="s">
        <v>13012</v>
      </c>
      <c r="Z713" t="s">
        <v>13013</v>
      </c>
      <c r="AA713" t="s">
        <v>13014</v>
      </c>
      <c r="AB713" t="s">
        <v>13015</v>
      </c>
      <c r="AC713" t="s">
        <v>13016</v>
      </c>
      <c r="AD713" t="s">
        <v>13017</v>
      </c>
      <c r="AE713" t="s">
        <v>13018</v>
      </c>
      <c r="AF713" t="s">
        <v>74</v>
      </c>
      <c r="AG713">
        <v>56</v>
      </c>
      <c r="AH713">
        <v>14</v>
      </c>
      <c r="AI713">
        <v>16</v>
      </c>
      <c r="AJ713">
        <v>0</v>
      </c>
      <c r="AK713">
        <v>5</v>
      </c>
      <c r="AL713" t="s">
        <v>226</v>
      </c>
      <c r="AM713" t="s">
        <v>227</v>
      </c>
      <c r="AN713" t="s">
        <v>228</v>
      </c>
      <c r="AO713" t="s">
        <v>997</v>
      </c>
      <c r="AP713" t="s">
        <v>998</v>
      </c>
      <c r="AQ713" t="s">
        <v>74</v>
      </c>
      <c r="AR713" t="s">
        <v>999</v>
      </c>
      <c r="AS713" t="s">
        <v>1000</v>
      </c>
      <c r="AT713" t="s">
        <v>13019</v>
      </c>
      <c r="AU713">
        <v>2009</v>
      </c>
      <c r="AV713">
        <v>114</v>
      </c>
      <c r="AW713" t="s">
        <v>74</v>
      </c>
      <c r="AX713" t="s">
        <v>74</v>
      </c>
      <c r="AY713" t="s">
        <v>74</v>
      </c>
      <c r="AZ713" t="s">
        <v>74</v>
      </c>
      <c r="BA713" t="s">
        <v>74</v>
      </c>
      <c r="BB713" t="s">
        <v>74</v>
      </c>
      <c r="BC713" t="s">
        <v>74</v>
      </c>
      <c r="BD713" t="s">
        <v>13020</v>
      </c>
      <c r="BE713" t="s">
        <v>13021</v>
      </c>
      <c r="BF713" t="str">
        <f>HYPERLINK("http://dx.doi.org/10.1029/2008JA013793","http://dx.doi.org/10.1029/2008JA013793")</f>
        <v>http://dx.doi.org/10.1029/2008JA013793</v>
      </c>
      <c r="BG713" t="s">
        <v>74</v>
      </c>
      <c r="BH713" t="s">
        <v>74</v>
      </c>
      <c r="BI713">
        <v>11</v>
      </c>
      <c r="BJ713" t="s">
        <v>1003</v>
      </c>
      <c r="BK713" t="s">
        <v>98</v>
      </c>
      <c r="BL713" t="s">
        <v>1003</v>
      </c>
      <c r="BM713" t="s">
        <v>13022</v>
      </c>
      <c r="BN713" t="s">
        <v>74</v>
      </c>
      <c r="BO713" t="s">
        <v>263</v>
      </c>
      <c r="BP713" t="s">
        <v>74</v>
      </c>
      <c r="BQ713" t="s">
        <v>74</v>
      </c>
      <c r="BR713" t="s">
        <v>101</v>
      </c>
      <c r="BS713" t="s">
        <v>13023</v>
      </c>
      <c r="BT713" t="str">
        <f>HYPERLINK("https%3A%2F%2Fwww.webofscience.com%2Fwos%2Fwoscc%2Ffull-record%2FWOS:000268633300001","View Full Record in Web of Science")</f>
        <v>View Full Record in Web of Science</v>
      </c>
    </row>
    <row r="714" spans="1:72" x14ac:dyDescent="0.15">
      <c r="A714" t="s">
        <v>72</v>
      </c>
      <c r="B714" t="s">
        <v>13024</v>
      </c>
      <c r="C714" t="s">
        <v>74</v>
      </c>
      <c r="D714" t="s">
        <v>74</v>
      </c>
      <c r="E714" t="s">
        <v>74</v>
      </c>
      <c r="F714" t="s">
        <v>13025</v>
      </c>
      <c r="G714" t="s">
        <v>74</v>
      </c>
      <c r="H714" t="s">
        <v>74</v>
      </c>
      <c r="I714" t="s">
        <v>13026</v>
      </c>
      <c r="J714" t="s">
        <v>395</v>
      </c>
      <c r="K714" t="s">
        <v>74</v>
      </c>
      <c r="L714" t="s">
        <v>74</v>
      </c>
      <c r="M714" t="s">
        <v>78</v>
      </c>
      <c r="N714" t="s">
        <v>79</v>
      </c>
      <c r="O714" t="s">
        <v>74</v>
      </c>
      <c r="P714" t="s">
        <v>74</v>
      </c>
      <c r="Q714" t="s">
        <v>74</v>
      </c>
      <c r="R714" t="s">
        <v>74</v>
      </c>
      <c r="S714" t="s">
        <v>74</v>
      </c>
      <c r="T714" t="s">
        <v>74</v>
      </c>
      <c r="U714" t="s">
        <v>13027</v>
      </c>
      <c r="V714" t="s">
        <v>13028</v>
      </c>
      <c r="W714" t="s">
        <v>13029</v>
      </c>
      <c r="X714" t="s">
        <v>13030</v>
      </c>
      <c r="Y714" t="s">
        <v>13031</v>
      </c>
      <c r="Z714" t="s">
        <v>13032</v>
      </c>
      <c r="AA714" t="s">
        <v>13033</v>
      </c>
      <c r="AB714" t="s">
        <v>13034</v>
      </c>
      <c r="AC714" t="s">
        <v>13035</v>
      </c>
      <c r="AD714" t="s">
        <v>13035</v>
      </c>
      <c r="AE714" t="s">
        <v>13036</v>
      </c>
      <c r="AF714" t="s">
        <v>74</v>
      </c>
      <c r="AG714">
        <v>19</v>
      </c>
      <c r="AH714">
        <v>34</v>
      </c>
      <c r="AI714">
        <v>37</v>
      </c>
      <c r="AJ714">
        <v>0</v>
      </c>
      <c r="AK714">
        <v>5</v>
      </c>
      <c r="AL714" t="s">
        <v>226</v>
      </c>
      <c r="AM714" t="s">
        <v>227</v>
      </c>
      <c r="AN714" t="s">
        <v>228</v>
      </c>
      <c r="AO714" t="s">
        <v>407</v>
      </c>
      <c r="AP714" t="s">
        <v>408</v>
      </c>
      <c r="AQ714" t="s">
        <v>74</v>
      </c>
      <c r="AR714" t="s">
        <v>409</v>
      </c>
      <c r="AS714" t="s">
        <v>410</v>
      </c>
      <c r="AT714" t="s">
        <v>13037</v>
      </c>
      <c r="AU714">
        <v>2009</v>
      </c>
      <c r="AV714">
        <v>114</v>
      </c>
      <c r="AW714" t="s">
        <v>74</v>
      </c>
      <c r="AX714" t="s">
        <v>74</v>
      </c>
      <c r="AY714" t="s">
        <v>74</v>
      </c>
      <c r="AZ714" t="s">
        <v>74</v>
      </c>
      <c r="BA714" t="s">
        <v>74</v>
      </c>
      <c r="BB714" t="s">
        <v>74</v>
      </c>
      <c r="BC714" t="s">
        <v>74</v>
      </c>
      <c r="BD714" t="s">
        <v>13038</v>
      </c>
      <c r="BE714" t="s">
        <v>13039</v>
      </c>
      <c r="BF714" t="str">
        <f>HYPERLINK("http://dx.doi.org/10.1029/2009JD011950","http://dx.doi.org/10.1029/2009JD011950")</f>
        <v>http://dx.doi.org/10.1029/2009JD011950</v>
      </c>
      <c r="BG714" t="s">
        <v>74</v>
      </c>
      <c r="BH714" t="s">
        <v>74</v>
      </c>
      <c r="BI714">
        <v>13</v>
      </c>
      <c r="BJ714" t="s">
        <v>413</v>
      </c>
      <c r="BK714" t="s">
        <v>98</v>
      </c>
      <c r="BL714" t="s">
        <v>413</v>
      </c>
      <c r="BM714" t="s">
        <v>13040</v>
      </c>
      <c r="BN714" t="s">
        <v>74</v>
      </c>
      <c r="BO714" t="s">
        <v>263</v>
      </c>
      <c r="BP714" t="s">
        <v>74</v>
      </c>
      <c r="BQ714" t="s">
        <v>74</v>
      </c>
      <c r="BR714" t="s">
        <v>101</v>
      </c>
      <c r="BS714" t="s">
        <v>13041</v>
      </c>
      <c r="BT714" t="str">
        <f>HYPERLINK("https%3A%2F%2Fwww.webofscience.com%2Fwos%2Fwoscc%2Ffull-record%2FWOS:000268631700004","View Full Record in Web of Science")</f>
        <v>View Full Record in Web of Science</v>
      </c>
    </row>
    <row r="715" spans="1:72" x14ac:dyDescent="0.15">
      <c r="A715" t="s">
        <v>72</v>
      </c>
      <c r="B715" t="s">
        <v>13042</v>
      </c>
      <c r="C715" t="s">
        <v>74</v>
      </c>
      <c r="D715" t="s">
        <v>74</v>
      </c>
      <c r="E715" t="s">
        <v>74</v>
      </c>
      <c r="F715" t="s">
        <v>13043</v>
      </c>
      <c r="G715" t="s">
        <v>74</v>
      </c>
      <c r="H715" t="s">
        <v>74</v>
      </c>
      <c r="I715" t="s">
        <v>13044</v>
      </c>
      <c r="J715" t="s">
        <v>13045</v>
      </c>
      <c r="K715" t="s">
        <v>74</v>
      </c>
      <c r="L715" t="s">
        <v>74</v>
      </c>
      <c r="M715" t="s">
        <v>78</v>
      </c>
      <c r="N715" t="s">
        <v>79</v>
      </c>
      <c r="O715" t="s">
        <v>74</v>
      </c>
      <c r="P715" t="s">
        <v>74</v>
      </c>
      <c r="Q715" t="s">
        <v>74</v>
      </c>
      <c r="R715" t="s">
        <v>74</v>
      </c>
      <c r="S715" t="s">
        <v>74</v>
      </c>
      <c r="T715" t="s">
        <v>74</v>
      </c>
      <c r="U715" t="s">
        <v>13046</v>
      </c>
      <c r="V715" t="s">
        <v>13047</v>
      </c>
      <c r="W715" t="s">
        <v>13048</v>
      </c>
      <c r="X715" t="s">
        <v>4468</v>
      </c>
      <c r="Y715" t="s">
        <v>13049</v>
      </c>
      <c r="Z715" t="s">
        <v>13050</v>
      </c>
      <c r="AA715" t="s">
        <v>74</v>
      </c>
      <c r="AB715" t="s">
        <v>13051</v>
      </c>
      <c r="AC715" t="s">
        <v>13052</v>
      </c>
      <c r="AD715" t="s">
        <v>13053</v>
      </c>
      <c r="AE715" t="s">
        <v>13054</v>
      </c>
      <c r="AF715" t="s">
        <v>74</v>
      </c>
      <c r="AG715">
        <v>28</v>
      </c>
      <c r="AH715">
        <v>58</v>
      </c>
      <c r="AI715">
        <v>65</v>
      </c>
      <c r="AJ715">
        <v>0</v>
      </c>
      <c r="AK715">
        <v>4</v>
      </c>
      <c r="AL715" t="s">
        <v>13055</v>
      </c>
      <c r="AM715" t="s">
        <v>433</v>
      </c>
      <c r="AN715" t="s">
        <v>13056</v>
      </c>
      <c r="AO715" t="s">
        <v>13057</v>
      </c>
      <c r="AP715" t="s">
        <v>74</v>
      </c>
      <c r="AQ715" t="s">
        <v>74</v>
      </c>
      <c r="AR715" t="s">
        <v>13058</v>
      </c>
      <c r="AS715" t="s">
        <v>13059</v>
      </c>
      <c r="AT715" t="s">
        <v>13060</v>
      </c>
      <c r="AU715">
        <v>2009</v>
      </c>
      <c r="AV715">
        <v>9</v>
      </c>
      <c r="AW715" t="s">
        <v>74</v>
      </c>
      <c r="AX715" t="s">
        <v>74</v>
      </c>
      <c r="AY715" t="s">
        <v>74</v>
      </c>
      <c r="AZ715" t="s">
        <v>74</v>
      </c>
      <c r="BA715" t="s">
        <v>74</v>
      </c>
      <c r="BB715" t="s">
        <v>74</v>
      </c>
      <c r="BC715" t="s">
        <v>74</v>
      </c>
      <c r="BD715">
        <v>151</v>
      </c>
      <c r="BE715" t="s">
        <v>13061</v>
      </c>
      <c r="BF715" t="str">
        <f>HYPERLINK("http://dx.doi.org/10.1186/1471-2180-9-151","http://dx.doi.org/10.1186/1471-2180-9-151")</f>
        <v>http://dx.doi.org/10.1186/1471-2180-9-151</v>
      </c>
      <c r="BG715" t="s">
        <v>74</v>
      </c>
      <c r="BH715" t="s">
        <v>74</v>
      </c>
      <c r="BI715">
        <v>11</v>
      </c>
      <c r="BJ715" t="s">
        <v>1958</v>
      </c>
      <c r="BK715" t="s">
        <v>98</v>
      </c>
      <c r="BL715" t="s">
        <v>1958</v>
      </c>
      <c r="BM715" t="s">
        <v>13062</v>
      </c>
      <c r="BN715">
        <v>19631003</v>
      </c>
      <c r="BO715" t="s">
        <v>7545</v>
      </c>
      <c r="BP715" t="s">
        <v>74</v>
      </c>
      <c r="BQ715" t="s">
        <v>74</v>
      </c>
      <c r="BR715" t="s">
        <v>101</v>
      </c>
      <c r="BS715" t="s">
        <v>13063</v>
      </c>
      <c r="BT715" t="str">
        <f>HYPERLINK("https%3A%2F%2Fwww.webofscience.com%2Fwos%2Fwoscc%2Ffull-record%2FWOS:000269680700001","View Full Record in Web of Science")</f>
        <v>View Full Record in Web of Science</v>
      </c>
    </row>
    <row r="716" spans="1:72" x14ac:dyDescent="0.15">
      <c r="A716" t="s">
        <v>72</v>
      </c>
      <c r="B716" t="s">
        <v>13064</v>
      </c>
      <c r="C716" t="s">
        <v>74</v>
      </c>
      <c r="D716" t="s">
        <v>74</v>
      </c>
      <c r="E716" t="s">
        <v>74</v>
      </c>
      <c r="F716" t="s">
        <v>13065</v>
      </c>
      <c r="G716" t="s">
        <v>74</v>
      </c>
      <c r="H716" t="s">
        <v>74</v>
      </c>
      <c r="I716" t="s">
        <v>13066</v>
      </c>
      <c r="J716" t="s">
        <v>13067</v>
      </c>
      <c r="K716" t="s">
        <v>74</v>
      </c>
      <c r="L716" t="s">
        <v>74</v>
      </c>
      <c r="M716" t="s">
        <v>78</v>
      </c>
      <c r="N716" t="s">
        <v>79</v>
      </c>
      <c r="O716" t="s">
        <v>74</v>
      </c>
      <c r="P716" t="s">
        <v>74</v>
      </c>
      <c r="Q716" t="s">
        <v>74</v>
      </c>
      <c r="R716" t="s">
        <v>74</v>
      </c>
      <c r="S716" t="s">
        <v>74</v>
      </c>
      <c r="T716" t="s">
        <v>13068</v>
      </c>
      <c r="U716" t="s">
        <v>13069</v>
      </c>
      <c r="V716" t="s">
        <v>13070</v>
      </c>
      <c r="W716" t="s">
        <v>13071</v>
      </c>
      <c r="X716" t="s">
        <v>13072</v>
      </c>
      <c r="Y716" t="s">
        <v>13073</v>
      </c>
      <c r="Z716" t="s">
        <v>13074</v>
      </c>
      <c r="AA716" t="s">
        <v>13075</v>
      </c>
      <c r="AB716" t="s">
        <v>13076</v>
      </c>
      <c r="AC716" t="s">
        <v>3389</v>
      </c>
      <c r="AD716" t="s">
        <v>730</v>
      </c>
      <c r="AE716" t="s">
        <v>74</v>
      </c>
      <c r="AF716" t="s">
        <v>74</v>
      </c>
      <c r="AG716">
        <v>96</v>
      </c>
      <c r="AH716">
        <v>3432</v>
      </c>
      <c r="AI716">
        <v>3715</v>
      </c>
      <c r="AJ716">
        <v>200</v>
      </c>
      <c r="AK716">
        <v>3748</v>
      </c>
      <c r="AL716" t="s">
        <v>432</v>
      </c>
      <c r="AM716" t="s">
        <v>433</v>
      </c>
      <c r="AN716" t="s">
        <v>434</v>
      </c>
      <c r="AO716" t="s">
        <v>13077</v>
      </c>
      <c r="AP716" t="s">
        <v>13078</v>
      </c>
      <c r="AQ716" t="s">
        <v>74</v>
      </c>
      <c r="AR716" t="s">
        <v>13079</v>
      </c>
      <c r="AS716" t="s">
        <v>13080</v>
      </c>
      <c r="AT716" t="s">
        <v>13060</v>
      </c>
      <c r="AU716">
        <v>2009</v>
      </c>
      <c r="AV716">
        <v>364</v>
      </c>
      <c r="AW716">
        <v>1526</v>
      </c>
      <c r="AX716" t="s">
        <v>74</v>
      </c>
      <c r="AY716" t="s">
        <v>74</v>
      </c>
      <c r="AZ716" t="s">
        <v>74</v>
      </c>
      <c r="BA716" t="s">
        <v>74</v>
      </c>
      <c r="BB716">
        <v>1985</v>
      </c>
      <c r="BC716">
        <v>1998</v>
      </c>
      <c r="BD716" t="s">
        <v>74</v>
      </c>
      <c r="BE716" t="s">
        <v>13081</v>
      </c>
      <c r="BF716" t="str">
        <f>HYPERLINK("http://dx.doi.org/10.1098/rstb.2008.0205","http://dx.doi.org/10.1098/rstb.2008.0205")</f>
        <v>http://dx.doi.org/10.1098/rstb.2008.0205</v>
      </c>
      <c r="BG716" t="s">
        <v>74</v>
      </c>
      <c r="BH716" t="s">
        <v>74</v>
      </c>
      <c r="BI716">
        <v>14</v>
      </c>
      <c r="BJ716" t="s">
        <v>624</v>
      </c>
      <c r="BK716" t="s">
        <v>98</v>
      </c>
      <c r="BL716" t="s">
        <v>625</v>
      </c>
      <c r="BM716" t="s">
        <v>13082</v>
      </c>
      <c r="BN716">
        <v>19528051</v>
      </c>
      <c r="BO716" t="s">
        <v>239</v>
      </c>
      <c r="BP716" t="s">
        <v>74</v>
      </c>
      <c r="BQ716" t="s">
        <v>74</v>
      </c>
      <c r="BR716" t="s">
        <v>101</v>
      </c>
      <c r="BS716" t="s">
        <v>13083</v>
      </c>
      <c r="BT716" t="str">
        <f>HYPERLINK("https%3A%2F%2Fwww.webofscience.com%2Fwos%2Fwoscc%2Ffull-record%2FWOS:000267281600004","View Full Record in Web of Science")</f>
        <v>View Full Record in Web of Science</v>
      </c>
    </row>
    <row r="717" spans="1:72" x14ac:dyDescent="0.15">
      <c r="A717" t="s">
        <v>72</v>
      </c>
      <c r="B717" t="s">
        <v>13084</v>
      </c>
      <c r="C717" t="s">
        <v>74</v>
      </c>
      <c r="D717" t="s">
        <v>74</v>
      </c>
      <c r="E717" t="s">
        <v>74</v>
      </c>
      <c r="F717" t="s">
        <v>13085</v>
      </c>
      <c r="G717" t="s">
        <v>74</v>
      </c>
      <c r="H717" t="s">
        <v>74</v>
      </c>
      <c r="I717" t="s">
        <v>13086</v>
      </c>
      <c r="J717" t="s">
        <v>721</v>
      </c>
      <c r="K717" t="s">
        <v>74</v>
      </c>
      <c r="L717" t="s">
        <v>74</v>
      </c>
      <c r="M717" t="s">
        <v>78</v>
      </c>
      <c r="N717" t="s">
        <v>79</v>
      </c>
      <c r="O717" t="s">
        <v>74</v>
      </c>
      <c r="P717" t="s">
        <v>74</v>
      </c>
      <c r="Q717" t="s">
        <v>74</v>
      </c>
      <c r="R717" t="s">
        <v>74</v>
      </c>
      <c r="S717" t="s">
        <v>74</v>
      </c>
      <c r="T717" t="s">
        <v>74</v>
      </c>
      <c r="U717" t="s">
        <v>13087</v>
      </c>
      <c r="V717" t="s">
        <v>13088</v>
      </c>
      <c r="W717" t="s">
        <v>13089</v>
      </c>
      <c r="X717" t="s">
        <v>13090</v>
      </c>
      <c r="Y717" t="s">
        <v>13091</v>
      </c>
      <c r="Z717" t="s">
        <v>13092</v>
      </c>
      <c r="AA717" t="s">
        <v>13093</v>
      </c>
      <c r="AB717" t="s">
        <v>13094</v>
      </c>
      <c r="AC717" t="s">
        <v>74</v>
      </c>
      <c r="AD717" t="s">
        <v>74</v>
      </c>
      <c r="AE717" t="s">
        <v>74</v>
      </c>
      <c r="AF717" t="s">
        <v>74</v>
      </c>
      <c r="AG717">
        <v>20</v>
      </c>
      <c r="AH717">
        <v>38</v>
      </c>
      <c r="AI717">
        <v>39</v>
      </c>
      <c r="AJ717">
        <v>2</v>
      </c>
      <c r="AK717">
        <v>22</v>
      </c>
      <c r="AL717" t="s">
        <v>226</v>
      </c>
      <c r="AM717" t="s">
        <v>227</v>
      </c>
      <c r="AN717" t="s">
        <v>228</v>
      </c>
      <c r="AO717" t="s">
        <v>731</v>
      </c>
      <c r="AP717" t="s">
        <v>74</v>
      </c>
      <c r="AQ717" t="s">
        <v>74</v>
      </c>
      <c r="AR717" t="s">
        <v>733</v>
      </c>
      <c r="AS717" t="s">
        <v>734</v>
      </c>
      <c r="AT717" t="s">
        <v>13095</v>
      </c>
      <c r="AU717">
        <v>2009</v>
      </c>
      <c r="AV717">
        <v>36</v>
      </c>
      <c r="AW717" t="s">
        <v>74</v>
      </c>
      <c r="AX717" t="s">
        <v>74</v>
      </c>
      <c r="AY717" t="s">
        <v>74</v>
      </c>
      <c r="AZ717" t="s">
        <v>74</v>
      </c>
      <c r="BA717" t="s">
        <v>74</v>
      </c>
      <c r="BB717" t="s">
        <v>74</v>
      </c>
      <c r="BC717" t="s">
        <v>74</v>
      </c>
      <c r="BD717" t="s">
        <v>13096</v>
      </c>
      <c r="BE717" t="s">
        <v>13097</v>
      </c>
      <c r="BF717" t="str">
        <f>HYPERLINK("http://dx.doi.org/10.1029/2009GL038531","http://dx.doi.org/10.1029/2009GL038531")</f>
        <v>http://dx.doi.org/10.1029/2009GL038531</v>
      </c>
      <c r="BG717" t="s">
        <v>74</v>
      </c>
      <c r="BH717" t="s">
        <v>74</v>
      </c>
      <c r="BI717">
        <v>5</v>
      </c>
      <c r="BJ717" t="s">
        <v>464</v>
      </c>
      <c r="BK717" t="s">
        <v>98</v>
      </c>
      <c r="BL717" t="s">
        <v>465</v>
      </c>
      <c r="BM717" t="s">
        <v>13098</v>
      </c>
      <c r="BN717" t="s">
        <v>74</v>
      </c>
      <c r="BO717" t="s">
        <v>263</v>
      </c>
      <c r="BP717" t="s">
        <v>74</v>
      </c>
      <c r="BQ717" t="s">
        <v>74</v>
      </c>
      <c r="BR717" t="s">
        <v>101</v>
      </c>
      <c r="BS717" t="s">
        <v>13099</v>
      </c>
      <c r="BT717" t="str">
        <f>HYPERLINK("https%3A%2F%2Fwww.webofscience.com%2Fwos%2Fwoscc%2Ffull-record%2FWOS:000268350200001","View Full Record in Web of Science")</f>
        <v>View Full Record in Web of Science</v>
      </c>
    </row>
    <row r="718" spans="1:72" x14ac:dyDescent="0.15">
      <c r="A718" t="s">
        <v>72</v>
      </c>
      <c r="B718" t="s">
        <v>13100</v>
      </c>
      <c r="C718" t="s">
        <v>74</v>
      </c>
      <c r="D718" t="s">
        <v>74</v>
      </c>
      <c r="E718" t="s">
        <v>74</v>
      </c>
      <c r="F718" t="s">
        <v>13101</v>
      </c>
      <c r="G718" t="s">
        <v>74</v>
      </c>
      <c r="H718" t="s">
        <v>74</v>
      </c>
      <c r="I718" t="s">
        <v>13102</v>
      </c>
      <c r="J718" t="s">
        <v>4289</v>
      </c>
      <c r="K718" t="s">
        <v>74</v>
      </c>
      <c r="L718" t="s">
        <v>74</v>
      </c>
      <c r="M718" t="s">
        <v>78</v>
      </c>
      <c r="N718" t="s">
        <v>79</v>
      </c>
      <c r="O718" t="s">
        <v>74</v>
      </c>
      <c r="P718" t="s">
        <v>74</v>
      </c>
      <c r="Q718" t="s">
        <v>74</v>
      </c>
      <c r="R718" t="s">
        <v>74</v>
      </c>
      <c r="S718" t="s">
        <v>74</v>
      </c>
      <c r="T718" t="s">
        <v>74</v>
      </c>
      <c r="U718" t="s">
        <v>13103</v>
      </c>
      <c r="V718" t="s">
        <v>13104</v>
      </c>
      <c r="W718" t="s">
        <v>13105</v>
      </c>
      <c r="X718" t="s">
        <v>725</v>
      </c>
      <c r="Y718" t="s">
        <v>13106</v>
      </c>
      <c r="Z718" t="s">
        <v>13107</v>
      </c>
      <c r="AA718" t="s">
        <v>13108</v>
      </c>
      <c r="AB718" t="s">
        <v>13109</v>
      </c>
      <c r="AC718" t="s">
        <v>13110</v>
      </c>
      <c r="AD718" t="s">
        <v>13111</v>
      </c>
      <c r="AE718" t="s">
        <v>74</v>
      </c>
      <c r="AF718" t="s">
        <v>74</v>
      </c>
      <c r="AG718">
        <v>68</v>
      </c>
      <c r="AH718">
        <v>68</v>
      </c>
      <c r="AI718">
        <v>75</v>
      </c>
      <c r="AJ718">
        <v>0</v>
      </c>
      <c r="AK718">
        <v>27</v>
      </c>
      <c r="AL718" t="s">
        <v>226</v>
      </c>
      <c r="AM718" t="s">
        <v>227</v>
      </c>
      <c r="AN718" t="s">
        <v>228</v>
      </c>
      <c r="AO718" t="s">
        <v>4301</v>
      </c>
      <c r="AP718" t="s">
        <v>4302</v>
      </c>
      <c r="AQ718" t="s">
        <v>74</v>
      </c>
      <c r="AR718" t="s">
        <v>4303</v>
      </c>
      <c r="AS718" t="s">
        <v>4304</v>
      </c>
      <c r="AT718" t="s">
        <v>13112</v>
      </c>
      <c r="AU718">
        <v>2009</v>
      </c>
      <c r="AV718">
        <v>114</v>
      </c>
      <c r="AW718" t="s">
        <v>74</v>
      </c>
      <c r="AX718" t="s">
        <v>74</v>
      </c>
      <c r="AY718" t="s">
        <v>74</v>
      </c>
      <c r="AZ718" t="s">
        <v>74</v>
      </c>
      <c r="BA718" t="s">
        <v>74</v>
      </c>
      <c r="BB718" t="s">
        <v>74</v>
      </c>
      <c r="BC718" t="s">
        <v>74</v>
      </c>
      <c r="BD718" t="s">
        <v>13113</v>
      </c>
      <c r="BE718" t="s">
        <v>13114</v>
      </c>
      <c r="BF718" t="str">
        <f>HYPERLINK("http://dx.doi.org/10.1029/2008JG000886","http://dx.doi.org/10.1029/2008JG000886")</f>
        <v>http://dx.doi.org/10.1029/2008JG000886</v>
      </c>
      <c r="BG718" t="s">
        <v>74</v>
      </c>
      <c r="BH718" t="s">
        <v>74</v>
      </c>
      <c r="BI718">
        <v>11</v>
      </c>
      <c r="BJ718" t="s">
        <v>4307</v>
      </c>
      <c r="BK718" t="s">
        <v>98</v>
      </c>
      <c r="BL718" t="s">
        <v>4308</v>
      </c>
      <c r="BM718" t="s">
        <v>13115</v>
      </c>
      <c r="BN718" t="s">
        <v>74</v>
      </c>
      <c r="BO718" t="s">
        <v>765</v>
      </c>
      <c r="BP718" t="s">
        <v>74</v>
      </c>
      <c r="BQ718" t="s">
        <v>74</v>
      </c>
      <c r="BR718" t="s">
        <v>101</v>
      </c>
      <c r="BS718" t="s">
        <v>13116</v>
      </c>
      <c r="BT718" t="str">
        <f>HYPERLINK("https%3A%2F%2Fwww.webofscience.com%2Fwos%2Fwoscc%2Ffull-record%2FWOS:000268352600001","View Full Record in Web of Science")</f>
        <v>View Full Record in Web of Science</v>
      </c>
    </row>
    <row r="719" spans="1:72" x14ac:dyDescent="0.15">
      <c r="A719" t="s">
        <v>72</v>
      </c>
      <c r="B719" t="s">
        <v>13117</v>
      </c>
      <c r="C719" t="s">
        <v>74</v>
      </c>
      <c r="D719" t="s">
        <v>74</v>
      </c>
      <c r="E719" t="s">
        <v>74</v>
      </c>
      <c r="F719" t="s">
        <v>13118</v>
      </c>
      <c r="G719" t="s">
        <v>74</v>
      </c>
      <c r="H719" t="s">
        <v>74</v>
      </c>
      <c r="I719" t="s">
        <v>13119</v>
      </c>
      <c r="J719" t="s">
        <v>3797</v>
      </c>
      <c r="K719" t="s">
        <v>74</v>
      </c>
      <c r="L719" t="s">
        <v>74</v>
      </c>
      <c r="M719" t="s">
        <v>78</v>
      </c>
      <c r="N719" t="s">
        <v>79</v>
      </c>
      <c r="O719" t="s">
        <v>74</v>
      </c>
      <c r="P719" t="s">
        <v>74</v>
      </c>
      <c r="Q719" t="s">
        <v>74</v>
      </c>
      <c r="R719" t="s">
        <v>74</v>
      </c>
      <c r="S719" t="s">
        <v>74</v>
      </c>
      <c r="T719" t="s">
        <v>13120</v>
      </c>
      <c r="U719" t="s">
        <v>74</v>
      </c>
      <c r="V719" t="s">
        <v>13121</v>
      </c>
      <c r="W719" t="s">
        <v>13122</v>
      </c>
      <c r="X719" t="s">
        <v>13123</v>
      </c>
      <c r="Y719" t="s">
        <v>13124</v>
      </c>
      <c r="Z719" t="s">
        <v>13125</v>
      </c>
      <c r="AA719" t="s">
        <v>74</v>
      </c>
      <c r="AB719" t="s">
        <v>74</v>
      </c>
      <c r="AC719" t="s">
        <v>13126</v>
      </c>
      <c r="AD719" t="s">
        <v>13127</v>
      </c>
      <c r="AE719" t="s">
        <v>13128</v>
      </c>
      <c r="AF719" t="s">
        <v>74</v>
      </c>
      <c r="AG719">
        <v>6</v>
      </c>
      <c r="AH719">
        <v>8</v>
      </c>
      <c r="AI719">
        <v>8</v>
      </c>
      <c r="AJ719">
        <v>0</v>
      </c>
      <c r="AK719">
        <v>0</v>
      </c>
      <c r="AL719" t="s">
        <v>3808</v>
      </c>
      <c r="AM719" t="s">
        <v>3809</v>
      </c>
      <c r="AN719" t="s">
        <v>3810</v>
      </c>
      <c r="AO719" t="s">
        <v>3811</v>
      </c>
      <c r="AP719" t="s">
        <v>3812</v>
      </c>
      <c r="AQ719" t="s">
        <v>74</v>
      </c>
      <c r="AR719" t="s">
        <v>3797</v>
      </c>
      <c r="AS719" t="s">
        <v>3813</v>
      </c>
      <c r="AT719" t="s">
        <v>13112</v>
      </c>
      <c r="AU719">
        <v>2009</v>
      </c>
      <c r="AV719" t="s">
        <v>74</v>
      </c>
      <c r="AW719">
        <v>2167</v>
      </c>
      <c r="AX719" t="s">
        <v>74</v>
      </c>
      <c r="AY719" t="s">
        <v>74</v>
      </c>
      <c r="AZ719" t="s">
        <v>74</v>
      </c>
      <c r="BA719" t="s">
        <v>74</v>
      </c>
      <c r="BB719">
        <v>59</v>
      </c>
      <c r="BC719">
        <v>68</v>
      </c>
      <c r="BD719" t="s">
        <v>74</v>
      </c>
      <c r="BE719" t="s">
        <v>13129</v>
      </c>
      <c r="BF719" t="str">
        <f>HYPERLINK("http://dx.doi.org/10.11646/zootaxa.2167.1.4","http://dx.doi.org/10.11646/zootaxa.2167.1.4")</f>
        <v>http://dx.doi.org/10.11646/zootaxa.2167.1.4</v>
      </c>
      <c r="BG719" t="s">
        <v>74</v>
      </c>
      <c r="BH719" t="s">
        <v>74</v>
      </c>
      <c r="BI719">
        <v>10</v>
      </c>
      <c r="BJ719" t="s">
        <v>207</v>
      </c>
      <c r="BK719" t="s">
        <v>98</v>
      </c>
      <c r="BL719" t="s">
        <v>207</v>
      </c>
      <c r="BM719" t="s">
        <v>13130</v>
      </c>
      <c r="BN719" t="s">
        <v>74</v>
      </c>
      <c r="BO719" t="s">
        <v>74</v>
      </c>
      <c r="BP719" t="s">
        <v>74</v>
      </c>
      <c r="BQ719" t="s">
        <v>74</v>
      </c>
      <c r="BR719" t="s">
        <v>101</v>
      </c>
      <c r="BS719" t="s">
        <v>13131</v>
      </c>
      <c r="BT719" t="str">
        <f>HYPERLINK("https%3A%2F%2Fwww.webofscience.com%2Fwos%2Fwoscc%2Ffull-record%2FWOS:000268318600004","View Full Record in Web of Science")</f>
        <v>View Full Record in Web of Science</v>
      </c>
    </row>
    <row r="720" spans="1:72" x14ac:dyDescent="0.15">
      <c r="A720" t="s">
        <v>72</v>
      </c>
      <c r="B720" t="s">
        <v>13132</v>
      </c>
      <c r="C720" t="s">
        <v>74</v>
      </c>
      <c r="D720" t="s">
        <v>74</v>
      </c>
      <c r="E720" t="s">
        <v>74</v>
      </c>
      <c r="F720" t="s">
        <v>13133</v>
      </c>
      <c r="G720" t="s">
        <v>74</v>
      </c>
      <c r="H720" t="s">
        <v>74</v>
      </c>
      <c r="I720" t="s">
        <v>13134</v>
      </c>
      <c r="J720" t="s">
        <v>987</v>
      </c>
      <c r="K720" t="s">
        <v>74</v>
      </c>
      <c r="L720" t="s">
        <v>74</v>
      </c>
      <c r="M720" t="s">
        <v>78</v>
      </c>
      <c r="N720" t="s">
        <v>79</v>
      </c>
      <c r="O720" t="s">
        <v>74</v>
      </c>
      <c r="P720" t="s">
        <v>74</v>
      </c>
      <c r="Q720" t="s">
        <v>74</v>
      </c>
      <c r="R720" t="s">
        <v>74</v>
      </c>
      <c r="S720" t="s">
        <v>74</v>
      </c>
      <c r="T720" t="s">
        <v>74</v>
      </c>
      <c r="U720" t="s">
        <v>13135</v>
      </c>
      <c r="V720" t="s">
        <v>13136</v>
      </c>
      <c r="W720" t="s">
        <v>13137</v>
      </c>
      <c r="X720" t="s">
        <v>5471</v>
      </c>
      <c r="Y720" t="s">
        <v>3838</v>
      </c>
      <c r="Z720" t="s">
        <v>3839</v>
      </c>
      <c r="AA720" t="s">
        <v>13138</v>
      </c>
      <c r="AB720" t="s">
        <v>13139</v>
      </c>
      <c r="AC720" t="s">
        <v>13140</v>
      </c>
      <c r="AD720" t="s">
        <v>13141</v>
      </c>
      <c r="AE720" t="s">
        <v>13142</v>
      </c>
      <c r="AF720" t="s">
        <v>74</v>
      </c>
      <c r="AG720">
        <v>30</v>
      </c>
      <c r="AH720">
        <v>117</v>
      </c>
      <c r="AI720">
        <v>125</v>
      </c>
      <c r="AJ720">
        <v>1</v>
      </c>
      <c r="AK720">
        <v>9</v>
      </c>
      <c r="AL720" t="s">
        <v>226</v>
      </c>
      <c r="AM720" t="s">
        <v>227</v>
      </c>
      <c r="AN720" t="s">
        <v>228</v>
      </c>
      <c r="AO720" t="s">
        <v>997</v>
      </c>
      <c r="AP720" t="s">
        <v>998</v>
      </c>
      <c r="AQ720" t="s">
        <v>74</v>
      </c>
      <c r="AR720" t="s">
        <v>999</v>
      </c>
      <c r="AS720" t="s">
        <v>1000</v>
      </c>
      <c r="AT720" t="s">
        <v>13143</v>
      </c>
      <c r="AU720">
        <v>2009</v>
      </c>
      <c r="AV720">
        <v>114</v>
      </c>
      <c r="AW720" t="s">
        <v>74</v>
      </c>
      <c r="AX720" t="s">
        <v>74</v>
      </c>
      <c r="AY720" t="s">
        <v>74</v>
      </c>
      <c r="AZ720" t="s">
        <v>74</v>
      </c>
      <c r="BA720" t="s">
        <v>74</v>
      </c>
      <c r="BB720" t="s">
        <v>74</v>
      </c>
      <c r="BC720" t="s">
        <v>74</v>
      </c>
      <c r="BD720" t="s">
        <v>13144</v>
      </c>
      <c r="BE720" t="s">
        <v>13145</v>
      </c>
      <c r="BF720" t="str">
        <f>HYPERLINK("http://dx.doi.org/10.1029/2009JA014204","http://dx.doi.org/10.1029/2009JA014204")</f>
        <v>http://dx.doi.org/10.1029/2009JA014204</v>
      </c>
      <c r="BG720" t="s">
        <v>74</v>
      </c>
      <c r="BH720" t="s">
        <v>74</v>
      </c>
      <c r="BI720">
        <v>11</v>
      </c>
      <c r="BJ720" t="s">
        <v>1003</v>
      </c>
      <c r="BK720" t="s">
        <v>98</v>
      </c>
      <c r="BL720" t="s">
        <v>1003</v>
      </c>
      <c r="BM720" t="s">
        <v>13146</v>
      </c>
      <c r="BN720" t="s">
        <v>74</v>
      </c>
      <c r="BO720" t="s">
        <v>1381</v>
      </c>
      <c r="BP720" t="s">
        <v>74</v>
      </c>
      <c r="BQ720" t="s">
        <v>74</v>
      </c>
      <c r="BR720" t="s">
        <v>101</v>
      </c>
      <c r="BS720" t="s">
        <v>13147</v>
      </c>
      <c r="BT720" t="str">
        <f>HYPERLINK("https%3A%2F%2Fwww.webofscience.com%2Fwos%2Fwoscc%2Ffull-record%2FWOS:000268355700001","View Full Record in Web of Science")</f>
        <v>View Full Record in Web of Science</v>
      </c>
    </row>
    <row r="721" spans="1:72" x14ac:dyDescent="0.15">
      <c r="A721" t="s">
        <v>72</v>
      </c>
      <c r="B721" t="s">
        <v>13148</v>
      </c>
      <c r="C721" t="s">
        <v>74</v>
      </c>
      <c r="D721" t="s">
        <v>74</v>
      </c>
      <c r="E721" t="s">
        <v>74</v>
      </c>
      <c r="F721" t="s">
        <v>13149</v>
      </c>
      <c r="G721" t="s">
        <v>74</v>
      </c>
      <c r="H721" t="s">
        <v>74</v>
      </c>
      <c r="I721" t="s">
        <v>13150</v>
      </c>
      <c r="J721" t="s">
        <v>395</v>
      </c>
      <c r="K721" t="s">
        <v>74</v>
      </c>
      <c r="L721" t="s">
        <v>74</v>
      </c>
      <c r="M721" t="s">
        <v>78</v>
      </c>
      <c r="N721" t="s">
        <v>79</v>
      </c>
      <c r="O721" t="s">
        <v>74</v>
      </c>
      <c r="P721" t="s">
        <v>74</v>
      </c>
      <c r="Q721" t="s">
        <v>74</v>
      </c>
      <c r="R721" t="s">
        <v>74</v>
      </c>
      <c r="S721" t="s">
        <v>74</v>
      </c>
      <c r="T721" t="s">
        <v>74</v>
      </c>
      <c r="U721" t="s">
        <v>13151</v>
      </c>
      <c r="V721" t="s">
        <v>13152</v>
      </c>
      <c r="W721" t="s">
        <v>13153</v>
      </c>
      <c r="X721" t="s">
        <v>13154</v>
      </c>
      <c r="Y721" t="s">
        <v>13155</v>
      </c>
      <c r="Z721" t="s">
        <v>13156</v>
      </c>
      <c r="AA721" t="s">
        <v>13157</v>
      </c>
      <c r="AB721" t="s">
        <v>13158</v>
      </c>
      <c r="AC721" t="s">
        <v>13159</v>
      </c>
      <c r="AD721" t="s">
        <v>13160</v>
      </c>
      <c r="AE721" t="s">
        <v>13161</v>
      </c>
      <c r="AF721" t="s">
        <v>74</v>
      </c>
      <c r="AG721">
        <v>44</v>
      </c>
      <c r="AH721">
        <v>14</v>
      </c>
      <c r="AI721">
        <v>15</v>
      </c>
      <c r="AJ721">
        <v>0</v>
      </c>
      <c r="AK721">
        <v>11</v>
      </c>
      <c r="AL721" t="s">
        <v>226</v>
      </c>
      <c r="AM721" t="s">
        <v>227</v>
      </c>
      <c r="AN721" t="s">
        <v>228</v>
      </c>
      <c r="AO721" t="s">
        <v>407</v>
      </c>
      <c r="AP721" t="s">
        <v>408</v>
      </c>
      <c r="AQ721" t="s">
        <v>74</v>
      </c>
      <c r="AR721" t="s">
        <v>409</v>
      </c>
      <c r="AS721" t="s">
        <v>410</v>
      </c>
      <c r="AT721" t="s">
        <v>13162</v>
      </c>
      <c r="AU721">
        <v>2009</v>
      </c>
      <c r="AV721">
        <v>114</v>
      </c>
      <c r="AW721" t="s">
        <v>74</v>
      </c>
      <c r="AX721" t="s">
        <v>74</v>
      </c>
      <c r="AY721" t="s">
        <v>74</v>
      </c>
      <c r="AZ721" t="s">
        <v>74</v>
      </c>
      <c r="BA721" t="s">
        <v>74</v>
      </c>
      <c r="BB721" t="s">
        <v>74</v>
      </c>
      <c r="BC721" t="s">
        <v>74</v>
      </c>
      <c r="BD721" t="s">
        <v>13163</v>
      </c>
      <c r="BE721" t="s">
        <v>13164</v>
      </c>
      <c r="BF721" t="str">
        <f>HYPERLINK("http://dx.doi.org/10.1029/2008JD011478","http://dx.doi.org/10.1029/2008JD011478")</f>
        <v>http://dx.doi.org/10.1029/2008JD011478</v>
      </c>
      <c r="BG721" t="s">
        <v>74</v>
      </c>
      <c r="BH721" t="s">
        <v>74</v>
      </c>
      <c r="BI721">
        <v>14</v>
      </c>
      <c r="BJ721" t="s">
        <v>413</v>
      </c>
      <c r="BK721" t="s">
        <v>98</v>
      </c>
      <c r="BL721" t="s">
        <v>413</v>
      </c>
      <c r="BM721" t="s">
        <v>13165</v>
      </c>
      <c r="BN721" t="s">
        <v>74</v>
      </c>
      <c r="BO721" t="s">
        <v>467</v>
      </c>
      <c r="BP721" t="s">
        <v>74</v>
      </c>
      <c r="BQ721" t="s">
        <v>74</v>
      </c>
      <c r="BR721" t="s">
        <v>101</v>
      </c>
      <c r="BS721" t="s">
        <v>13166</v>
      </c>
      <c r="BT721" t="str">
        <f>HYPERLINK("https%3A%2F%2Fwww.webofscience.com%2Fwos%2Fwoscc%2Ffull-record%2FWOS:000268351300001","View Full Record in Web of Science")</f>
        <v>View Full Record in Web of Science</v>
      </c>
    </row>
    <row r="722" spans="1:72" x14ac:dyDescent="0.15">
      <c r="A722" t="s">
        <v>72</v>
      </c>
      <c r="B722" t="s">
        <v>13167</v>
      </c>
      <c r="C722" t="s">
        <v>74</v>
      </c>
      <c r="D722" t="s">
        <v>74</v>
      </c>
      <c r="E722" t="s">
        <v>74</v>
      </c>
      <c r="F722" t="s">
        <v>13168</v>
      </c>
      <c r="G722" t="s">
        <v>74</v>
      </c>
      <c r="H722" t="s">
        <v>74</v>
      </c>
      <c r="I722" t="s">
        <v>13169</v>
      </c>
      <c r="J722" t="s">
        <v>7054</v>
      </c>
      <c r="K722" t="s">
        <v>74</v>
      </c>
      <c r="L722" t="s">
        <v>74</v>
      </c>
      <c r="M722" t="s">
        <v>78</v>
      </c>
      <c r="N722" t="s">
        <v>79</v>
      </c>
      <c r="O722" t="s">
        <v>74</v>
      </c>
      <c r="P722" t="s">
        <v>74</v>
      </c>
      <c r="Q722" t="s">
        <v>74</v>
      </c>
      <c r="R722" t="s">
        <v>74</v>
      </c>
      <c r="S722" t="s">
        <v>74</v>
      </c>
      <c r="T722" t="s">
        <v>74</v>
      </c>
      <c r="U722" t="s">
        <v>13170</v>
      </c>
      <c r="V722" t="s">
        <v>13171</v>
      </c>
      <c r="W722" t="s">
        <v>13172</v>
      </c>
      <c r="X722" t="s">
        <v>13173</v>
      </c>
      <c r="Y722" t="s">
        <v>13174</v>
      </c>
      <c r="Z722" t="s">
        <v>13175</v>
      </c>
      <c r="AA722" t="s">
        <v>13176</v>
      </c>
      <c r="AB722" t="s">
        <v>13177</v>
      </c>
      <c r="AC722" t="s">
        <v>7062</v>
      </c>
      <c r="AD722" t="s">
        <v>730</v>
      </c>
      <c r="AE722" t="s">
        <v>74</v>
      </c>
      <c r="AF722" t="s">
        <v>74</v>
      </c>
      <c r="AG722">
        <v>47</v>
      </c>
      <c r="AH722">
        <v>36</v>
      </c>
      <c r="AI722">
        <v>42</v>
      </c>
      <c r="AJ722">
        <v>0</v>
      </c>
      <c r="AK722">
        <v>24</v>
      </c>
      <c r="AL722" t="s">
        <v>7063</v>
      </c>
      <c r="AM722" t="s">
        <v>7064</v>
      </c>
      <c r="AN722" t="s">
        <v>7065</v>
      </c>
      <c r="AO722" t="s">
        <v>7066</v>
      </c>
      <c r="AP722" t="s">
        <v>74</v>
      </c>
      <c r="AQ722" t="s">
        <v>74</v>
      </c>
      <c r="AR722" t="s">
        <v>7054</v>
      </c>
      <c r="AS722" t="s">
        <v>7067</v>
      </c>
      <c r="AT722" t="s">
        <v>13162</v>
      </c>
      <c r="AU722">
        <v>2009</v>
      </c>
      <c r="AV722">
        <v>4</v>
      </c>
      <c r="AW722">
        <v>7</v>
      </c>
      <c r="AX722" t="s">
        <v>74</v>
      </c>
      <c r="AY722" t="s">
        <v>74</v>
      </c>
      <c r="AZ722" t="s">
        <v>74</v>
      </c>
      <c r="BA722" t="s">
        <v>74</v>
      </c>
      <c r="BB722" t="s">
        <v>74</v>
      </c>
      <c r="BC722" t="s">
        <v>74</v>
      </c>
      <c r="BD722" t="s">
        <v>13178</v>
      </c>
      <c r="BE722" t="s">
        <v>13179</v>
      </c>
      <c r="BF722" t="str">
        <f>HYPERLINK("http://dx.doi.org/10.1371/journal.pone.0006236","http://dx.doi.org/10.1371/journal.pone.0006236")</f>
        <v>http://dx.doi.org/10.1371/journal.pone.0006236</v>
      </c>
      <c r="BG722" t="s">
        <v>74</v>
      </c>
      <c r="BH722" t="s">
        <v>74</v>
      </c>
      <c r="BI722">
        <v>6</v>
      </c>
      <c r="BJ722" t="s">
        <v>388</v>
      </c>
      <c r="BK722" t="s">
        <v>98</v>
      </c>
      <c r="BL722" t="s">
        <v>389</v>
      </c>
      <c r="BM722" t="s">
        <v>13180</v>
      </c>
      <c r="BN722">
        <v>19623244</v>
      </c>
      <c r="BO722" t="s">
        <v>13181</v>
      </c>
      <c r="BP722" t="s">
        <v>74</v>
      </c>
      <c r="BQ722" t="s">
        <v>74</v>
      </c>
      <c r="BR722" t="s">
        <v>101</v>
      </c>
      <c r="BS722" t="s">
        <v>13182</v>
      </c>
      <c r="BT722" t="str">
        <f>HYPERLINK("https%3A%2F%2Fwww.webofscience.com%2Fwos%2Fwoscc%2Ffull-record%2FWOS:000268260100002","View Full Record in Web of Science")</f>
        <v>View Full Record in Web of Science</v>
      </c>
    </row>
    <row r="723" spans="1:72" x14ac:dyDescent="0.15">
      <c r="A723" t="s">
        <v>72</v>
      </c>
      <c r="B723" t="s">
        <v>13183</v>
      </c>
      <c r="C723" t="s">
        <v>74</v>
      </c>
      <c r="D723" t="s">
        <v>74</v>
      </c>
      <c r="E723" t="s">
        <v>74</v>
      </c>
      <c r="F723" t="s">
        <v>13184</v>
      </c>
      <c r="G723" t="s">
        <v>74</v>
      </c>
      <c r="H723" t="s">
        <v>74</v>
      </c>
      <c r="I723" t="s">
        <v>13185</v>
      </c>
      <c r="J723" t="s">
        <v>13186</v>
      </c>
      <c r="K723" t="s">
        <v>74</v>
      </c>
      <c r="L723" t="s">
        <v>74</v>
      </c>
      <c r="M723" t="s">
        <v>78</v>
      </c>
      <c r="N723" t="s">
        <v>297</v>
      </c>
      <c r="O723" t="s">
        <v>74</v>
      </c>
      <c r="P723" t="s">
        <v>74</v>
      </c>
      <c r="Q723" t="s">
        <v>74</v>
      </c>
      <c r="R723" t="s">
        <v>74</v>
      </c>
      <c r="S723" t="s">
        <v>74</v>
      </c>
      <c r="T723" t="s">
        <v>74</v>
      </c>
      <c r="U723" t="s">
        <v>13187</v>
      </c>
      <c r="V723" t="s">
        <v>13188</v>
      </c>
      <c r="W723" t="s">
        <v>13189</v>
      </c>
      <c r="X723" t="s">
        <v>13190</v>
      </c>
      <c r="Y723" t="s">
        <v>13191</v>
      </c>
      <c r="Z723" t="s">
        <v>13192</v>
      </c>
      <c r="AA723" t="s">
        <v>13193</v>
      </c>
      <c r="AB723" t="s">
        <v>13194</v>
      </c>
      <c r="AC723" t="s">
        <v>10209</v>
      </c>
      <c r="AD723" t="s">
        <v>573</v>
      </c>
      <c r="AE723" t="s">
        <v>74</v>
      </c>
      <c r="AF723" t="s">
        <v>74</v>
      </c>
      <c r="AG723">
        <v>90</v>
      </c>
      <c r="AH723">
        <v>238</v>
      </c>
      <c r="AI723">
        <v>251</v>
      </c>
      <c r="AJ723">
        <v>5</v>
      </c>
      <c r="AK723">
        <v>44</v>
      </c>
      <c r="AL723" t="s">
        <v>226</v>
      </c>
      <c r="AM723" t="s">
        <v>227</v>
      </c>
      <c r="AN723" t="s">
        <v>228</v>
      </c>
      <c r="AO723" t="s">
        <v>13195</v>
      </c>
      <c r="AP723" t="s">
        <v>13196</v>
      </c>
      <c r="AQ723" t="s">
        <v>74</v>
      </c>
      <c r="AR723" t="s">
        <v>13197</v>
      </c>
      <c r="AS723" t="s">
        <v>13198</v>
      </c>
      <c r="AT723" t="s">
        <v>13162</v>
      </c>
      <c r="AU723">
        <v>2009</v>
      </c>
      <c r="AV723">
        <v>47</v>
      </c>
      <c r="AW723" t="s">
        <v>74</v>
      </c>
      <c r="AX723" t="s">
        <v>74</v>
      </c>
      <c r="AY723" t="s">
        <v>74</v>
      </c>
      <c r="AZ723" t="s">
        <v>74</v>
      </c>
      <c r="BA723" t="s">
        <v>74</v>
      </c>
      <c r="BB723" t="s">
        <v>74</v>
      </c>
      <c r="BC723" t="s">
        <v>74</v>
      </c>
      <c r="BD723" t="s">
        <v>13199</v>
      </c>
      <c r="BE723" t="s">
        <v>13200</v>
      </c>
      <c r="BF723" t="str">
        <f>HYPERLINK("http://dx.doi.org/10.1029/2007RG000250","http://dx.doi.org/10.1029/2007RG000250")</f>
        <v>http://dx.doi.org/10.1029/2007RG000250</v>
      </c>
      <c r="BG723" t="s">
        <v>74</v>
      </c>
      <c r="BH723" t="s">
        <v>74</v>
      </c>
      <c r="BI723">
        <v>23</v>
      </c>
      <c r="BJ723" t="s">
        <v>261</v>
      </c>
      <c r="BK723" t="s">
        <v>98</v>
      </c>
      <c r="BL723" t="s">
        <v>261</v>
      </c>
      <c r="BM723" t="s">
        <v>13201</v>
      </c>
      <c r="BN723" t="s">
        <v>74</v>
      </c>
      <c r="BO723" t="s">
        <v>74</v>
      </c>
      <c r="BP723" t="s">
        <v>74</v>
      </c>
      <c r="BQ723" t="s">
        <v>74</v>
      </c>
      <c r="BR723" t="s">
        <v>101</v>
      </c>
      <c r="BS723" t="s">
        <v>13202</v>
      </c>
      <c r="BT723" t="str">
        <f>HYPERLINK("https%3A%2F%2Fwww.webofscience.com%2Fwos%2Fwoscc%2Ffull-record%2FWOS:000268356900001","View Full Record in Web of Science")</f>
        <v>View Full Record in Web of Science</v>
      </c>
    </row>
    <row r="724" spans="1:72" x14ac:dyDescent="0.15">
      <c r="A724" t="s">
        <v>72</v>
      </c>
      <c r="B724" t="s">
        <v>13203</v>
      </c>
      <c r="C724" t="s">
        <v>74</v>
      </c>
      <c r="D724" t="s">
        <v>74</v>
      </c>
      <c r="E724" t="s">
        <v>74</v>
      </c>
      <c r="F724" t="s">
        <v>13204</v>
      </c>
      <c r="G724" t="s">
        <v>74</v>
      </c>
      <c r="H724" t="s">
        <v>74</v>
      </c>
      <c r="I724" t="s">
        <v>13205</v>
      </c>
      <c r="J724" t="s">
        <v>13206</v>
      </c>
      <c r="K724" t="s">
        <v>74</v>
      </c>
      <c r="L724" t="s">
        <v>74</v>
      </c>
      <c r="M724" t="s">
        <v>78</v>
      </c>
      <c r="N724" t="s">
        <v>297</v>
      </c>
      <c r="O724" t="s">
        <v>74</v>
      </c>
      <c r="P724" t="s">
        <v>74</v>
      </c>
      <c r="Q724" t="s">
        <v>74</v>
      </c>
      <c r="R724" t="s">
        <v>74</v>
      </c>
      <c r="S724" t="s">
        <v>74</v>
      </c>
      <c r="T724" t="s">
        <v>74</v>
      </c>
      <c r="U724" t="s">
        <v>13207</v>
      </c>
      <c r="V724" t="s">
        <v>13208</v>
      </c>
      <c r="W724" t="s">
        <v>13209</v>
      </c>
      <c r="X724" t="s">
        <v>13210</v>
      </c>
      <c r="Y724" t="s">
        <v>13211</v>
      </c>
      <c r="Z724" t="s">
        <v>13212</v>
      </c>
      <c r="AA724" t="s">
        <v>13213</v>
      </c>
      <c r="AB724" t="s">
        <v>13214</v>
      </c>
      <c r="AC724" t="s">
        <v>13215</v>
      </c>
      <c r="AD724" t="s">
        <v>13216</v>
      </c>
      <c r="AE724" t="s">
        <v>13217</v>
      </c>
      <c r="AF724" t="s">
        <v>74</v>
      </c>
      <c r="AG724">
        <v>106</v>
      </c>
      <c r="AH724">
        <v>85</v>
      </c>
      <c r="AI724">
        <v>92</v>
      </c>
      <c r="AJ724">
        <v>0</v>
      </c>
      <c r="AK724">
        <v>57</v>
      </c>
      <c r="AL724" t="s">
        <v>13055</v>
      </c>
      <c r="AM724" t="s">
        <v>433</v>
      </c>
      <c r="AN724" t="s">
        <v>13056</v>
      </c>
      <c r="AO724" t="s">
        <v>13218</v>
      </c>
      <c r="AP724" t="s">
        <v>74</v>
      </c>
      <c r="AQ724" t="s">
        <v>74</v>
      </c>
      <c r="AR724" t="s">
        <v>13206</v>
      </c>
      <c r="AS724" t="s">
        <v>13219</v>
      </c>
      <c r="AT724" t="s">
        <v>13220</v>
      </c>
      <c r="AU724">
        <v>2009</v>
      </c>
      <c r="AV724">
        <v>10</v>
      </c>
      <c r="AW724" t="s">
        <v>74</v>
      </c>
      <c r="AX724" t="s">
        <v>74</v>
      </c>
      <c r="AY724" t="s">
        <v>74</v>
      </c>
      <c r="AZ724" t="s">
        <v>74</v>
      </c>
      <c r="BA724" t="s">
        <v>74</v>
      </c>
      <c r="BB724" t="s">
        <v>74</v>
      </c>
      <c r="BC724" t="s">
        <v>74</v>
      </c>
      <c r="BD724">
        <v>328</v>
      </c>
      <c r="BE724" t="s">
        <v>13221</v>
      </c>
      <c r="BF724" t="str">
        <f>HYPERLINK("http://dx.doi.org/10.1186/1471-2164-10-328","http://dx.doi.org/10.1186/1471-2164-10-328")</f>
        <v>http://dx.doi.org/10.1186/1471-2164-10-328</v>
      </c>
      <c r="BG724" t="s">
        <v>74</v>
      </c>
      <c r="BH724" t="s">
        <v>74</v>
      </c>
      <c r="BI724">
        <v>19</v>
      </c>
      <c r="BJ724" t="s">
        <v>13222</v>
      </c>
      <c r="BK724" t="s">
        <v>98</v>
      </c>
      <c r="BL724" t="s">
        <v>13222</v>
      </c>
      <c r="BM724" t="s">
        <v>13223</v>
      </c>
      <c r="BN724">
        <v>19622137</v>
      </c>
      <c r="BO724" t="s">
        <v>13224</v>
      </c>
      <c r="BP724" t="s">
        <v>74</v>
      </c>
      <c r="BQ724" t="s">
        <v>74</v>
      </c>
      <c r="BR724" t="s">
        <v>101</v>
      </c>
      <c r="BS724" t="s">
        <v>13225</v>
      </c>
      <c r="BT724" t="str">
        <f>HYPERLINK("https%3A%2F%2Fwww.webofscience.com%2Fwos%2Fwoscc%2Ffull-record%2FWOS:000269508100001","View Full Record in Web of Science")</f>
        <v>View Full Record in Web of Science</v>
      </c>
    </row>
    <row r="725" spans="1:72" x14ac:dyDescent="0.15">
      <c r="A725" t="s">
        <v>72</v>
      </c>
      <c r="B725" t="s">
        <v>13226</v>
      </c>
      <c r="C725" t="s">
        <v>74</v>
      </c>
      <c r="D725" t="s">
        <v>74</v>
      </c>
      <c r="E725" t="s">
        <v>74</v>
      </c>
      <c r="F725" t="s">
        <v>13227</v>
      </c>
      <c r="G725" t="s">
        <v>74</v>
      </c>
      <c r="H725" t="s">
        <v>74</v>
      </c>
      <c r="I725" t="s">
        <v>13228</v>
      </c>
      <c r="J725" t="s">
        <v>721</v>
      </c>
      <c r="K725" t="s">
        <v>74</v>
      </c>
      <c r="L725" t="s">
        <v>74</v>
      </c>
      <c r="M725" t="s">
        <v>78</v>
      </c>
      <c r="N725" t="s">
        <v>79</v>
      </c>
      <c r="O725" t="s">
        <v>74</v>
      </c>
      <c r="P725" t="s">
        <v>74</v>
      </c>
      <c r="Q725" t="s">
        <v>74</v>
      </c>
      <c r="R725" t="s">
        <v>74</v>
      </c>
      <c r="S725" t="s">
        <v>74</v>
      </c>
      <c r="T725" t="s">
        <v>74</v>
      </c>
      <c r="U725" t="s">
        <v>13229</v>
      </c>
      <c r="V725" t="s">
        <v>13230</v>
      </c>
      <c r="W725" t="s">
        <v>13231</v>
      </c>
      <c r="X725" t="s">
        <v>192</v>
      </c>
      <c r="Y725" t="s">
        <v>13232</v>
      </c>
      <c r="Z725" t="s">
        <v>13233</v>
      </c>
      <c r="AA725" t="s">
        <v>74</v>
      </c>
      <c r="AB725" t="s">
        <v>13234</v>
      </c>
      <c r="AC725" t="s">
        <v>13235</v>
      </c>
      <c r="AD725" t="s">
        <v>13236</v>
      </c>
      <c r="AE725" t="s">
        <v>13237</v>
      </c>
      <c r="AF725" t="s">
        <v>74</v>
      </c>
      <c r="AG725">
        <v>20</v>
      </c>
      <c r="AH725">
        <v>54</v>
      </c>
      <c r="AI725">
        <v>59</v>
      </c>
      <c r="AJ725">
        <v>0</v>
      </c>
      <c r="AK725">
        <v>27</v>
      </c>
      <c r="AL725" t="s">
        <v>226</v>
      </c>
      <c r="AM725" t="s">
        <v>227</v>
      </c>
      <c r="AN725" t="s">
        <v>228</v>
      </c>
      <c r="AO725" t="s">
        <v>731</v>
      </c>
      <c r="AP725" t="s">
        <v>74</v>
      </c>
      <c r="AQ725" t="s">
        <v>74</v>
      </c>
      <c r="AR725" t="s">
        <v>733</v>
      </c>
      <c r="AS725" t="s">
        <v>734</v>
      </c>
      <c r="AT725" t="s">
        <v>13238</v>
      </c>
      <c r="AU725">
        <v>2009</v>
      </c>
      <c r="AV725">
        <v>36</v>
      </c>
      <c r="AW725" t="s">
        <v>74</v>
      </c>
      <c r="AX725" t="s">
        <v>74</v>
      </c>
      <c r="AY725" t="s">
        <v>74</v>
      </c>
      <c r="AZ725" t="s">
        <v>74</v>
      </c>
      <c r="BA725" t="s">
        <v>74</v>
      </c>
      <c r="BB725" t="s">
        <v>74</v>
      </c>
      <c r="BC725" t="s">
        <v>74</v>
      </c>
      <c r="BD725" t="s">
        <v>13239</v>
      </c>
      <c r="BE725" t="s">
        <v>13240</v>
      </c>
      <c r="BF725" t="str">
        <f>HYPERLINK("http://dx.doi.org/10.1029/2009GL038062","http://dx.doi.org/10.1029/2009GL038062")</f>
        <v>http://dx.doi.org/10.1029/2009GL038062</v>
      </c>
      <c r="BG725" t="s">
        <v>74</v>
      </c>
      <c r="BH725" t="s">
        <v>74</v>
      </c>
      <c r="BI725">
        <v>5</v>
      </c>
      <c r="BJ725" t="s">
        <v>464</v>
      </c>
      <c r="BK725" t="s">
        <v>98</v>
      </c>
      <c r="BL725" t="s">
        <v>465</v>
      </c>
      <c r="BM725" t="s">
        <v>13241</v>
      </c>
      <c r="BN725" t="s">
        <v>74</v>
      </c>
      <c r="BO725" t="s">
        <v>74</v>
      </c>
      <c r="BP725" t="s">
        <v>74</v>
      </c>
      <c r="BQ725" t="s">
        <v>74</v>
      </c>
      <c r="BR725" t="s">
        <v>101</v>
      </c>
      <c r="BS725" t="s">
        <v>13242</v>
      </c>
      <c r="BT725" t="str">
        <f>HYPERLINK("https%3A%2F%2Fwww.webofscience.com%2Fwos%2Fwoscc%2Ffull-record%2FWOS:000268091600002","View Full Record in Web of Science")</f>
        <v>View Full Record in Web of Science</v>
      </c>
    </row>
    <row r="726" spans="1:72" x14ac:dyDescent="0.15">
      <c r="A726" t="s">
        <v>72</v>
      </c>
      <c r="B726" t="s">
        <v>13243</v>
      </c>
      <c r="C726" t="s">
        <v>74</v>
      </c>
      <c r="D726" t="s">
        <v>74</v>
      </c>
      <c r="E726" t="s">
        <v>74</v>
      </c>
      <c r="F726" t="s">
        <v>13244</v>
      </c>
      <c r="G726" t="s">
        <v>74</v>
      </c>
      <c r="H726" t="s">
        <v>74</v>
      </c>
      <c r="I726" t="s">
        <v>13245</v>
      </c>
      <c r="J726" t="s">
        <v>987</v>
      </c>
      <c r="K726" t="s">
        <v>74</v>
      </c>
      <c r="L726" t="s">
        <v>74</v>
      </c>
      <c r="M726" t="s">
        <v>78</v>
      </c>
      <c r="N726" t="s">
        <v>79</v>
      </c>
      <c r="O726" t="s">
        <v>74</v>
      </c>
      <c r="P726" t="s">
        <v>74</v>
      </c>
      <c r="Q726" t="s">
        <v>74</v>
      </c>
      <c r="R726" t="s">
        <v>74</v>
      </c>
      <c r="S726" t="s">
        <v>74</v>
      </c>
      <c r="T726" t="s">
        <v>74</v>
      </c>
      <c r="U726" t="s">
        <v>13246</v>
      </c>
      <c r="V726" t="s">
        <v>13247</v>
      </c>
      <c r="W726" t="s">
        <v>13248</v>
      </c>
      <c r="X726" t="s">
        <v>13249</v>
      </c>
      <c r="Y726" t="s">
        <v>13250</v>
      </c>
      <c r="Z726" t="s">
        <v>13251</v>
      </c>
      <c r="AA726" t="s">
        <v>13252</v>
      </c>
      <c r="AB726" t="s">
        <v>13253</v>
      </c>
      <c r="AC726" t="s">
        <v>13254</v>
      </c>
      <c r="AD726" t="s">
        <v>13255</v>
      </c>
      <c r="AE726" t="s">
        <v>13256</v>
      </c>
      <c r="AF726" t="s">
        <v>74</v>
      </c>
      <c r="AG726">
        <v>55</v>
      </c>
      <c r="AH726">
        <v>143</v>
      </c>
      <c r="AI726">
        <v>152</v>
      </c>
      <c r="AJ726">
        <v>0</v>
      </c>
      <c r="AK726">
        <v>5</v>
      </c>
      <c r="AL726" t="s">
        <v>226</v>
      </c>
      <c r="AM726" t="s">
        <v>227</v>
      </c>
      <c r="AN726" t="s">
        <v>228</v>
      </c>
      <c r="AO726" t="s">
        <v>997</v>
      </c>
      <c r="AP726" t="s">
        <v>998</v>
      </c>
      <c r="AQ726" t="s">
        <v>74</v>
      </c>
      <c r="AR726" t="s">
        <v>999</v>
      </c>
      <c r="AS726" t="s">
        <v>1000</v>
      </c>
      <c r="AT726" t="s">
        <v>13238</v>
      </c>
      <c r="AU726">
        <v>2009</v>
      </c>
      <c r="AV726">
        <v>114</v>
      </c>
      <c r="AW726" t="s">
        <v>74</v>
      </c>
      <c r="AX726" t="s">
        <v>74</v>
      </c>
      <c r="AY726" t="s">
        <v>74</v>
      </c>
      <c r="AZ726" t="s">
        <v>74</v>
      </c>
      <c r="BA726" t="s">
        <v>74</v>
      </c>
      <c r="BB726" t="s">
        <v>74</v>
      </c>
      <c r="BC726" t="s">
        <v>74</v>
      </c>
      <c r="BD726" t="s">
        <v>13257</v>
      </c>
      <c r="BE726" t="s">
        <v>13258</v>
      </c>
      <c r="BF726" t="str">
        <f>HYPERLINK("http://dx.doi.org/10.1029/2009JA014230","http://dx.doi.org/10.1029/2009JA014230")</f>
        <v>http://dx.doi.org/10.1029/2009JA014230</v>
      </c>
      <c r="BG726" t="s">
        <v>74</v>
      </c>
      <c r="BH726" t="s">
        <v>74</v>
      </c>
      <c r="BI726">
        <v>11</v>
      </c>
      <c r="BJ726" t="s">
        <v>1003</v>
      </c>
      <c r="BK726" t="s">
        <v>98</v>
      </c>
      <c r="BL726" t="s">
        <v>1003</v>
      </c>
      <c r="BM726" t="s">
        <v>13259</v>
      </c>
      <c r="BN726" t="s">
        <v>74</v>
      </c>
      <c r="BO726" t="s">
        <v>577</v>
      </c>
      <c r="BP726" t="s">
        <v>74</v>
      </c>
      <c r="BQ726" t="s">
        <v>74</v>
      </c>
      <c r="BR726" t="s">
        <v>101</v>
      </c>
      <c r="BS726" t="s">
        <v>13260</v>
      </c>
      <c r="BT726" t="str">
        <f>HYPERLINK("https%3A%2F%2Fwww.webofscience.com%2Fwos%2Fwoscc%2Ffull-record%2FWOS:000268095400003","View Full Record in Web of Science")</f>
        <v>View Full Record in Web of Science</v>
      </c>
    </row>
    <row r="727" spans="1:72" x14ac:dyDescent="0.15">
      <c r="A727" t="s">
        <v>72</v>
      </c>
      <c r="B727" t="s">
        <v>13261</v>
      </c>
      <c r="C727" t="s">
        <v>74</v>
      </c>
      <c r="D727" t="s">
        <v>74</v>
      </c>
      <c r="E727" t="s">
        <v>74</v>
      </c>
      <c r="F727" t="s">
        <v>13262</v>
      </c>
      <c r="G727" t="s">
        <v>74</v>
      </c>
      <c r="H727" t="s">
        <v>74</v>
      </c>
      <c r="I727" t="s">
        <v>13263</v>
      </c>
      <c r="J727" t="s">
        <v>3735</v>
      </c>
      <c r="K727" t="s">
        <v>74</v>
      </c>
      <c r="L727" t="s">
        <v>74</v>
      </c>
      <c r="M727" t="s">
        <v>78</v>
      </c>
      <c r="N727" t="s">
        <v>523</v>
      </c>
      <c r="O727" t="s">
        <v>74</v>
      </c>
      <c r="P727" t="s">
        <v>74</v>
      </c>
      <c r="Q727" t="s">
        <v>74</v>
      </c>
      <c r="R727" t="s">
        <v>74</v>
      </c>
      <c r="S727" t="s">
        <v>74</v>
      </c>
      <c r="T727" t="s">
        <v>74</v>
      </c>
      <c r="U727" t="s">
        <v>74</v>
      </c>
      <c r="V727" t="s">
        <v>13264</v>
      </c>
      <c r="W727" t="s">
        <v>13265</v>
      </c>
      <c r="X727" t="s">
        <v>13266</v>
      </c>
      <c r="Y727" t="s">
        <v>13267</v>
      </c>
      <c r="Z727" t="s">
        <v>74</v>
      </c>
      <c r="AA727" t="s">
        <v>13268</v>
      </c>
      <c r="AB727" t="s">
        <v>13269</v>
      </c>
      <c r="AC727" t="s">
        <v>13270</v>
      </c>
      <c r="AD727" t="s">
        <v>3083</v>
      </c>
      <c r="AE727" t="s">
        <v>74</v>
      </c>
      <c r="AF727" t="s">
        <v>74</v>
      </c>
      <c r="AG727">
        <v>2</v>
      </c>
      <c r="AH727">
        <v>7</v>
      </c>
      <c r="AI727">
        <v>7</v>
      </c>
      <c r="AJ727">
        <v>0</v>
      </c>
      <c r="AK727">
        <v>2</v>
      </c>
      <c r="AL727" t="s">
        <v>3747</v>
      </c>
      <c r="AM727" t="s">
        <v>3748</v>
      </c>
      <c r="AN727" t="s">
        <v>3749</v>
      </c>
      <c r="AO727" t="s">
        <v>3750</v>
      </c>
      <c r="AP727" t="s">
        <v>74</v>
      </c>
      <c r="AQ727" t="s">
        <v>74</v>
      </c>
      <c r="AR727" t="s">
        <v>3751</v>
      </c>
      <c r="AS727" t="s">
        <v>3752</v>
      </c>
      <c r="AT727" t="s">
        <v>13271</v>
      </c>
      <c r="AU727">
        <v>2009</v>
      </c>
      <c r="AV727">
        <v>103</v>
      </c>
      <c r="AW727">
        <v>3</v>
      </c>
      <c r="AX727" t="s">
        <v>74</v>
      </c>
      <c r="AY727" t="s">
        <v>74</v>
      </c>
      <c r="AZ727" t="s">
        <v>74</v>
      </c>
      <c r="BA727" t="s">
        <v>74</v>
      </c>
      <c r="BB727" t="s">
        <v>74</v>
      </c>
      <c r="BC727" t="s">
        <v>74</v>
      </c>
      <c r="BD727">
        <v>39501</v>
      </c>
      <c r="BE727" t="s">
        <v>13272</v>
      </c>
      <c r="BF727" t="str">
        <f>HYPERLINK("http://dx.doi.org/10.1103/PhysRevLett.103.039501","http://dx.doi.org/10.1103/PhysRevLett.103.039501")</f>
        <v>http://dx.doi.org/10.1103/PhysRevLett.103.039501</v>
      </c>
      <c r="BG727" t="s">
        <v>74</v>
      </c>
      <c r="BH727" t="s">
        <v>74</v>
      </c>
      <c r="BI727">
        <v>1</v>
      </c>
      <c r="BJ727" t="s">
        <v>3755</v>
      </c>
      <c r="BK727" t="s">
        <v>98</v>
      </c>
      <c r="BL727" t="s">
        <v>154</v>
      </c>
      <c r="BM727" t="s">
        <v>13273</v>
      </c>
      <c r="BN727">
        <v>19659327</v>
      </c>
      <c r="BO727" t="s">
        <v>74</v>
      </c>
      <c r="BP727" t="s">
        <v>74</v>
      </c>
      <c r="BQ727" t="s">
        <v>74</v>
      </c>
      <c r="BR727" t="s">
        <v>101</v>
      </c>
      <c r="BS727" t="s">
        <v>13274</v>
      </c>
      <c r="BT727" t="str">
        <f>HYPERLINK("https%3A%2F%2Fwww.webofscience.com%2Fwos%2Fwoscc%2Ffull-record%2FWOS:000268088300074","View Full Record in Web of Science")</f>
        <v>View Full Record in Web of Science</v>
      </c>
    </row>
    <row r="728" spans="1:72" x14ac:dyDescent="0.15">
      <c r="A728" t="s">
        <v>72</v>
      </c>
      <c r="B728" t="s">
        <v>13275</v>
      </c>
      <c r="C728" t="s">
        <v>74</v>
      </c>
      <c r="D728" t="s">
        <v>74</v>
      </c>
      <c r="E728" t="s">
        <v>74</v>
      </c>
      <c r="F728" t="s">
        <v>13276</v>
      </c>
      <c r="G728" t="s">
        <v>74</v>
      </c>
      <c r="H728" t="s">
        <v>74</v>
      </c>
      <c r="I728" t="s">
        <v>13277</v>
      </c>
      <c r="J728" t="s">
        <v>522</v>
      </c>
      <c r="K728" t="s">
        <v>74</v>
      </c>
      <c r="L728" t="s">
        <v>74</v>
      </c>
      <c r="M728" t="s">
        <v>78</v>
      </c>
      <c r="N728" t="s">
        <v>79</v>
      </c>
      <c r="O728" t="s">
        <v>74</v>
      </c>
      <c r="P728" t="s">
        <v>74</v>
      </c>
      <c r="Q728" t="s">
        <v>74</v>
      </c>
      <c r="R728" t="s">
        <v>74</v>
      </c>
      <c r="S728" t="s">
        <v>74</v>
      </c>
      <c r="T728" t="s">
        <v>74</v>
      </c>
      <c r="U728" t="s">
        <v>13278</v>
      </c>
      <c r="V728" t="s">
        <v>13279</v>
      </c>
      <c r="W728" t="s">
        <v>13280</v>
      </c>
      <c r="X728" t="s">
        <v>13281</v>
      </c>
      <c r="Y728" t="s">
        <v>13282</v>
      </c>
      <c r="Z728" t="s">
        <v>13283</v>
      </c>
      <c r="AA728" t="s">
        <v>4068</v>
      </c>
      <c r="AB728" t="s">
        <v>13284</v>
      </c>
      <c r="AC728" t="s">
        <v>13285</v>
      </c>
      <c r="AD728" t="s">
        <v>13286</v>
      </c>
      <c r="AE728" t="s">
        <v>13287</v>
      </c>
      <c r="AF728" t="s">
        <v>74</v>
      </c>
      <c r="AG728">
        <v>47</v>
      </c>
      <c r="AH728">
        <v>176</v>
      </c>
      <c r="AI728">
        <v>195</v>
      </c>
      <c r="AJ728">
        <v>3</v>
      </c>
      <c r="AK728">
        <v>66</v>
      </c>
      <c r="AL728" t="s">
        <v>2890</v>
      </c>
      <c r="AM728" t="s">
        <v>433</v>
      </c>
      <c r="AN728" t="s">
        <v>3957</v>
      </c>
      <c r="AO728" t="s">
        <v>532</v>
      </c>
      <c r="AP728" t="s">
        <v>533</v>
      </c>
      <c r="AQ728" t="s">
        <v>74</v>
      </c>
      <c r="AR728" t="s">
        <v>522</v>
      </c>
      <c r="AS728" t="s">
        <v>534</v>
      </c>
      <c r="AT728" t="s">
        <v>13288</v>
      </c>
      <c r="AU728">
        <v>2009</v>
      </c>
      <c r="AV728">
        <v>460</v>
      </c>
      <c r="AW728">
        <v>7253</v>
      </c>
      <c r="AX728" t="s">
        <v>74</v>
      </c>
      <c r="AY728" t="s">
        <v>74</v>
      </c>
      <c r="AZ728" t="s">
        <v>74</v>
      </c>
      <c r="BA728" t="s">
        <v>74</v>
      </c>
      <c r="BB728">
        <v>380</v>
      </c>
      <c r="BC728" t="s">
        <v>13289</v>
      </c>
      <c r="BD728" t="s">
        <v>74</v>
      </c>
      <c r="BE728" t="s">
        <v>13290</v>
      </c>
      <c r="BF728" t="str">
        <f>HYPERLINK("http://dx.doi.org/10.1038/nature08189","http://dx.doi.org/10.1038/nature08189")</f>
        <v>http://dx.doi.org/10.1038/nature08189</v>
      </c>
      <c r="BG728" t="s">
        <v>74</v>
      </c>
      <c r="BH728" t="s">
        <v>74</v>
      </c>
      <c r="BI728">
        <v>5</v>
      </c>
      <c r="BJ728" t="s">
        <v>388</v>
      </c>
      <c r="BK728" t="s">
        <v>98</v>
      </c>
      <c r="BL728" t="s">
        <v>389</v>
      </c>
      <c r="BM728" t="s">
        <v>13291</v>
      </c>
      <c r="BN728">
        <v>19606147</v>
      </c>
      <c r="BO728" t="s">
        <v>74</v>
      </c>
      <c r="BP728" t="s">
        <v>74</v>
      </c>
      <c r="BQ728" t="s">
        <v>74</v>
      </c>
      <c r="BR728" t="s">
        <v>101</v>
      </c>
      <c r="BS728" t="s">
        <v>13292</v>
      </c>
      <c r="BT728" t="str">
        <f>HYPERLINK("https%3A%2F%2Fwww.webofscience.com%2Fwos%2Fwoscc%2Ffull-record%2FWOS:000267979000035","View Full Record in Web of Science")</f>
        <v>View Full Record in Web of Science</v>
      </c>
    </row>
    <row r="729" spans="1:72" x14ac:dyDescent="0.15">
      <c r="A729" t="s">
        <v>72</v>
      </c>
      <c r="B729" t="s">
        <v>13293</v>
      </c>
      <c r="C729" t="s">
        <v>74</v>
      </c>
      <c r="D729" t="s">
        <v>74</v>
      </c>
      <c r="E729" t="s">
        <v>74</v>
      </c>
      <c r="F729" t="s">
        <v>13294</v>
      </c>
      <c r="G729" t="s">
        <v>74</v>
      </c>
      <c r="H729" t="s">
        <v>74</v>
      </c>
      <c r="I729" t="s">
        <v>13295</v>
      </c>
      <c r="J729" t="s">
        <v>7469</v>
      </c>
      <c r="K729" t="s">
        <v>74</v>
      </c>
      <c r="L729" t="s">
        <v>74</v>
      </c>
      <c r="M729" t="s">
        <v>78</v>
      </c>
      <c r="N729" t="s">
        <v>79</v>
      </c>
      <c r="O729" t="s">
        <v>74</v>
      </c>
      <c r="P729" t="s">
        <v>74</v>
      </c>
      <c r="Q729" t="s">
        <v>74</v>
      </c>
      <c r="R729" t="s">
        <v>74</v>
      </c>
      <c r="S729" t="s">
        <v>74</v>
      </c>
      <c r="T729" t="s">
        <v>13296</v>
      </c>
      <c r="U729" t="s">
        <v>13297</v>
      </c>
      <c r="V729" t="s">
        <v>13298</v>
      </c>
      <c r="W729" t="s">
        <v>13299</v>
      </c>
      <c r="X729" t="s">
        <v>13300</v>
      </c>
      <c r="Y729" t="s">
        <v>13301</v>
      </c>
      <c r="Z729" t="s">
        <v>13302</v>
      </c>
      <c r="AA729" t="s">
        <v>74</v>
      </c>
      <c r="AB729" t="s">
        <v>74</v>
      </c>
      <c r="AC729" t="s">
        <v>74</v>
      </c>
      <c r="AD729" t="s">
        <v>74</v>
      </c>
      <c r="AE729" t="s">
        <v>74</v>
      </c>
      <c r="AF729" t="s">
        <v>74</v>
      </c>
      <c r="AG729">
        <v>87</v>
      </c>
      <c r="AH729">
        <v>171</v>
      </c>
      <c r="AI729">
        <v>183</v>
      </c>
      <c r="AJ729">
        <v>1</v>
      </c>
      <c r="AK729">
        <v>52</v>
      </c>
      <c r="AL729" t="s">
        <v>1894</v>
      </c>
      <c r="AM729" t="s">
        <v>1895</v>
      </c>
      <c r="AN729" t="s">
        <v>1896</v>
      </c>
      <c r="AO729" t="s">
        <v>7482</v>
      </c>
      <c r="AP729" t="s">
        <v>7483</v>
      </c>
      <c r="AQ729" t="s">
        <v>74</v>
      </c>
      <c r="AR729" t="s">
        <v>7484</v>
      </c>
      <c r="AS729" t="s">
        <v>7485</v>
      </c>
      <c r="AT729" t="s">
        <v>13303</v>
      </c>
      <c r="AU729">
        <v>2009</v>
      </c>
      <c r="AV729">
        <v>56</v>
      </c>
      <c r="AW729">
        <v>16</v>
      </c>
      <c r="AX729" t="s">
        <v>74</v>
      </c>
      <c r="AY729" t="s">
        <v>74</v>
      </c>
      <c r="AZ729" t="s">
        <v>74</v>
      </c>
      <c r="BA729" t="s">
        <v>74</v>
      </c>
      <c r="BB729">
        <v>992</v>
      </c>
      <c r="BC729">
        <v>1008</v>
      </c>
      <c r="BD729" t="s">
        <v>74</v>
      </c>
      <c r="BE729" t="s">
        <v>13304</v>
      </c>
      <c r="BF729" t="str">
        <f>HYPERLINK("http://dx.doi.org/10.1016/j.dsr2.2008.12.013","http://dx.doi.org/10.1016/j.dsr2.2008.12.013")</f>
        <v>http://dx.doi.org/10.1016/j.dsr2.2008.12.013</v>
      </c>
      <c r="BG729" t="s">
        <v>74</v>
      </c>
      <c r="BH729" t="s">
        <v>74</v>
      </c>
      <c r="BI729">
        <v>17</v>
      </c>
      <c r="BJ729" t="s">
        <v>806</v>
      </c>
      <c r="BK729" t="s">
        <v>98</v>
      </c>
      <c r="BL729" t="s">
        <v>806</v>
      </c>
      <c r="BM729" t="s">
        <v>13305</v>
      </c>
      <c r="BN729" t="s">
        <v>74</v>
      </c>
      <c r="BO729" t="s">
        <v>74</v>
      </c>
      <c r="BP729" t="s">
        <v>74</v>
      </c>
      <c r="BQ729" t="s">
        <v>74</v>
      </c>
      <c r="BR729" t="s">
        <v>101</v>
      </c>
      <c r="BS729" t="s">
        <v>13306</v>
      </c>
      <c r="BT729" t="str">
        <f>HYPERLINK("https%3A%2F%2Fwww.webofscience.com%2Fwos%2Fwoscc%2Ffull-record%2FWOS:000268272100002","View Full Record in Web of Science")</f>
        <v>View Full Record in Web of Science</v>
      </c>
    </row>
    <row r="730" spans="1:72" x14ac:dyDescent="0.15">
      <c r="A730" t="s">
        <v>72</v>
      </c>
      <c r="B730" t="s">
        <v>13307</v>
      </c>
      <c r="C730" t="s">
        <v>74</v>
      </c>
      <c r="D730" t="s">
        <v>74</v>
      </c>
      <c r="E730" t="s">
        <v>74</v>
      </c>
      <c r="F730" t="s">
        <v>13308</v>
      </c>
      <c r="G730" t="s">
        <v>74</v>
      </c>
      <c r="H730" t="s">
        <v>74</v>
      </c>
      <c r="I730" t="s">
        <v>13309</v>
      </c>
      <c r="J730" t="s">
        <v>7469</v>
      </c>
      <c r="K730" t="s">
        <v>74</v>
      </c>
      <c r="L730" t="s">
        <v>74</v>
      </c>
      <c r="M730" t="s">
        <v>78</v>
      </c>
      <c r="N730" t="s">
        <v>79</v>
      </c>
      <c r="O730" t="s">
        <v>74</v>
      </c>
      <c r="P730" t="s">
        <v>74</v>
      </c>
      <c r="Q730" t="s">
        <v>74</v>
      </c>
      <c r="R730" t="s">
        <v>74</v>
      </c>
      <c r="S730" t="s">
        <v>74</v>
      </c>
      <c r="T730" t="s">
        <v>13310</v>
      </c>
      <c r="U730" t="s">
        <v>13311</v>
      </c>
      <c r="V730" t="s">
        <v>13312</v>
      </c>
      <c r="W730" t="s">
        <v>13313</v>
      </c>
      <c r="X730" t="s">
        <v>13314</v>
      </c>
      <c r="Y730" t="s">
        <v>13315</v>
      </c>
      <c r="Z730" t="s">
        <v>13316</v>
      </c>
      <c r="AA730" t="s">
        <v>13317</v>
      </c>
      <c r="AB730" t="s">
        <v>13318</v>
      </c>
      <c r="AC730" t="s">
        <v>13319</v>
      </c>
      <c r="AD730" t="s">
        <v>13320</v>
      </c>
      <c r="AE730" t="s">
        <v>13321</v>
      </c>
      <c r="AF730" t="s">
        <v>74</v>
      </c>
      <c r="AG730">
        <v>35</v>
      </c>
      <c r="AH730">
        <v>179</v>
      </c>
      <c r="AI730">
        <v>191</v>
      </c>
      <c r="AJ730">
        <v>2</v>
      </c>
      <c r="AK730">
        <v>74</v>
      </c>
      <c r="AL730" t="s">
        <v>1894</v>
      </c>
      <c r="AM730" t="s">
        <v>1895</v>
      </c>
      <c r="AN730" t="s">
        <v>1896</v>
      </c>
      <c r="AO730" t="s">
        <v>7482</v>
      </c>
      <c r="AP730" t="s">
        <v>7483</v>
      </c>
      <c r="AQ730" t="s">
        <v>74</v>
      </c>
      <c r="AR730" t="s">
        <v>7484</v>
      </c>
      <c r="AS730" t="s">
        <v>7485</v>
      </c>
      <c r="AT730" t="s">
        <v>13303</v>
      </c>
      <c r="AU730">
        <v>2009</v>
      </c>
      <c r="AV730">
        <v>56</v>
      </c>
      <c r="AW730">
        <v>16</v>
      </c>
      <c r="AX730" t="s">
        <v>74</v>
      </c>
      <c r="AY730" t="s">
        <v>74</v>
      </c>
      <c r="AZ730" t="s">
        <v>74</v>
      </c>
      <c r="BA730" t="s">
        <v>74</v>
      </c>
      <c r="BB730">
        <v>1027</v>
      </c>
      <c r="BC730">
        <v>1038</v>
      </c>
      <c r="BD730" t="s">
        <v>74</v>
      </c>
      <c r="BE730" t="s">
        <v>13322</v>
      </c>
      <c r="BF730" t="str">
        <f>HYPERLINK("http://dx.doi.org/10.1016/j.dsr2.2008.11.001","http://dx.doi.org/10.1016/j.dsr2.2008.11.001")</f>
        <v>http://dx.doi.org/10.1016/j.dsr2.2008.11.001</v>
      </c>
      <c r="BG730" t="s">
        <v>74</v>
      </c>
      <c r="BH730" t="s">
        <v>74</v>
      </c>
      <c r="BI730">
        <v>12</v>
      </c>
      <c r="BJ730" t="s">
        <v>806</v>
      </c>
      <c r="BK730" t="s">
        <v>98</v>
      </c>
      <c r="BL730" t="s">
        <v>806</v>
      </c>
      <c r="BM730" t="s">
        <v>13305</v>
      </c>
      <c r="BN730" t="s">
        <v>74</v>
      </c>
      <c r="BO730" t="s">
        <v>74</v>
      </c>
      <c r="BP730" t="s">
        <v>74</v>
      </c>
      <c r="BQ730" t="s">
        <v>74</v>
      </c>
      <c r="BR730" t="s">
        <v>101</v>
      </c>
      <c r="BS730" t="s">
        <v>13323</v>
      </c>
      <c r="BT730" t="str">
        <f>HYPERLINK("https%3A%2F%2Fwww.webofscience.com%2Fwos%2Fwoscc%2Ffull-record%2FWOS:000268272100005","View Full Record in Web of Science")</f>
        <v>View Full Record in Web of Science</v>
      </c>
    </row>
    <row r="731" spans="1:72" x14ac:dyDescent="0.15">
      <c r="A731" t="s">
        <v>72</v>
      </c>
      <c r="B731" t="s">
        <v>13324</v>
      </c>
      <c r="C731" t="s">
        <v>74</v>
      </c>
      <c r="D731" t="s">
        <v>74</v>
      </c>
      <c r="E731" t="s">
        <v>74</v>
      </c>
      <c r="F731" t="s">
        <v>13325</v>
      </c>
      <c r="G731" t="s">
        <v>74</v>
      </c>
      <c r="H731" t="s">
        <v>74</v>
      </c>
      <c r="I731" t="s">
        <v>13326</v>
      </c>
      <c r="J731" t="s">
        <v>7469</v>
      </c>
      <c r="K731" t="s">
        <v>74</v>
      </c>
      <c r="L731" t="s">
        <v>74</v>
      </c>
      <c r="M731" t="s">
        <v>78</v>
      </c>
      <c r="N731" t="s">
        <v>79</v>
      </c>
      <c r="O731" t="s">
        <v>74</v>
      </c>
      <c r="P731" t="s">
        <v>74</v>
      </c>
      <c r="Q731" t="s">
        <v>74</v>
      </c>
      <c r="R731" t="s">
        <v>74</v>
      </c>
      <c r="S731" t="s">
        <v>74</v>
      </c>
      <c r="T731" t="s">
        <v>13327</v>
      </c>
      <c r="U731" t="s">
        <v>13328</v>
      </c>
      <c r="V731" t="s">
        <v>13329</v>
      </c>
      <c r="W731" t="s">
        <v>13330</v>
      </c>
      <c r="X731" t="s">
        <v>13331</v>
      </c>
      <c r="Y731" t="s">
        <v>13332</v>
      </c>
      <c r="Z731" t="s">
        <v>13333</v>
      </c>
      <c r="AA731" t="s">
        <v>13334</v>
      </c>
      <c r="AB731" t="s">
        <v>13335</v>
      </c>
      <c r="AC731" t="s">
        <v>13336</v>
      </c>
      <c r="AD731" t="s">
        <v>13337</v>
      </c>
      <c r="AE731" t="s">
        <v>13338</v>
      </c>
      <c r="AF731" t="s">
        <v>74</v>
      </c>
      <c r="AG731">
        <v>71</v>
      </c>
      <c r="AH731">
        <v>28</v>
      </c>
      <c r="AI731">
        <v>31</v>
      </c>
      <c r="AJ731">
        <v>1</v>
      </c>
      <c r="AK731">
        <v>20</v>
      </c>
      <c r="AL731" t="s">
        <v>1894</v>
      </c>
      <c r="AM731" t="s">
        <v>1895</v>
      </c>
      <c r="AN731" t="s">
        <v>1896</v>
      </c>
      <c r="AO731" t="s">
        <v>7482</v>
      </c>
      <c r="AP731" t="s">
        <v>7483</v>
      </c>
      <c r="AQ731" t="s">
        <v>74</v>
      </c>
      <c r="AR731" t="s">
        <v>7484</v>
      </c>
      <c r="AS731" t="s">
        <v>7485</v>
      </c>
      <c r="AT731" t="s">
        <v>13303</v>
      </c>
      <c r="AU731">
        <v>2009</v>
      </c>
      <c r="AV731">
        <v>56</v>
      </c>
      <c r="AW731">
        <v>16</v>
      </c>
      <c r="AX731" t="s">
        <v>74</v>
      </c>
      <c r="AY731" t="s">
        <v>74</v>
      </c>
      <c r="AZ731" t="s">
        <v>74</v>
      </c>
      <c r="BA731" t="s">
        <v>74</v>
      </c>
      <c r="BB731">
        <v>1061</v>
      </c>
      <c r="BC731">
        <v>1072</v>
      </c>
      <c r="BD731" t="s">
        <v>74</v>
      </c>
      <c r="BE731" t="s">
        <v>13339</v>
      </c>
      <c r="BF731" t="str">
        <f>HYPERLINK("http://dx.doi.org/10.1016/j.dsr2.2008.09.010","http://dx.doi.org/10.1016/j.dsr2.2008.09.010")</f>
        <v>http://dx.doi.org/10.1016/j.dsr2.2008.09.010</v>
      </c>
      <c r="BG731" t="s">
        <v>74</v>
      </c>
      <c r="BH731" t="s">
        <v>74</v>
      </c>
      <c r="BI731">
        <v>12</v>
      </c>
      <c r="BJ731" t="s">
        <v>806</v>
      </c>
      <c r="BK731" t="s">
        <v>98</v>
      </c>
      <c r="BL731" t="s">
        <v>806</v>
      </c>
      <c r="BM731" t="s">
        <v>13305</v>
      </c>
      <c r="BN731" t="s">
        <v>74</v>
      </c>
      <c r="BO731" t="s">
        <v>74</v>
      </c>
      <c r="BP731" t="s">
        <v>74</v>
      </c>
      <c r="BQ731" t="s">
        <v>74</v>
      </c>
      <c r="BR731" t="s">
        <v>101</v>
      </c>
      <c r="BS731" t="s">
        <v>13340</v>
      </c>
      <c r="BT731" t="str">
        <f>HYPERLINK("https%3A%2F%2Fwww.webofscience.com%2Fwos%2Fwoscc%2Ffull-record%2FWOS:000268272100008","View Full Record in Web of Science")</f>
        <v>View Full Record in Web of Science</v>
      </c>
    </row>
    <row r="732" spans="1:72" x14ac:dyDescent="0.15">
      <c r="A732" t="s">
        <v>72</v>
      </c>
      <c r="B732" t="s">
        <v>13341</v>
      </c>
      <c r="C732" t="s">
        <v>74</v>
      </c>
      <c r="D732" t="s">
        <v>74</v>
      </c>
      <c r="E732" t="s">
        <v>74</v>
      </c>
      <c r="F732" t="s">
        <v>13342</v>
      </c>
      <c r="G732" t="s">
        <v>74</v>
      </c>
      <c r="H732" t="s">
        <v>74</v>
      </c>
      <c r="I732" t="s">
        <v>13343</v>
      </c>
      <c r="J732" t="s">
        <v>4020</v>
      </c>
      <c r="K732" t="s">
        <v>74</v>
      </c>
      <c r="L732" t="s">
        <v>74</v>
      </c>
      <c r="M732" t="s">
        <v>78</v>
      </c>
      <c r="N732" t="s">
        <v>79</v>
      </c>
      <c r="O732" t="s">
        <v>74</v>
      </c>
      <c r="P732" t="s">
        <v>74</v>
      </c>
      <c r="Q732" t="s">
        <v>74</v>
      </c>
      <c r="R732" t="s">
        <v>74</v>
      </c>
      <c r="S732" t="s">
        <v>74</v>
      </c>
      <c r="T732" t="s">
        <v>13344</v>
      </c>
      <c r="U732" t="s">
        <v>13345</v>
      </c>
      <c r="V732" t="s">
        <v>13346</v>
      </c>
      <c r="W732" t="s">
        <v>13347</v>
      </c>
      <c r="X732" t="s">
        <v>1687</v>
      </c>
      <c r="Y732" t="s">
        <v>13348</v>
      </c>
      <c r="Z732" t="s">
        <v>13349</v>
      </c>
      <c r="AA732" t="s">
        <v>74</v>
      </c>
      <c r="AB732" t="s">
        <v>13350</v>
      </c>
      <c r="AC732" t="s">
        <v>13351</v>
      </c>
      <c r="AD732" t="s">
        <v>11086</v>
      </c>
      <c r="AE732" t="s">
        <v>13352</v>
      </c>
      <c r="AF732" t="s">
        <v>74</v>
      </c>
      <c r="AG732">
        <v>66</v>
      </c>
      <c r="AH732">
        <v>19</v>
      </c>
      <c r="AI732">
        <v>20</v>
      </c>
      <c r="AJ732">
        <v>0</v>
      </c>
      <c r="AK732">
        <v>15</v>
      </c>
      <c r="AL732" t="s">
        <v>305</v>
      </c>
      <c r="AM732" t="s">
        <v>281</v>
      </c>
      <c r="AN732" t="s">
        <v>306</v>
      </c>
      <c r="AO732" t="s">
        <v>4033</v>
      </c>
      <c r="AP732" t="s">
        <v>4034</v>
      </c>
      <c r="AQ732" t="s">
        <v>74</v>
      </c>
      <c r="AR732" t="s">
        <v>4035</v>
      </c>
      <c r="AS732" t="s">
        <v>4036</v>
      </c>
      <c r="AT732" t="s">
        <v>13303</v>
      </c>
      <c r="AU732">
        <v>2009</v>
      </c>
      <c r="AV732">
        <v>284</v>
      </c>
      <c r="AW732" t="s">
        <v>288</v>
      </c>
      <c r="AX732" t="s">
        <v>74</v>
      </c>
      <c r="AY732" t="s">
        <v>74</v>
      </c>
      <c r="AZ732" t="s">
        <v>74</v>
      </c>
      <c r="BA732" t="s">
        <v>74</v>
      </c>
      <c r="BB732">
        <v>630</v>
      </c>
      <c r="BC732">
        <v>638</v>
      </c>
      <c r="BD732" t="s">
        <v>74</v>
      </c>
      <c r="BE732" t="s">
        <v>13353</v>
      </c>
      <c r="BF732" t="str">
        <f>HYPERLINK("http://dx.doi.org/10.1016/j.epsl.2009.05.030","http://dx.doi.org/10.1016/j.epsl.2009.05.030")</f>
        <v>http://dx.doi.org/10.1016/j.epsl.2009.05.030</v>
      </c>
      <c r="BG732" t="s">
        <v>74</v>
      </c>
      <c r="BH732" t="s">
        <v>74</v>
      </c>
      <c r="BI732">
        <v>9</v>
      </c>
      <c r="BJ732" t="s">
        <v>261</v>
      </c>
      <c r="BK732" t="s">
        <v>98</v>
      </c>
      <c r="BL732" t="s">
        <v>261</v>
      </c>
      <c r="BM732" t="s">
        <v>13354</v>
      </c>
      <c r="BN732" t="s">
        <v>74</v>
      </c>
      <c r="BO732" t="s">
        <v>74</v>
      </c>
      <c r="BP732" t="s">
        <v>74</v>
      </c>
      <c r="BQ732" t="s">
        <v>74</v>
      </c>
      <c r="BR732" t="s">
        <v>101</v>
      </c>
      <c r="BS732" t="s">
        <v>13355</v>
      </c>
      <c r="BT732" t="str">
        <f>HYPERLINK("https%3A%2F%2Fwww.webofscience.com%2Fwos%2Fwoscc%2Ffull-record%2FWOS:000269282700036","View Full Record in Web of Science")</f>
        <v>View Full Record in Web of Science</v>
      </c>
    </row>
    <row r="733" spans="1:72" x14ac:dyDescent="0.15">
      <c r="A733" t="s">
        <v>72</v>
      </c>
      <c r="B733" t="s">
        <v>13356</v>
      </c>
      <c r="C733" t="s">
        <v>74</v>
      </c>
      <c r="D733" t="s">
        <v>74</v>
      </c>
      <c r="E733" t="s">
        <v>74</v>
      </c>
      <c r="F733" t="s">
        <v>13357</v>
      </c>
      <c r="G733" t="s">
        <v>74</v>
      </c>
      <c r="H733" t="s">
        <v>74</v>
      </c>
      <c r="I733" t="s">
        <v>13358</v>
      </c>
      <c r="J733" t="s">
        <v>9862</v>
      </c>
      <c r="K733" t="s">
        <v>74</v>
      </c>
      <c r="L733" t="s">
        <v>74</v>
      </c>
      <c r="M733" t="s">
        <v>78</v>
      </c>
      <c r="N733" t="s">
        <v>79</v>
      </c>
      <c r="O733" t="s">
        <v>74</v>
      </c>
      <c r="P733" t="s">
        <v>74</v>
      </c>
      <c r="Q733" t="s">
        <v>74</v>
      </c>
      <c r="R733" t="s">
        <v>74</v>
      </c>
      <c r="S733" t="s">
        <v>74</v>
      </c>
      <c r="T733" t="s">
        <v>74</v>
      </c>
      <c r="U733" t="s">
        <v>13359</v>
      </c>
      <c r="V733" t="s">
        <v>13360</v>
      </c>
      <c r="W733" t="s">
        <v>13361</v>
      </c>
      <c r="X733" t="s">
        <v>13362</v>
      </c>
      <c r="Y733" t="s">
        <v>13363</v>
      </c>
      <c r="Z733" t="s">
        <v>13364</v>
      </c>
      <c r="AA733" t="s">
        <v>13365</v>
      </c>
      <c r="AB733" t="s">
        <v>13366</v>
      </c>
      <c r="AC733" t="s">
        <v>13367</v>
      </c>
      <c r="AD733" t="s">
        <v>13368</v>
      </c>
      <c r="AE733" t="s">
        <v>13369</v>
      </c>
      <c r="AF733" t="s">
        <v>74</v>
      </c>
      <c r="AG733">
        <v>20</v>
      </c>
      <c r="AH733">
        <v>19</v>
      </c>
      <c r="AI733">
        <v>19</v>
      </c>
      <c r="AJ733">
        <v>0</v>
      </c>
      <c r="AK733">
        <v>26</v>
      </c>
      <c r="AL733" t="s">
        <v>887</v>
      </c>
      <c r="AM733" t="s">
        <v>227</v>
      </c>
      <c r="AN733" t="s">
        <v>888</v>
      </c>
      <c r="AO733" t="s">
        <v>9872</v>
      </c>
      <c r="AP733" t="s">
        <v>74</v>
      </c>
      <c r="AQ733" t="s">
        <v>74</v>
      </c>
      <c r="AR733" t="s">
        <v>9873</v>
      </c>
      <c r="AS733" t="s">
        <v>9874</v>
      </c>
      <c r="AT733" t="s">
        <v>13303</v>
      </c>
      <c r="AU733">
        <v>2009</v>
      </c>
      <c r="AV733">
        <v>43</v>
      </c>
      <c r="AW733">
        <v>14</v>
      </c>
      <c r="AX733" t="s">
        <v>74</v>
      </c>
      <c r="AY733" t="s">
        <v>74</v>
      </c>
      <c r="AZ733" t="s">
        <v>74</v>
      </c>
      <c r="BA733" t="s">
        <v>74</v>
      </c>
      <c r="BB733">
        <v>5371</v>
      </c>
      <c r="BC733">
        <v>5376</v>
      </c>
      <c r="BD733" t="s">
        <v>74</v>
      </c>
      <c r="BE733" t="s">
        <v>13370</v>
      </c>
      <c r="BF733" t="str">
        <f>HYPERLINK("http://dx.doi.org/10.1021/es9003137","http://dx.doi.org/10.1021/es9003137")</f>
        <v>http://dx.doi.org/10.1021/es9003137</v>
      </c>
      <c r="BG733" t="s">
        <v>74</v>
      </c>
      <c r="BH733" t="s">
        <v>74</v>
      </c>
      <c r="BI733">
        <v>6</v>
      </c>
      <c r="BJ733" t="s">
        <v>9876</v>
      </c>
      <c r="BK733" t="s">
        <v>98</v>
      </c>
      <c r="BL733" t="s">
        <v>9877</v>
      </c>
      <c r="BM733" t="s">
        <v>13371</v>
      </c>
      <c r="BN733">
        <v>19708368</v>
      </c>
      <c r="BO733" t="s">
        <v>74</v>
      </c>
      <c r="BP733" t="s">
        <v>74</v>
      </c>
      <c r="BQ733" t="s">
        <v>74</v>
      </c>
      <c r="BR733" t="s">
        <v>101</v>
      </c>
      <c r="BS733" t="s">
        <v>13372</v>
      </c>
      <c r="BT733" t="str">
        <f>HYPERLINK("https%3A%2F%2Fwww.webofscience.com%2Fwos%2Fwoscc%2Ffull-record%2FWOS:000268138000035","View Full Record in Web of Science")</f>
        <v>View Full Record in Web of Science</v>
      </c>
    </row>
    <row r="734" spans="1:72" x14ac:dyDescent="0.15">
      <c r="A734" t="s">
        <v>72</v>
      </c>
      <c r="B734" t="s">
        <v>13373</v>
      </c>
      <c r="C734" t="s">
        <v>74</v>
      </c>
      <c r="D734" t="s">
        <v>74</v>
      </c>
      <c r="E734" t="s">
        <v>74</v>
      </c>
      <c r="F734" t="s">
        <v>13374</v>
      </c>
      <c r="G734" t="s">
        <v>74</v>
      </c>
      <c r="H734" t="s">
        <v>74</v>
      </c>
      <c r="I734" t="s">
        <v>13375</v>
      </c>
      <c r="J734" t="s">
        <v>9862</v>
      </c>
      <c r="K734" t="s">
        <v>74</v>
      </c>
      <c r="L734" t="s">
        <v>74</v>
      </c>
      <c r="M734" t="s">
        <v>78</v>
      </c>
      <c r="N734" t="s">
        <v>79</v>
      </c>
      <c r="O734" t="s">
        <v>74</v>
      </c>
      <c r="P734" t="s">
        <v>74</v>
      </c>
      <c r="Q734" t="s">
        <v>74</v>
      </c>
      <c r="R734" t="s">
        <v>74</v>
      </c>
      <c r="S734" t="s">
        <v>74</v>
      </c>
      <c r="T734" t="s">
        <v>74</v>
      </c>
      <c r="U734" t="s">
        <v>13376</v>
      </c>
      <c r="V734" t="s">
        <v>13377</v>
      </c>
      <c r="W734" t="s">
        <v>13378</v>
      </c>
      <c r="X734" t="s">
        <v>13379</v>
      </c>
      <c r="Y734" t="s">
        <v>13380</v>
      </c>
      <c r="Z734" t="s">
        <v>13381</v>
      </c>
      <c r="AA734" t="s">
        <v>13382</v>
      </c>
      <c r="AB734" t="s">
        <v>13383</v>
      </c>
      <c r="AC734" t="s">
        <v>13384</v>
      </c>
      <c r="AD734" t="s">
        <v>13384</v>
      </c>
      <c r="AE734" t="s">
        <v>13385</v>
      </c>
      <c r="AF734" t="s">
        <v>74</v>
      </c>
      <c r="AG734">
        <v>43</v>
      </c>
      <c r="AH734">
        <v>43</v>
      </c>
      <c r="AI734">
        <v>50</v>
      </c>
      <c r="AJ734">
        <v>3</v>
      </c>
      <c r="AK734">
        <v>64</v>
      </c>
      <c r="AL734" t="s">
        <v>887</v>
      </c>
      <c r="AM734" t="s">
        <v>227</v>
      </c>
      <c r="AN734" t="s">
        <v>888</v>
      </c>
      <c r="AO734" t="s">
        <v>9872</v>
      </c>
      <c r="AP734" t="s">
        <v>74</v>
      </c>
      <c r="AQ734" t="s">
        <v>74</v>
      </c>
      <c r="AR734" t="s">
        <v>9873</v>
      </c>
      <c r="AS734" t="s">
        <v>9874</v>
      </c>
      <c r="AT734" t="s">
        <v>13303</v>
      </c>
      <c r="AU734">
        <v>2009</v>
      </c>
      <c r="AV734">
        <v>43</v>
      </c>
      <c r="AW734">
        <v>14</v>
      </c>
      <c r="AX734" t="s">
        <v>74</v>
      </c>
      <c r="AY734" t="s">
        <v>74</v>
      </c>
      <c r="AZ734" t="s">
        <v>74</v>
      </c>
      <c r="BA734" t="s">
        <v>74</v>
      </c>
      <c r="BB734">
        <v>5521</v>
      </c>
      <c r="BC734">
        <v>5528</v>
      </c>
      <c r="BD734" t="s">
        <v>74</v>
      </c>
      <c r="BE734" t="s">
        <v>13386</v>
      </c>
      <c r="BF734" t="str">
        <f>HYPERLINK("http://dx.doi.org/10.1021/es900490n","http://dx.doi.org/10.1021/es900490n")</f>
        <v>http://dx.doi.org/10.1021/es900490n</v>
      </c>
      <c r="BG734" t="s">
        <v>74</v>
      </c>
      <c r="BH734" t="s">
        <v>74</v>
      </c>
      <c r="BI734">
        <v>8</v>
      </c>
      <c r="BJ734" t="s">
        <v>9876</v>
      </c>
      <c r="BK734" t="s">
        <v>98</v>
      </c>
      <c r="BL734" t="s">
        <v>9877</v>
      </c>
      <c r="BM734" t="s">
        <v>13371</v>
      </c>
      <c r="BN734">
        <v>19708391</v>
      </c>
      <c r="BO734" t="s">
        <v>74</v>
      </c>
      <c r="BP734" t="s">
        <v>74</v>
      </c>
      <c r="BQ734" t="s">
        <v>74</v>
      </c>
      <c r="BR734" t="s">
        <v>101</v>
      </c>
      <c r="BS734" t="s">
        <v>13387</v>
      </c>
      <c r="BT734" t="str">
        <f>HYPERLINK("https%3A%2F%2Fwww.webofscience.com%2Fwos%2Fwoscc%2Ffull-record%2FWOS:000268138000058","View Full Record in Web of Science")</f>
        <v>View Full Record in Web of Science</v>
      </c>
    </row>
    <row r="735" spans="1:72" x14ac:dyDescent="0.15">
      <c r="A735" t="s">
        <v>72</v>
      </c>
      <c r="B735" t="s">
        <v>13388</v>
      </c>
      <c r="C735" t="s">
        <v>74</v>
      </c>
      <c r="D735" t="s">
        <v>74</v>
      </c>
      <c r="E735" t="s">
        <v>74</v>
      </c>
      <c r="F735" t="s">
        <v>13389</v>
      </c>
      <c r="G735" t="s">
        <v>74</v>
      </c>
      <c r="H735" t="s">
        <v>74</v>
      </c>
      <c r="I735" t="s">
        <v>13390</v>
      </c>
      <c r="J735" t="s">
        <v>13391</v>
      </c>
      <c r="K735" t="s">
        <v>74</v>
      </c>
      <c r="L735" t="s">
        <v>74</v>
      </c>
      <c r="M735" t="s">
        <v>78</v>
      </c>
      <c r="N735" t="s">
        <v>79</v>
      </c>
      <c r="O735" t="s">
        <v>74</v>
      </c>
      <c r="P735" t="s">
        <v>74</v>
      </c>
      <c r="Q735" t="s">
        <v>74</v>
      </c>
      <c r="R735" t="s">
        <v>74</v>
      </c>
      <c r="S735" t="s">
        <v>74</v>
      </c>
      <c r="T735" t="s">
        <v>13392</v>
      </c>
      <c r="U735" t="s">
        <v>13393</v>
      </c>
      <c r="V735" t="s">
        <v>13394</v>
      </c>
      <c r="W735" t="s">
        <v>13395</v>
      </c>
      <c r="X735" t="s">
        <v>13396</v>
      </c>
      <c r="Y735" t="s">
        <v>13397</v>
      </c>
      <c r="Z735" t="s">
        <v>13398</v>
      </c>
      <c r="AA735" t="s">
        <v>13399</v>
      </c>
      <c r="AB735" t="s">
        <v>13400</v>
      </c>
      <c r="AC735" t="s">
        <v>13401</v>
      </c>
      <c r="AD735" t="s">
        <v>13401</v>
      </c>
      <c r="AE735" t="s">
        <v>13402</v>
      </c>
      <c r="AF735" t="s">
        <v>74</v>
      </c>
      <c r="AG735">
        <v>49</v>
      </c>
      <c r="AH735">
        <v>36</v>
      </c>
      <c r="AI735">
        <v>41</v>
      </c>
      <c r="AJ735">
        <v>0</v>
      </c>
      <c r="AK735">
        <v>20</v>
      </c>
      <c r="AL735" t="s">
        <v>305</v>
      </c>
      <c r="AM735" t="s">
        <v>281</v>
      </c>
      <c r="AN735" t="s">
        <v>306</v>
      </c>
      <c r="AO735" t="s">
        <v>13403</v>
      </c>
      <c r="AP735" t="s">
        <v>13404</v>
      </c>
      <c r="AQ735" t="s">
        <v>74</v>
      </c>
      <c r="AR735" t="s">
        <v>13391</v>
      </c>
      <c r="AS735" t="s">
        <v>13405</v>
      </c>
      <c r="AT735" t="s">
        <v>13303</v>
      </c>
      <c r="AU735">
        <v>2009</v>
      </c>
      <c r="AV735">
        <v>151</v>
      </c>
      <c r="AW735" t="s">
        <v>288</v>
      </c>
      <c r="AX735" t="s">
        <v>74</v>
      </c>
      <c r="AY735" t="s">
        <v>74</v>
      </c>
      <c r="AZ735" t="s">
        <v>74</v>
      </c>
      <c r="BA735" t="s">
        <v>74</v>
      </c>
      <c r="BB735">
        <v>215</v>
      </c>
      <c r="BC735">
        <v>223</v>
      </c>
      <c r="BD735" t="s">
        <v>74</v>
      </c>
      <c r="BE735" t="s">
        <v>13406</v>
      </c>
      <c r="BF735" t="str">
        <f>HYPERLINK("http://dx.doi.org/10.1016/j.geoderma.2009.04.007","http://dx.doi.org/10.1016/j.geoderma.2009.04.007")</f>
        <v>http://dx.doi.org/10.1016/j.geoderma.2009.04.007</v>
      </c>
      <c r="BG735" t="s">
        <v>74</v>
      </c>
      <c r="BH735" t="s">
        <v>74</v>
      </c>
      <c r="BI735">
        <v>9</v>
      </c>
      <c r="BJ735" t="s">
        <v>8786</v>
      </c>
      <c r="BK735" t="s">
        <v>98</v>
      </c>
      <c r="BL735" t="s">
        <v>8787</v>
      </c>
      <c r="BM735" t="s">
        <v>13407</v>
      </c>
      <c r="BN735" t="s">
        <v>74</v>
      </c>
      <c r="BO735" t="s">
        <v>74</v>
      </c>
      <c r="BP735" t="s">
        <v>74</v>
      </c>
      <c r="BQ735" t="s">
        <v>74</v>
      </c>
      <c r="BR735" t="s">
        <v>101</v>
      </c>
      <c r="BS735" t="s">
        <v>13408</v>
      </c>
      <c r="BT735" t="str">
        <f>HYPERLINK("https%3A%2F%2Fwww.webofscience.com%2Fwos%2Fwoscc%2Ffull-record%2FWOS:000268016600018","View Full Record in Web of Science")</f>
        <v>View Full Record in Web of Science</v>
      </c>
    </row>
    <row r="736" spans="1:72" x14ac:dyDescent="0.15">
      <c r="A736" t="s">
        <v>72</v>
      </c>
      <c r="B736" t="s">
        <v>13409</v>
      </c>
      <c r="C736" t="s">
        <v>74</v>
      </c>
      <c r="D736" t="s">
        <v>74</v>
      </c>
      <c r="E736" t="s">
        <v>74</v>
      </c>
      <c r="F736" t="s">
        <v>13410</v>
      </c>
      <c r="G736" t="s">
        <v>74</v>
      </c>
      <c r="H736" t="s">
        <v>74</v>
      </c>
      <c r="I736" t="s">
        <v>13411</v>
      </c>
      <c r="J736" t="s">
        <v>721</v>
      </c>
      <c r="K736" t="s">
        <v>74</v>
      </c>
      <c r="L736" t="s">
        <v>74</v>
      </c>
      <c r="M736" t="s">
        <v>78</v>
      </c>
      <c r="N736" t="s">
        <v>79</v>
      </c>
      <c r="O736" t="s">
        <v>74</v>
      </c>
      <c r="P736" t="s">
        <v>74</v>
      </c>
      <c r="Q736" t="s">
        <v>74</v>
      </c>
      <c r="R736" t="s">
        <v>74</v>
      </c>
      <c r="S736" t="s">
        <v>74</v>
      </c>
      <c r="T736" t="s">
        <v>74</v>
      </c>
      <c r="U736" t="s">
        <v>13412</v>
      </c>
      <c r="V736" t="s">
        <v>13413</v>
      </c>
      <c r="W736" t="s">
        <v>13414</v>
      </c>
      <c r="X736" t="s">
        <v>13415</v>
      </c>
      <c r="Y736" t="s">
        <v>13416</v>
      </c>
      <c r="Z736" t="s">
        <v>13417</v>
      </c>
      <c r="AA736" t="s">
        <v>13418</v>
      </c>
      <c r="AB736" t="s">
        <v>13419</v>
      </c>
      <c r="AC736" t="s">
        <v>13420</v>
      </c>
      <c r="AD736" t="s">
        <v>13421</v>
      </c>
      <c r="AE736" t="s">
        <v>74</v>
      </c>
      <c r="AF736" t="s">
        <v>74</v>
      </c>
      <c r="AG736">
        <v>29</v>
      </c>
      <c r="AH736">
        <v>23</v>
      </c>
      <c r="AI736">
        <v>23</v>
      </c>
      <c r="AJ736">
        <v>0</v>
      </c>
      <c r="AK736">
        <v>13</v>
      </c>
      <c r="AL736" t="s">
        <v>226</v>
      </c>
      <c r="AM736" t="s">
        <v>227</v>
      </c>
      <c r="AN736" t="s">
        <v>228</v>
      </c>
      <c r="AO736" t="s">
        <v>731</v>
      </c>
      <c r="AP736" t="s">
        <v>732</v>
      </c>
      <c r="AQ736" t="s">
        <v>74</v>
      </c>
      <c r="AR736" t="s">
        <v>733</v>
      </c>
      <c r="AS736" t="s">
        <v>734</v>
      </c>
      <c r="AT736" t="s">
        <v>13422</v>
      </c>
      <c r="AU736">
        <v>2009</v>
      </c>
      <c r="AV736">
        <v>36</v>
      </c>
      <c r="AW736" t="s">
        <v>74</v>
      </c>
      <c r="AX736" t="s">
        <v>74</v>
      </c>
      <c r="AY736" t="s">
        <v>74</v>
      </c>
      <c r="AZ736" t="s">
        <v>74</v>
      </c>
      <c r="BA736" t="s">
        <v>74</v>
      </c>
      <c r="BB736" t="s">
        <v>74</v>
      </c>
      <c r="BC736" t="s">
        <v>74</v>
      </c>
      <c r="BD736" t="s">
        <v>13423</v>
      </c>
      <c r="BE736" t="s">
        <v>13424</v>
      </c>
      <c r="BF736" t="str">
        <f>HYPERLINK("http://dx.doi.org/10.1029/2009GL038462","http://dx.doi.org/10.1029/2009GL038462")</f>
        <v>http://dx.doi.org/10.1029/2009GL038462</v>
      </c>
      <c r="BG736" t="s">
        <v>74</v>
      </c>
      <c r="BH736" t="s">
        <v>74</v>
      </c>
      <c r="BI736">
        <v>5</v>
      </c>
      <c r="BJ736" t="s">
        <v>464</v>
      </c>
      <c r="BK736" t="s">
        <v>98</v>
      </c>
      <c r="BL736" t="s">
        <v>465</v>
      </c>
      <c r="BM736" t="s">
        <v>13425</v>
      </c>
      <c r="BN736" t="s">
        <v>74</v>
      </c>
      <c r="BO736" t="s">
        <v>11282</v>
      </c>
      <c r="BP736" t="s">
        <v>74</v>
      </c>
      <c r="BQ736" t="s">
        <v>74</v>
      </c>
      <c r="BR736" t="s">
        <v>101</v>
      </c>
      <c r="BS736" t="s">
        <v>13426</v>
      </c>
      <c r="BT736" t="str">
        <f>HYPERLINK("https%3A%2F%2Fwww.webofscience.com%2Fwos%2Fwoscc%2Ffull-record%2FWOS:000270289300003","View Full Record in Web of Science")</f>
        <v>View Full Record in Web of Science</v>
      </c>
    </row>
    <row r="737" spans="1:72" x14ac:dyDescent="0.15">
      <c r="A737" t="s">
        <v>72</v>
      </c>
      <c r="B737" t="s">
        <v>13427</v>
      </c>
      <c r="C737" t="s">
        <v>74</v>
      </c>
      <c r="D737" t="s">
        <v>74</v>
      </c>
      <c r="E737" t="s">
        <v>74</v>
      </c>
      <c r="F737" t="s">
        <v>13428</v>
      </c>
      <c r="G737" t="s">
        <v>74</v>
      </c>
      <c r="H737" t="s">
        <v>74</v>
      </c>
      <c r="I737" t="s">
        <v>13429</v>
      </c>
      <c r="J737" t="s">
        <v>789</v>
      </c>
      <c r="K737" t="s">
        <v>74</v>
      </c>
      <c r="L737" t="s">
        <v>74</v>
      </c>
      <c r="M737" t="s">
        <v>78</v>
      </c>
      <c r="N737" t="s">
        <v>79</v>
      </c>
      <c r="O737" t="s">
        <v>74</v>
      </c>
      <c r="P737" t="s">
        <v>74</v>
      </c>
      <c r="Q737" t="s">
        <v>74</v>
      </c>
      <c r="R737" t="s">
        <v>74</v>
      </c>
      <c r="S737" t="s">
        <v>74</v>
      </c>
      <c r="T737" t="s">
        <v>74</v>
      </c>
      <c r="U737" t="s">
        <v>13430</v>
      </c>
      <c r="V737" t="s">
        <v>13431</v>
      </c>
      <c r="W737" t="s">
        <v>13432</v>
      </c>
      <c r="X737" t="s">
        <v>13433</v>
      </c>
      <c r="Y737" t="s">
        <v>13434</v>
      </c>
      <c r="Z737" t="s">
        <v>13435</v>
      </c>
      <c r="AA737" t="s">
        <v>13436</v>
      </c>
      <c r="AB737" t="s">
        <v>13437</v>
      </c>
      <c r="AC737" t="s">
        <v>13438</v>
      </c>
      <c r="AD737" t="s">
        <v>13439</v>
      </c>
      <c r="AE737" t="s">
        <v>13440</v>
      </c>
      <c r="AF737" t="s">
        <v>74</v>
      </c>
      <c r="AG737">
        <v>56</v>
      </c>
      <c r="AH737">
        <v>14</v>
      </c>
      <c r="AI737">
        <v>14</v>
      </c>
      <c r="AJ737">
        <v>0</v>
      </c>
      <c r="AK737">
        <v>10</v>
      </c>
      <c r="AL737" t="s">
        <v>226</v>
      </c>
      <c r="AM737" t="s">
        <v>227</v>
      </c>
      <c r="AN737" t="s">
        <v>228</v>
      </c>
      <c r="AO737" t="s">
        <v>800</v>
      </c>
      <c r="AP737" t="s">
        <v>801</v>
      </c>
      <c r="AQ737" t="s">
        <v>74</v>
      </c>
      <c r="AR737" t="s">
        <v>802</v>
      </c>
      <c r="AS737" t="s">
        <v>803</v>
      </c>
      <c r="AT737" t="s">
        <v>13422</v>
      </c>
      <c r="AU737">
        <v>2009</v>
      </c>
      <c r="AV737">
        <v>114</v>
      </c>
      <c r="AW737" t="s">
        <v>74</v>
      </c>
      <c r="AX737" t="s">
        <v>74</v>
      </c>
      <c r="AY737" t="s">
        <v>74</v>
      </c>
      <c r="AZ737" t="s">
        <v>74</v>
      </c>
      <c r="BA737" t="s">
        <v>74</v>
      </c>
      <c r="BB737" t="s">
        <v>74</v>
      </c>
      <c r="BC737" t="s">
        <v>74</v>
      </c>
      <c r="BD737" t="s">
        <v>13441</v>
      </c>
      <c r="BE737" t="s">
        <v>13442</v>
      </c>
      <c r="BF737" t="str">
        <f>HYPERLINK("http://dx.doi.org/10.1029/2007JC004414","http://dx.doi.org/10.1029/2007JC004414")</f>
        <v>http://dx.doi.org/10.1029/2007JC004414</v>
      </c>
      <c r="BG737" t="s">
        <v>74</v>
      </c>
      <c r="BH737" t="s">
        <v>74</v>
      </c>
      <c r="BI737">
        <v>11</v>
      </c>
      <c r="BJ737" t="s">
        <v>806</v>
      </c>
      <c r="BK737" t="s">
        <v>98</v>
      </c>
      <c r="BL737" t="s">
        <v>806</v>
      </c>
      <c r="BM737" t="s">
        <v>13443</v>
      </c>
      <c r="BN737" t="s">
        <v>74</v>
      </c>
      <c r="BO737" t="s">
        <v>74</v>
      </c>
      <c r="BP737" t="s">
        <v>74</v>
      </c>
      <c r="BQ737" t="s">
        <v>74</v>
      </c>
      <c r="BR737" t="s">
        <v>101</v>
      </c>
      <c r="BS737" t="s">
        <v>13444</v>
      </c>
      <c r="BT737" t="str">
        <f>HYPERLINK("https%3A%2F%2Fwww.webofscience.com%2Fwos%2Fwoscc%2Ffull-record%2FWOS:000269920100001","View Full Record in Web of Science")</f>
        <v>View Full Record in Web of Science</v>
      </c>
    </row>
    <row r="738" spans="1:72" x14ac:dyDescent="0.15">
      <c r="A738" t="s">
        <v>72</v>
      </c>
      <c r="B738" t="s">
        <v>13445</v>
      </c>
      <c r="C738" t="s">
        <v>74</v>
      </c>
      <c r="D738" t="s">
        <v>74</v>
      </c>
      <c r="E738" t="s">
        <v>74</v>
      </c>
      <c r="F738" t="s">
        <v>13446</v>
      </c>
      <c r="G738" t="s">
        <v>74</v>
      </c>
      <c r="H738" t="s">
        <v>74</v>
      </c>
      <c r="I738" t="s">
        <v>13447</v>
      </c>
      <c r="J738" t="s">
        <v>789</v>
      </c>
      <c r="K738" t="s">
        <v>74</v>
      </c>
      <c r="L738" t="s">
        <v>74</v>
      </c>
      <c r="M738" t="s">
        <v>78</v>
      </c>
      <c r="N738" t="s">
        <v>79</v>
      </c>
      <c r="O738" t="s">
        <v>74</v>
      </c>
      <c r="P738" t="s">
        <v>74</v>
      </c>
      <c r="Q738" t="s">
        <v>74</v>
      </c>
      <c r="R738" t="s">
        <v>74</v>
      </c>
      <c r="S738" t="s">
        <v>74</v>
      </c>
      <c r="T738" t="s">
        <v>74</v>
      </c>
      <c r="U738" t="s">
        <v>13448</v>
      </c>
      <c r="V738" t="s">
        <v>13449</v>
      </c>
      <c r="W738" t="s">
        <v>13450</v>
      </c>
      <c r="X738" t="s">
        <v>13451</v>
      </c>
      <c r="Y738" t="s">
        <v>13452</v>
      </c>
      <c r="Z738" t="s">
        <v>13453</v>
      </c>
      <c r="AA738" t="s">
        <v>74</v>
      </c>
      <c r="AB738" t="s">
        <v>74</v>
      </c>
      <c r="AC738" t="s">
        <v>74</v>
      </c>
      <c r="AD738" t="s">
        <v>74</v>
      </c>
      <c r="AE738" t="s">
        <v>74</v>
      </c>
      <c r="AF738" t="s">
        <v>74</v>
      </c>
      <c r="AG738">
        <v>41</v>
      </c>
      <c r="AH738">
        <v>5</v>
      </c>
      <c r="AI738">
        <v>6</v>
      </c>
      <c r="AJ738">
        <v>0</v>
      </c>
      <c r="AK738">
        <v>9</v>
      </c>
      <c r="AL738" t="s">
        <v>226</v>
      </c>
      <c r="AM738" t="s">
        <v>227</v>
      </c>
      <c r="AN738" t="s">
        <v>228</v>
      </c>
      <c r="AO738" t="s">
        <v>800</v>
      </c>
      <c r="AP738" t="s">
        <v>801</v>
      </c>
      <c r="AQ738" t="s">
        <v>74</v>
      </c>
      <c r="AR738" t="s">
        <v>802</v>
      </c>
      <c r="AS738" t="s">
        <v>803</v>
      </c>
      <c r="AT738" t="s">
        <v>13422</v>
      </c>
      <c r="AU738">
        <v>2009</v>
      </c>
      <c r="AV738">
        <v>114</v>
      </c>
      <c r="AW738" t="s">
        <v>74</v>
      </c>
      <c r="AX738" t="s">
        <v>74</v>
      </c>
      <c r="AY738" t="s">
        <v>74</v>
      </c>
      <c r="AZ738" t="s">
        <v>74</v>
      </c>
      <c r="BA738" t="s">
        <v>74</v>
      </c>
      <c r="BB738" t="s">
        <v>74</v>
      </c>
      <c r="BC738" t="s">
        <v>74</v>
      </c>
      <c r="BD738" t="s">
        <v>13454</v>
      </c>
      <c r="BE738" t="s">
        <v>13455</v>
      </c>
      <c r="BF738" t="str">
        <f>HYPERLINK("http://dx.doi.org/10.1029/2008JC004826","http://dx.doi.org/10.1029/2008JC004826")</f>
        <v>http://dx.doi.org/10.1029/2008JC004826</v>
      </c>
      <c r="BG738" t="s">
        <v>74</v>
      </c>
      <c r="BH738" t="s">
        <v>74</v>
      </c>
      <c r="BI738">
        <v>14</v>
      </c>
      <c r="BJ738" t="s">
        <v>806</v>
      </c>
      <c r="BK738" t="s">
        <v>98</v>
      </c>
      <c r="BL738" t="s">
        <v>806</v>
      </c>
      <c r="BM738" t="s">
        <v>13443</v>
      </c>
      <c r="BN738" t="s">
        <v>74</v>
      </c>
      <c r="BO738" t="s">
        <v>263</v>
      </c>
      <c r="BP738" t="s">
        <v>74</v>
      </c>
      <c r="BQ738" t="s">
        <v>74</v>
      </c>
      <c r="BR738" t="s">
        <v>101</v>
      </c>
      <c r="BS738" t="s">
        <v>13456</v>
      </c>
      <c r="BT738" t="str">
        <f>HYPERLINK("https%3A%2F%2Fwww.webofscience.com%2Fwos%2Fwoscc%2Ffull-record%2FWOS:000269920100002","View Full Record in Web of Science")</f>
        <v>View Full Record in Web of Science</v>
      </c>
    </row>
    <row r="739" spans="1:72" x14ac:dyDescent="0.15">
      <c r="A739" t="s">
        <v>72</v>
      </c>
      <c r="B739" t="s">
        <v>13457</v>
      </c>
      <c r="C739" t="s">
        <v>74</v>
      </c>
      <c r="D739" t="s">
        <v>74</v>
      </c>
      <c r="E739" t="s">
        <v>74</v>
      </c>
      <c r="F739" t="s">
        <v>13458</v>
      </c>
      <c r="G739" t="s">
        <v>74</v>
      </c>
      <c r="H739" t="s">
        <v>74</v>
      </c>
      <c r="I739" t="s">
        <v>13459</v>
      </c>
      <c r="J739" t="s">
        <v>13460</v>
      </c>
      <c r="K739" t="s">
        <v>74</v>
      </c>
      <c r="L739" t="s">
        <v>74</v>
      </c>
      <c r="M739" t="s">
        <v>78</v>
      </c>
      <c r="N739" t="s">
        <v>79</v>
      </c>
      <c r="O739" t="s">
        <v>74</v>
      </c>
      <c r="P739" t="s">
        <v>74</v>
      </c>
      <c r="Q739" t="s">
        <v>74</v>
      </c>
      <c r="R739" t="s">
        <v>74</v>
      </c>
      <c r="S739" t="s">
        <v>74</v>
      </c>
      <c r="T739" t="s">
        <v>13461</v>
      </c>
      <c r="U739" t="s">
        <v>13462</v>
      </c>
      <c r="V739" t="s">
        <v>13463</v>
      </c>
      <c r="W739" t="s">
        <v>13464</v>
      </c>
      <c r="X739" t="s">
        <v>13465</v>
      </c>
      <c r="Y739" t="s">
        <v>13466</v>
      </c>
      <c r="Z739" t="s">
        <v>13467</v>
      </c>
      <c r="AA739" t="s">
        <v>13468</v>
      </c>
      <c r="AB739" t="s">
        <v>13469</v>
      </c>
      <c r="AC739" t="s">
        <v>13470</v>
      </c>
      <c r="AD739" t="s">
        <v>13471</v>
      </c>
      <c r="AE739" t="s">
        <v>13472</v>
      </c>
      <c r="AF739" t="s">
        <v>74</v>
      </c>
      <c r="AG739">
        <v>68</v>
      </c>
      <c r="AH739">
        <v>1</v>
      </c>
      <c r="AI739">
        <v>1</v>
      </c>
      <c r="AJ739">
        <v>0</v>
      </c>
      <c r="AK739">
        <v>5</v>
      </c>
      <c r="AL739" t="s">
        <v>13473</v>
      </c>
      <c r="AM739" t="s">
        <v>13474</v>
      </c>
      <c r="AN739" t="s">
        <v>13475</v>
      </c>
      <c r="AO739" t="s">
        <v>13476</v>
      </c>
      <c r="AP739" t="s">
        <v>13477</v>
      </c>
      <c r="AQ739" t="s">
        <v>74</v>
      </c>
      <c r="AR739" t="s">
        <v>13478</v>
      </c>
      <c r="AS739" t="s">
        <v>13479</v>
      </c>
      <c r="AT739" t="s">
        <v>13480</v>
      </c>
      <c r="AU739">
        <v>2009</v>
      </c>
      <c r="AV739">
        <v>458</v>
      </c>
      <c r="AW739">
        <v>1</v>
      </c>
      <c r="AX739" t="s">
        <v>74</v>
      </c>
      <c r="AY739" t="s">
        <v>74</v>
      </c>
      <c r="AZ739" t="s">
        <v>74</v>
      </c>
      <c r="BA739" t="s">
        <v>74</v>
      </c>
      <c r="BB739">
        <v>37</v>
      </c>
      <c r="BC739">
        <v>42</v>
      </c>
      <c r="BD739" t="s">
        <v>74</v>
      </c>
      <c r="BE739" t="s">
        <v>13481</v>
      </c>
      <c r="BF739" t="str">
        <f>HYPERLINK("http://dx.doi.org/10.1016/j.neulet.2009.01.063","http://dx.doi.org/10.1016/j.neulet.2009.01.063")</f>
        <v>http://dx.doi.org/10.1016/j.neulet.2009.01.063</v>
      </c>
      <c r="BG739" t="s">
        <v>74</v>
      </c>
      <c r="BH739" t="s">
        <v>74</v>
      </c>
      <c r="BI739">
        <v>6</v>
      </c>
      <c r="BJ739" t="s">
        <v>13482</v>
      </c>
      <c r="BK739" t="s">
        <v>98</v>
      </c>
      <c r="BL739" t="s">
        <v>13483</v>
      </c>
      <c r="BM739" t="s">
        <v>13484</v>
      </c>
      <c r="BN739">
        <v>19442873</v>
      </c>
      <c r="BO739" t="s">
        <v>74</v>
      </c>
      <c r="BP739" t="s">
        <v>74</v>
      </c>
      <c r="BQ739" t="s">
        <v>74</v>
      </c>
      <c r="BR739" t="s">
        <v>101</v>
      </c>
      <c r="BS739" t="s">
        <v>13485</v>
      </c>
      <c r="BT739" t="str">
        <f>HYPERLINK("https%3A%2F%2Fwww.webofscience.com%2Fwos%2Fwoscc%2Ffull-record%2FWOS:000266761000009","View Full Record in Web of Science")</f>
        <v>View Full Record in Web of Science</v>
      </c>
    </row>
    <row r="740" spans="1:72" x14ac:dyDescent="0.15">
      <c r="A740" t="s">
        <v>72</v>
      </c>
      <c r="B740" t="s">
        <v>13486</v>
      </c>
      <c r="C740" t="s">
        <v>74</v>
      </c>
      <c r="D740" t="s">
        <v>74</v>
      </c>
      <c r="E740" t="s">
        <v>74</v>
      </c>
      <c r="F740" t="s">
        <v>13487</v>
      </c>
      <c r="G740" t="s">
        <v>74</v>
      </c>
      <c r="H740" t="s">
        <v>74</v>
      </c>
      <c r="I740" t="s">
        <v>13488</v>
      </c>
      <c r="J740" t="s">
        <v>743</v>
      </c>
      <c r="K740" t="s">
        <v>74</v>
      </c>
      <c r="L740" t="s">
        <v>74</v>
      </c>
      <c r="M740" t="s">
        <v>78</v>
      </c>
      <c r="N740" t="s">
        <v>79</v>
      </c>
      <c r="O740" t="s">
        <v>74</v>
      </c>
      <c r="P740" t="s">
        <v>74</v>
      </c>
      <c r="Q740" t="s">
        <v>74</v>
      </c>
      <c r="R740" t="s">
        <v>74</v>
      </c>
      <c r="S740" t="s">
        <v>74</v>
      </c>
      <c r="T740" t="s">
        <v>13489</v>
      </c>
      <c r="U740" t="s">
        <v>13490</v>
      </c>
      <c r="V740" t="s">
        <v>13491</v>
      </c>
      <c r="W740" t="s">
        <v>13492</v>
      </c>
      <c r="X740" t="s">
        <v>13493</v>
      </c>
      <c r="Y740" t="s">
        <v>13494</v>
      </c>
      <c r="Z740" t="s">
        <v>13495</v>
      </c>
      <c r="AA740" t="s">
        <v>74</v>
      </c>
      <c r="AB740" t="s">
        <v>74</v>
      </c>
      <c r="AC740" t="s">
        <v>13496</v>
      </c>
      <c r="AD740" t="s">
        <v>4611</v>
      </c>
      <c r="AE740" t="s">
        <v>13497</v>
      </c>
      <c r="AF740" t="s">
        <v>74</v>
      </c>
      <c r="AG740">
        <v>50</v>
      </c>
      <c r="AH740">
        <v>3</v>
      </c>
      <c r="AI740">
        <v>5</v>
      </c>
      <c r="AJ740">
        <v>2</v>
      </c>
      <c r="AK740">
        <v>27</v>
      </c>
      <c r="AL740" t="s">
        <v>683</v>
      </c>
      <c r="AM740" t="s">
        <v>684</v>
      </c>
      <c r="AN740" t="s">
        <v>685</v>
      </c>
      <c r="AO740" t="s">
        <v>756</v>
      </c>
      <c r="AP740" t="s">
        <v>757</v>
      </c>
      <c r="AQ740" t="s">
        <v>74</v>
      </c>
      <c r="AR740" t="s">
        <v>758</v>
      </c>
      <c r="AS740" t="s">
        <v>759</v>
      </c>
      <c r="AT740" t="s">
        <v>13480</v>
      </c>
      <c r="AU740">
        <v>2009</v>
      </c>
      <c r="AV740">
        <v>19</v>
      </c>
      <c r="AW740">
        <v>7</v>
      </c>
      <c r="AX740" t="s">
        <v>74</v>
      </c>
      <c r="AY740" t="s">
        <v>74</v>
      </c>
      <c r="AZ740" t="s">
        <v>74</v>
      </c>
      <c r="BA740" t="s">
        <v>74</v>
      </c>
      <c r="BB740">
        <v>851</v>
      </c>
      <c r="BC740">
        <v>859</v>
      </c>
      <c r="BD740" t="s">
        <v>74</v>
      </c>
      <c r="BE740" t="s">
        <v>13498</v>
      </c>
      <c r="BF740" t="str">
        <f>HYPERLINK("http://dx.doi.org/10.1016/j.pnsc.2008.01.040","http://dx.doi.org/10.1016/j.pnsc.2008.01.040")</f>
        <v>http://dx.doi.org/10.1016/j.pnsc.2008.01.040</v>
      </c>
      <c r="BG740" t="s">
        <v>74</v>
      </c>
      <c r="BH740" t="s">
        <v>74</v>
      </c>
      <c r="BI740">
        <v>9</v>
      </c>
      <c r="BJ740" t="s">
        <v>762</v>
      </c>
      <c r="BK740" t="s">
        <v>98</v>
      </c>
      <c r="BL740" t="s">
        <v>763</v>
      </c>
      <c r="BM740" t="s">
        <v>13499</v>
      </c>
      <c r="BN740" t="s">
        <v>74</v>
      </c>
      <c r="BO740" t="s">
        <v>765</v>
      </c>
      <c r="BP740" t="s">
        <v>74</v>
      </c>
      <c r="BQ740" t="s">
        <v>74</v>
      </c>
      <c r="BR740" t="s">
        <v>101</v>
      </c>
      <c r="BS740" t="s">
        <v>13500</v>
      </c>
      <c r="BT740" t="str">
        <f>HYPERLINK("https%3A%2F%2Fwww.webofscience.com%2Fwos%2Fwoscc%2Ffull-record%2FWOS:000266345100009","View Full Record in Web of Science")</f>
        <v>View Full Record in Web of Science</v>
      </c>
    </row>
    <row r="741" spans="1:72" x14ac:dyDescent="0.15">
      <c r="A741" t="s">
        <v>72</v>
      </c>
      <c r="B741" t="s">
        <v>13501</v>
      </c>
      <c r="C741" t="s">
        <v>74</v>
      </c>
      <c r="D741" t="s">
        <v>74</v>
      </c>
      <c r="E741" t="s">
        <v>74</v>
      </c>
      <c r="F741" t="s">
        <v>13502</v>
      </c>
      <c r="G741" t="s">
        <v>74</v>
      </c>
      <c r="H741" t="s">
        <v>74</v>
      </c>
      <c r="I741" t="s">
        <v>13503</v>
      </c>
      <c r="J741" t="s">
        <v>721</v>
      </c>
      <c r="K741" t="s">
        <v>74</v>
      </c>
      <c r="L741" t="s">
        <v>74</v>
      </c>
      <c r="M741" t="s">
        <v>78</v>
      </c>
      <c r="N741" t="s">
        <v>79</v>
      </c>
      <c r="O741" t="s">
        <v>74</v>
      </c>
      <c r="P741" t="s">
        <v>74</v>
      </c>
      <c r="Q741" t="s">
        <v>74</v>
      </c>
      <c r="R741" t="s">
        <v>74</v>
      </c>
      <c r="S741" t="s">
        <v>74</v>
      </c>
      <c r="T741" t="s">
        <v>74</v>
      </c>
      <c r="U741" t="s">
        <v>13504</v>
      </c>
      <c r="V741" t="s">
        <v>13505</v>
      </c>
      <c r="W741" t="s">
        <v>13506</v>
      </c>
      <c r="X741" t="s">
        <v>13507</v>
      </c>
      <c r="Y741" t="s">
        <v>13508</v>
      </c>
      <c r="Z741" t="s">
        <v>13509</v>
      </c>
      <c r="AA741" t="s">
        <v>13510</v>
      </c>
      <c r="AB741" t="s">
        <v>13511</v>
      </c>
      <c r="AC741" t="s">
        <v>13512</v>
      </c>
      <c r="AD741" t="s">
        <v>13513</v>
      </c>
      <c r="AE741" t="s">
        <v>13514</v>
      </c>
      <c r="AF741" t="s">
        <v>74</v>
      </c>
      <c r="AG741">
        <v>22</v>
      </c>
      <c r="AH741">
        <v>27</v>
      </c>
      <c r="AI741">
        <v>28</v>
      </c>
      <c r="AJ741">
        <v>0</v>
      </c>
      <c r="AK741">
        <v>3</v>
      </c>
      <c r="AL741" t="s">
        <v>226</v>
      </c>
      <c r="AM741" t="s">
        <v>227</v>
      </c>
      <c r="AN741" t="s">
        <v>228</v>
      </c>
      <c r="AO741" t="s">
        <v>731</v>
      </c>
      <c r="AP741" t="s">
        <v>732</v>
      </c>
      <c r="AQ741" t="s">
        <v>74</v>
      </c>
      <c r="AR741" t="s">
        <v>733</v>
      </c>
      <c r="AS741" t="s">
        <v>734</v>
      </c>
      <c r="AT741" t="s">
        <v>13515</v>
      </c>
      <c r="AU741">
        <v>2009</v>
      </c>
      <c r="AV741">
        <v>36</v>
      </c>
      <c r="AW741" t="s">
        <v>74</v>
      </c>
      <c r="AX741" t="s">
        <v>74</v>
      </c>
      <c r="AY741" t="s">
        <v>74</v>
      </c>
      <c r="AZ741" t="s">
        <v>74</v>
      </c>
      <c r="BA741" t="s">
        <v>74</v>
      </c>
      <c r="BB741" t="s">
        <v>74</v>
      </c>
      <c r="BC741" t="s">
        <v>74</v>
      </c>
      <c r="BD741" t="s">
        <v>13516</v>
      </c>
      <c r="BE741" t="s">
        <v>13517</v>
      </c>
      <c r="BF741" t="str">
        <f>HYPERLINK("http://dx.doi.org/10.1029/2009GL038775","http://dx.doi.org/10.1029/2009GL038775")</f>
        <v>http://dx.doi.org/10.1029/2009GL038775</v>
      </c>
      <c r="BG741" t="s">
        <v>74</v>
      </c>
      <c r="BH741" t="s">
        <v>74</v>
      </c>
      <c r="BI741">
        <v>4</v>
      </c>
      <c r="BJ741" t="s">
        <v>464</v>
      </c>
      <c r="BK741" t="s">
        <v>98</v>
      </c>
      <c r="BL741" t="s">
        <v>465</v>
      </c>
      <c r="BM741" t="s">
        <v>13518</v>
      </c>
      <c r="BN741" t="s">
        <v>74</v>
      </c>
      <c r="BO741" t="s">
        <v>915</v>
      </c>
      <c r="BP741" t="s">
        <v>74</v>
      </c>
      <c r="BQ741" t="s">
        <v>74</v>
      </c>
      <c r="BR741" t="s">
        <v>101</v>
      </c>
      <c r="BS741" t="s">
        <v>13519</v>
      </c>
      <c r="BT741" t="str">
        <f>HYPERLINK("https%3A%2F%2Fwww.webofscience.com%2Fwos%2Fwoscc%2Ffull-record%2FWOS:000267934900002","View Full Record in Web of Science")</f>
        <v>View Full Record in Web of Science</v>
      </c>
    </row>
    <row r="742" spans="1:72" x14ac:dyDescent="0.15">
      <c r="A742" t="s">
        <v>72</v>
      </c>
      <c r="B742" t="s">
        <v>13520</v>
      </c>
      <c r="C742" t="s">
        <v>74</v>
      </c>
      <c r="D742" t="s">
        <v>74</v>
      </c>
      <c r="E742" t="s">
        <v>74</v>
      </c>
      <c r="F742" t="s">
        <v>13521</v>
      </c>
      <c r="G742" t="s">
        <v>74</v>
      </c>
      <c r="H742" t="s">
        <v>74</v>
      </c>
      <c r="I742" t="s">
        <v>13522</v>
      </c>
      <c r="J742" t="s">
        <v>4236</v>
      </c>
      <c r="K742" t="s">
        <v>74</v>
      </c>
      <c r="L742" t="s">
        <v>74</v>
      </c>
      <c r="M742" t="s">
        <v>78</v>
      </c>
      <c r="N742" t="s">
        <v>8261</v>
      </c>
      <c r="O742" t="s">
        <v>74</v>
      </c>
      <c r="P742" t="s">
        <v>74</v>
      </c>
      <c r="Q742" t="s">
        <v>74</v>
      </c>
      <c r="R742" t="s">
        <v>74</v>
      </c>
      <c r="S742" t="s">
        <v>74</v>
      </c>
      <c r="T742" t="s">
        <v>74</v>
      </c>
      <c r="U742" t="s">
        <v>74</v>
      </c>
      <c r="V742" t="s">
        <v>74</v>
      </c>
      <c r="W742" t="s">
        <v>74</v>
      </c>
      <c r="X742" t="s">
        <v>74</v>
      </c>
      <c r="Y742" t="s">
        <v>74</v>
      </c>
      <c r="Z742" t="s">
        <v>74</v>
      </c>
      <c r="AA742" t="s">
        <v>74</v>
      </c>
      <c r="AB742" t="s">
        <v>74</v>
      </c>
      <c r="AC742" t="s">
        <v>74</v>
      </c>
      <c r="AD742" t="s">
        <v>74</v>
      </c>
      <c r="AE742" t="s">
        <v>74</v>
      </c>
      <c r="AF742" t="s">
        <v>74</v>
      </c>
      <c r="AG742">
        <v>0</v>
      </c>
      <c r="AH742">
        <v>0</v>
      </c>
      <c r="AI742">
        <v>0</v>
      </c>
      <c r="AJ742">
        <v>0</v>
      </c>
      <c r="AK742">
        <v>0</v>
      </c>
      <c r="AL742" t="s">
        <v>4248</v>
      </c>
      <c r="AM742" t="s">
        <v>227</v>
      </c>
      <c r="AN742" t="s">
        <v>4249</v>
      </c>
      <c r="AO742" t="s">
        <v>4250</v>
      </c>
      <c r="AP742" t="s">
        <v>74</v>
      </c>
      <c r="AQ742" t="s">
        <v>74</v>
      </c>
      <c r="AR742" t="s">
        <v>4236</v>
      </c>
      <c r="AS742" t="s">
        <v>4251</v>
      </c>
      <c r="AT742" t="s">
        <v>13523</v>
      </c>
      <c r="AU742">
        <v>2009</v>
      </c>
      <c r="AV742">
        <v>325</v>
      </c>
      <c r="AW742">
        <v>5936</v>
      </c>
      <c r="AX742" t="s">
        <v>74</v>
      </c>
      <c r="AY742" t="s">
        <v>74</v>
      </c>
      <c r="AZ742" t="s">
        <v>74</v>
      </c>
      <c r="BA742" t="s">
        <v>74</v>
      </c>
      <c r="BB742">
        <v>20</v>
      </c>
      <c r="BC742">
        <v>20</v>
      </c>
      <c r="BD742" t="s">
        <v>74</v>
      </c>
      <c r="BE742" t="s">
        <v>74</v>
      </c>
      <c r="BF742" t="s">
        <v>74</v>
      </c>
      <c r="BG742" t="s">
        <v>74</v>
      </c>
      <c r="BH742" t="s">
        <v>74</v>
      </c>
      <c r="BI742">
        <v>1</v>
      </c>
      <c r="BJ742" t="s">
        <v>388</v>
      </c>
      <c r="BK742" t="s">
        <v>98</v>
      </c>
      <c r="BL742" t="s">
        <v>389</v>
      </c>
      <c r="BM742" t="s">
        <v>13524</v>
      </c>
      <c r="BN742">
        <v>19574359</v>
      </c>
      <c r="BO742" t="s">
        <v>74</v>
      </c>
      <c r="BP742" t="s">
        <v>74</v>
      </c>
      <c r="BQ742" t="s">
        <v>74</v>
      </c>
      <c r="BR742" t="s">
        <v>101</v>
      </c>
      <c r="BS742" t="s">
        <v>13525</v>
      </c>
      <c r="BT742" t="str">
        <f>HYPERLINK("https%3A%2F%2Fwww.webofscience.com%2Fwos%2Fwoscc%2Ffull-record%2FWOS:000267594000006","View Full Record in Web of Science")</f>
        <v>View Full Record in Web of Science</v>
      </c>
    </row>
    <row r="743" spans="1:72" x14ac:dyDescent="0.15">
      <c r="A743" t="s">
        <v>72</v>
      </c>
      <c r="B743" t="s">
        <v>13526</v>
      </c>
      <c r="C743" t="s">
        <v>74</v>
      </c>
      <c r="D743" t="s">
        <v>74</v>
      </c>
      <c r="E743" t="s">
        <v>74</v>
      </c>
      <c r="F743" t="s">
        <v>13527</v>
      </c>
      <c r="G743" t="s">
        <v>74</v>
      </c>
      <c r="H743" t="s">
        <v>74</v>
      </c>
      <c r="I743" t="s">
        <v>13528</v>
      </c>
      <c r="J743" t="s">
        <v>13529</v>
      </c>
      <c r="K743" t="s">
        <v>74</v>
      </c>
      <c r="L743" t="s">
        <v>74</v>
      </c>
      <c r="M743" t="s">
        <v>78</v>
      </c>
      <c r="N743" t="s">
        <v>79</v>
      </c>
      <c r="O743" t="s">
        <v>74</v>
      </c>
      <c r="P743" t="s">
        <v>74</v>
      </c>
      <c r="Q743" t="s">
        <v>74</v>
      </c>
      <c r="R743" t="s">
        <v>74</v>
      </c>
      <c r="S743" t="s">
        <v>74</v>
      </c>
      <c r="T743" t="s">
        <v>13530</v>
      </c>
      <c r="U743" t="s">
        <v>13531</v>
      </c>
      <c r="V743" t="s">
        <v>13532</v>
      </c>
      <c r="W743" t="s">
        <v>13533</v>
      </c>
      <c r="X743" t="s">
        <v>13534</v>
      </c>
      <c r="Y743" t="s">
        <v>13535</v>
      </c>
      <c r="Z743" t="s">
        <v>13536</v>
      </c>
      <c r="AA743" t="s">
        <v>74</v>
      </c>
      <c r="AB743" t="s">
        <v>74</v>
      </c>
      <c r="AC743" t="s">
        <v>13537</v>
      </c>
      <c r="AD743" t="s">
        <v>13538</v>
      </c>
      <c r="AE743" t="s">
        <v>13539</v>
      </c>
      <c r="AF743" t="s">
        <v>74</v>
      </c>
      <c r="AG743">
        <v>25</v>
      </c>
      <c r="AH743">
        <v>17</v>
      </c>
      <c r="AI743">
        <v>19</v>
      </c>
      <c r="AJ743">
        <v>1</v>
      </c>
      <c r="AK743">
        <v>30</v>
      </c>
      <c r="AL743" t="s">
        <v>1764</v>
      </c>
      <c r="AM743" t="s">
        <v>1765</v>
      </c>
      <c r="AN743" t="s">
        <v>1766</v>
      </c>
      <c r="AO743" t="s">
        <v>13540</v>
      </c>
      <c r="AP743" t="s">
        <v>13541</v>
      </c>
      <c r="AQ743" t="s">
        <v>74</v>
      </c>
      <c r="AR743" t="s">
        <v>13542</v>
      </c>
      <c r="AS743" t="s">
        <v>13543</v>
      </c>
      <c r="AT743" t="s">
        <v>13544</v>
      </c>
      <c r="AU743">
        <v>2009</v>
      </c>
      <c r="AV743">
        <v>26</v>
      </c>
      <c r="AW743">
        <v>4</v>
      </c>
      <c r="AX743" t="s">
        <v>74</v>
      </c>
      <c r="AY743" t="s">
        <v>74</v>
      </c>
      <c r="AZ743" t="s">
        <v>74</v>
      </c>
      <c r="BA743" t="s">
        <v>74</v>
      </c>
      <c r="BB743">
        <v>707</v>
      </c>
      <c r="BC743">
        <v>716</v>
      </c>
      <c r="BD743" t="s">
        <v>74</v>
      </c>
      <c r="BE743" t="s">
        <v>13545</v>
      </c>
      <c r="BF743" t="str">
        <f>HYPERLINK("http://dx.doi.org/10.1007/s00376-009-8196-2","http://dx.doi.org/10.1007/s00376-009-8196-2")</f>
        <v>http://dx.doi.org/10.1007/s00376-009-8196-2</v>
      </c>
      <c r="BG743" t="s">
        <v>74</v>
      </c>
      <c r="BH743" t="s">
        <v>74</v>
      </c>
      <c r="BI743">
        <v>10</v>
      </c>
      <c r="BJ743" t="s">
        <v>413</v>
      </c>
      <c r="BK743" t="s">
        <v>98</v>
      </c>
      <c r="BL743" t="s">
        <v>413</v>
      </c>
      <c r="BM743" t="s">
        <v>13546</v>
      </c>
      <c r="BN743" t="s">
        <v>74</v>
      </c>
      <c r="BO743" t="s">
        <v>74</v>
      </c>
      <c r="BP743" t="s">
        <v>74</v>
      </c>
      <c r="BQ743" t="s">
        <v>74</v>
      </c>
      <c r="BR743" t="s">
        <v>101</v>
      </c>
      <c r="BS743" t="s">
        <v>13547</v>
      </c>
      <c r="BT743" t="str">
        <f>HYPERLINK("https%3A%2F%2Fwww.webofscience.com%2Fwos%2Fwoscc%2Ffull-record%2FWOS:000267773800011","View Full Record in Web of Science")</f>
        <v>View Full Record in Web of Science</v>
      </c>
    </row>
    <row r="744" spans="1:72" x14ac:dyDescent="0.15">
      <c r="A744" t="s">
        <v>72</v>
      </c>
      <c r="B744" t="s">
        <v>13548</v>
      </c>
      <c r="C744" t="s">
        <v>74</v>
      </c>
      <c r="D744" t="s">
        <v>74</v>
      </c>
      <c r="E744" t="s">
        <v>74</v>
      </c>
      <c r="F744" t="s">
        <v>13549</v>
      </c>
      <c r="G744" t="s">
        <v>74</v>
      </c>
      <c r="H744" t="s">
        <v>74</v>
      </c>
      <c r="I744" t="s">
        <v>13550</v>
      </c>
      <c r="J744" t="s">
        <v>3984</v>
      </c>
      <c r="K744" t="s">
        <v>74</v>
      </c>
      <c r="L744" t="s">
        <v>74</v>
      </c>
      <c r="M744" t="s">
        <v>78</v>
      </c>
      <c r="N744" t="s">
        <v>79</v>
      </c>
      <c r="O744" t="s">
        <v>74</v>
      </c>
      <c r="P744" t="s">
        <v>74</v>
      </c>
      <c r="Q744" t="s">
        <v>74</v>
      </c>
      <c r="R744" t="s">
        <v>74</v>
      </c>
      <c r="S744" t="s">
        <v>74</v>
      </c>
      <c r="T744" t="s">
        <v>13551</v>
      </c>
      <c r="U744" t="s">
        <v>13552</v>
      </c>
      <c r="V744" t="s">
        <v>13553</v>
      </c>
      <c r="W744" t="s">
        <v>13554</v>
      </c>
      <c r="X744" t="s">
        <v>13555</v>
      </c>
      <c r="Y744" t="s">
        <v>13556</v>
      </c>
      <c r="Z744" t="s">
        <v>13557</v>
      </c>
      <c r="AA744" t="s">
        <v>74</v>
      </c>
      <c r="AB744" t="s">
        <v>74</v>
      </c>
      <c r="AC744" t="s">
        <v>13558</v>
      </c>
      <c r="AD744" t="s">
        <v>13558</v>
      </c>
      <c r="AE744" t="s">
        <v>13559</v>
      </c>
      <c r="AF744" t="s">
        <v>74</v>
      </c>
      <c r="AG744">
        <v>19</v>
      </c>
      <c r="AH744">
        <v>20</v>
      </c>
      <c r="AI744">
        <v>21</v>
      </c>
      <c r="AJ744">
        <v>0</v>
      </c>
      <c r="AK744">
        <v>3</v>
      </c>
      <c r="AL744" t="s">
        <v>1978</v>
      </c>
      <c r="AM744" t="s">
        <v>1895</v>
      </c>
      <c r="AN744" t="s">
        <v>1979</v>
      </c>
      <c r="AO744" t="s">
        <v>3993</v>
      </c>
      <c r="AP744" t="s">
        <v>3994</v>
      </c>
      <c r="AQ744" t="s">
        <v>74</v>
      </c>
      <c r="AR744" t="s">
        <v>3995</v>
      </c>
      <c r="AS744" t="s">
        <v>3996</v>
      </c>
      <c r="AT744" t="s">
        <v>13560</v>
      </c>
      <c r="AU744">
        <v>2009</v>
      </c>
      <c r="AV744">
        <v>44</v>
      </c>
      <c r="AW744">
        <v>1</v>
      </c>
      <c r="AX744" t="s">
        <v>74</v>
      </c>
      <c r="AY744" t="s">
        <v>74</v>
      </c>
      <c r="AZ744" t="s">
        <v>74</v>
      </c>
      <c r="BA744" t="s">
        <v>74</v>
      </c>
      <c r="BB744">
        <v>58</v>
      </c>
      <c r="BC744">
        <v>63</v>
      </c>
      <c r="BD744" t="s">
        <v>74</v>
      </c>
      <c r="BE744" t="s">
        <v>13561</v>
      </c>
      <c r="BF744" t="str">
        <f>HYPERLINK("http://dx.doi.org/10.1016/j.asr.2009.04.004","http://dx.doi.org/10.1016/j.asr.2009.04.004")</f>
        <v>http://dx.doi.org/10.1016/j.asr.2009.04.004</v>
      </c>
      <c r="BG744" t="s">
        <v>74</v>
      </c>
      <c r="BH744" t="s">
        <v>74</v>
      </c>
      <c r="BI744">
        <v>6</v>
      </c>
      <c r="BJ744" t="s">
        <v>3999</v>
      </c>
      <c r="BK744" t="s">
        <v>98</v>
      </c>
      <c r="BL744" t="s">
        <v>4000</v>
      </c>
      <c r="BM744" t="s">
        <v>13562</v>
      </c>
      <c r="BN744" t="s">
        <v>74</v>
      </c>
      <c r="BO744" t="s">
        <v>74</v>
      </c>
      <c r="BP744" t="s">
        <v>74</v>
      </c>
      <c r="BQ744" t="s">
        <v>74</v>
      </c>
      <c r="BR744" t="s">
        <v>101</v>
      </c>
      <c r="BS744" t="s">
        <v>13563</v>
      </c>
      <c r="BT744" t="str">
        <f>HYPERLINK("https%3A%2F%2Fwww.webofscience.com%2Fwos%2Fwoscc%2Ffull-record%2FWOS:000267181500006","View Full Record in Web of Science")</f>
        <v>View Full Record in Web of Science</v>
      </c>
    </row>
    <row r="745" spans="1:72" x14ac:dyDescent="0.15">
      <c r="A745" t="s">
        <v>72</v>
      </c>
      <c r="B745" t="s">
        <v>13564</v>
      </c>
      <c r="C745" t="s">
        <v>74</v>
      </c>
      <c r="D745" t="s">
        <v>74</v>
      </c>
      <c r="E745" t="s">
        <v>74</v>
      </c>
      <c r="F745" t="s">
        <v>13565</v>
      </c>
      <c r="G745" t="s">
        <v>74</v>
      </c>
      <c r="H745" t="s">
        <v>74</v>
      </c>
      <c r="I745" t="s">
        <v>13566</v>
      </c>
      <c r="J745" t="s">
        <v>13567</v>
      </c>
      <c r="K745" t="s">
        <v>74</v>
      </c>
      <c r="L745" t="s">
        <v>74</v>
      </c>
      <c r="M745" t="s">
        <v>78</v>
      </c>
      <c r="N745" t="s">
        <v>79</v>
      </c>
      <c r="O745" t="s">
        <v>74</v>
      </c>
      <c r="P745" t="s">
        <v>74</v>
      </c>
      <c r="Q745" t="s">
        <v>74</v>
      </c>
      <c r="R745" t="s">
        <v>74</v>
      </c>
      <c r="S745" t="s">
        <v>74</v>
      </c>
      <c r="T745" t="s">
        <v>74</v>
      </c>
      <c r="U745" t="s">
        <v>74</v>
      </c>
      <c r="V745" t="s">
        <v>74</v>
      </c>
      <c r="W745" t="s">
        <v>74</v>
      </c>
      <c r="X745" t="s">
        <v>74</v>
      </c>
      <c r="Y745" t="s">
        <v>74</v>
      </c>
      <c r="Z745" t="s">
        <v>74</v>
      </c>
      <c r="AA745" t="s">
        <v>74</v>
      </c>
      <c r="AB745" t="s">
        <v>74</v>
      </c>
      <c r="AC745" t="s">
        <v>74</v>
      </c>
      <c r="AD745" t="s">
        <v>74</v>
      </c>
      <c r="AE745" t="s">
        <v>74</v>
      </c>
      <c r="AF745" t="s">
        <v>74</v>
      </c>
      <c r="AG745">
        <v>0</v>
      </c>
      <c r="AH745">
        <v>0</v>
      </c>
      <c r="AI745">
        <v>0</v>
      </c>
      <c r="AJ745">
        <v>0</v>
      </c>
      <c r="AK745">
        <v>0</v>
      </c>
      <c r="AL745" t="s">
        <v>13568</v>
      </c>
      <c r="AM745" t="s">
        <v>227</v>
      </c>
      <c r="AN745" t="s">
        <v>13569</v>
      </c>
      <c r="AO745" t="s">
        <v>13570</v>
      </c>
      <c r="AP745" t="s">
        <v>74</v>
      </c>
      <c r="AQ745" t="s">
        <v>74</v>
      </c>
      <c r="AR745" t="s">
        <v>13571</v>
      </c>
      <c r="AS745" t="s">
        <v>13572</v>
      </c>
      <c r="AT745" t="s">
        <v>13544</v>
      </c>
      <c r="AU745">
        <v>2009</v>
      </c>
      <c r="AV745">
        <v>103</v>
      </c>
      <c r="AW745">
        <v>3</v>
      </c>
      <c r="AX745" t="s">
        <v>74</v>
      </c>
      <c r="AY745" t="s">
        <v>74</v>
      </c>
      <c r="AZ745" t="s">
        <v>74</v>
      </c>
      <c r="BA745" t="s">
        <v>74</v>
      </c>
      <c r="BB745">
        <v>588</v>
      </c>
      <c r="BC745">
        <v>589</v>
      </c>
      <c r="BD745" t="s">
        <v>74</v>
      </c>
      <c r="BE745" t="s">
        <v>13573</v>
      </c>
      <c r="BF745" t="str">
        <f>HYPERLINK("http://dx.doi.org/10.1017/S0002930000755242","http://dx.doi.org/10.1017/S0002930000755242")</f>
        <v>http://dx.doi.org/10.1017/S0002930000755242</v>
      </c>
      <c r="BG745" t="s">
        <v>74</v>
      </c>
      <c r="BH745" t="s">
        <v>74</v>
      </c>
      <c r="BI745">
        <v>2</v>
      </c>
      <c r="BJ745" t="s">
        <v>13574</v>
      </c>
      <c r="BK745" t="s">
        <v>2053</v>
      </c>
      <c r="BL745" t="s">
        <v>13575</v>
      </c>
      <c r="BM745" t="s">
        <v>13576</v>
      </c>
      <c r="BN745" t="s">
        <v>74</v>
      </c>
      <c r="BO745" t="s">
        <v>74</v>
      </c>
      <c r="BP745" t="s">
        <v>74</v>
      </c>
      <c r="BQ745" t="s">
        <v>74</v>
      </c>
      <c r="BR745" t="s">
        <v>101</v>
      </c>
      <c r="BS745" t="s">
        <v>13577</v>
      </c>
      <c r="BT745" t="str">
        <f>HYPERLINK("https%3A%2F%2Fwww.webofscience.com%2Fwos%2Fwoscc%2Ffull-record%2FWOS:000271171400018","View Full Record in Web of Science")</f>
        <v>View Full Record in Web of Science</v>
      </c>
    </row>
    <row r="746" spans="1:72" x14ac:dyDescent="0.15">
      <c r="A746" t="s">
        <v>72</v>
      </c>
      <c r="B746" t="s">
        <v>13578</v>
      </c>
      <c r="C746" t="s">
        <v>74</v>
      </c>
      <c r="D746" t="s">
        <v>74</v>
      </c>
      <c r="E746" t="s">
        <v>74</v>
      </c>
      <c r="F746" t="s">
        <v>13579</v>
      </c>
      <c r="G746" t="s">
        <v>74</v>
      </c>
      <c r="H746" t="s">
        <v>74</v>
      </c>
      <c r="I746" t="s">
        <v>13580</v>
      </c>
      <c r="J746" t="s">
        <v>13581</v>
      </c>
      <c r="K746" t="s">
        <v>74</v>
      </c>
      <c r="L746" t="s">
        <v>74</v>
      </c>
      <c r="M746" t="s">
        <v>78</v>
      </c>
      <c r="N746" t="s">
        <v>79</v>
      </c>
      <c r="O746" t="s">
        <v>74</v>
      </c>
      <c r="P746" t="s">
        <v>74</v>
      </c>
      <c r="Q746" t="s">
        <v>74</v>
      </c>
      <c r="R746" t="s">
        <v>74</v>
      </c>
      <c r="S746" t="s">
        <v>74</v>
      </c>
      <c r="T746" t="s">
        <v>13582</v>
      </c>
      <c r="U746" t="s">
        <v>13583</v>
      </c>
      <c r="V746" t="s">
        <v>13584</v>
      </c>
      <c r="W746" t="s">
        <v>13585</v>
      </c>
      <c r="X746" t="s">
        <v>13586</v>
      </c>
      <c r="Y746" t="s">
        <v>13587</v>
      </c>
      <c r="Z746" t="s">
        <v>13588</v>
      </c>
      <c r="AA746" t="s">
        <v>13589</v>
      </c>
      <c r="AB746" t="s">
        <v>13590</v>
      </c>
      <c r="AC746" t="s">
        <v>74</v>
      </c>
      <c r="AD746" t="s">
        <v>74</v>
      </c>
      <c r="AE746" t="s">
        <v>74</v>
      </c>
      <c r="AF746" t="s">
        <v>74</v>
      </c>
      <c r="AG746">
        <v>45</v>
      </c>
      <c r="AH746">
        <v>10</v>
      </c>
      <c r="AI746">
        <v>11</v>
      </c>
      <c r="AJ746">
        <v>0</v>
      </c>
      <c r="AK746">
        <v>5</v>
      </c>
      <c r="AL746" t="s">
        <v>13591</v>
      </c>
      <c r="AM746" t="s">
        <v>13592</v>
      </c>
      <c r="AN746" t="s">
        <v>13593</v>
      </c>
      <c r="AO746" t="s">
        <v>13594</v>
      </c>
      <c r="AP746" t="s">
        <v>74</v>
      </c>
      <c r="AQ746" t="s">
        <v>74</v>
      </c>
      <c r="AR746" t="s">
        <v>13595</v>
      </c>
      <c r="AS746" t="s">
        <v>13596</v>
      </c>
      <c r="AT746" t="s">
        <v>13544</v>
      </c>
      <c r="AU746">
        <v>2009</v>
      </c>
      <c r="AV746">
        <v>36</v>
      </c>
      <c r="AW746">
        <v>2</v>
      </c>
      <c r="AX746" t="s">
        <v>74</v>
      </c>
      <c r="AY746" t="s">
        <v>74</v>
      </c>
      <c r="AZ746" t="s">
        <v>74</v>
      </c>
      <c r="BA746" t="s">
        <v>74</v>
      </c>
      <c r="BB746">
        <v>342</v>
      </c>
      <c r="BC746">
        <v>350</v>
      </c>
      <c r="BD746" t="s">
        <v>74</v>
      </c>
      <c r="BE746" t="s">
        <v>13597</v>
      </c>
      <c r="BF746" t="str">
        <f>HYPERLINK("http://dx.doi.org/10.4067/S0718-71062009000200008","http://dx.doi.org/10.4067/S0718-71062009000200008")</f>
        <v>http://dx.doi.org/10.4067/S0718-71062009000200008</v>
      </c>
      <c r="BG746" t="s">
        <v>74</v>
      </c>
      <c r="BH746" t="s">
        <v>74</v>
      </c>
      <c r="BI746">
        <v>9</v>
      </c>
      <c r="BJ746" t="s">
        <v>465</v>
      </c>
      <c r="BK746" t="s">
        <v>98</v>
      </c>
      <c r="BL746" t="s">
        <v>465</v>
      </c>
      <c r="BM746" t="s">
        <v>13598</v>
      </c>
      <c r="BN746" t="s">
        <v>74</v>
      </c>
      <c r="BO746" t="s">
        <v>2991</v>
      </c>
      <c r="BP746" t="s">
        <v>74</v>
      </c>
      <c r="BQ746" t="s">
        <v>74</v>
      </c>
      <c r="BR746" t="s">
        <v>101</v>
      </c>
      <c r="BS746" t="s">
        <v>13599</v>
      </c>
      <c r="BT746" t="str">
        <f>HYPERLINK("https%3A%2F%2Fwww.webofscience.com%2Fwos%2Fwoscc%2Ffull-record%2FWOS:000268389700008","View Full Record in Web of Science")</f>
        <v>View Full Record in Web of Science</v>
      </c>
    </row>
    <row r="747" spans="1:72" x14ac:dyDescent="0.15">
      <c r="A747" t="s">
        <v>72</v>
      </c>
      <c r="B747" t="s">
        <v>13600</v>
      </c>
      <c r="C747" t="s">
        <v>74</v>
      </c>
      <c r="D747" t="s">
        <v>74</v>
      </c>
      <c r="E747" t="s">
        <v>74</v>
      </c>
      <c r="F747" t="s">
        <v>13601</v>
      </c>
      <c r="G747" t="s">
        <v>74</v>
      </c>
      <c r="H747" t="s">
        <v>74</v>
      </c>
      <c r="I747" t="s">
        <v>13602</v>
      </c>
      <c r="J747" t="s">
        <v>1414</v>
      </c>
      <c r="K747" t="s">
        <v>74</v>
      </c>
      <c r="L747" t="s">
        <v>74</v>
      </c>
      <c r="M747" t="s">
        <v>78</v>
      </c>
      <c r="N747" t="s">
        <v>79</v>
      </c>
      <c r="O747" t="s">
        <v>74</v>
      </c>
      <c r="P747" t="s">
        <v>74</v>
      </c>
      <c r="Q747" t="s">
        <v>74</v>
      </c>
      <c r="R747" t="s">
        <v>74</v>
      </c>
      <c r="S747" t="s">
        <v>74</v>
      </c>
      <c r="T747" t="s">
        <v>74</v>
      </c>
      <c r="U747" t="s">
        <v>13603</v>
      </c>
      <c r="V747" t="s">
        <v>13604</v>
      </c>
      <c r="W747" t="s">
        <v>13605</v>
      </c>
      <c r="X747" t="s">
        <v>13606</v>
      </c>
      <c r="Y747" t="s">
        <v>13607</v>
      </c>
      <c r="Z747" t="s">
        <v>3824</v>
      </c>
      <c r="AA747" t="s">
        <v>13608</v>
      </c>
      <c r="AB747" t="s">
        <v>13609</v>
      </c>
      <c r="AC747" t="s">
        <v>13610</v>
      </c>
      <c r="AD747" t="s">
        <v>13611</v>
      </c>
      <c r="AE747" t="s">
        <v>13612</v>
      </c>
      <c r="AF747" t="s">
        <v>74</v>
      </c>
      <c r="AG747">
        <v>30</v>
      </c>
      <c r="AH747">
        <v>64</v>
      </c>
      <c r="AI747">
        <v>76</v>
      </c>
      <c r="AJ747">
        <v>0</v>
      </c>
      <c r="AK747">
        <v>15</v>
      </c>
      <c r="AL747" t="s">
        <v>1426</v>
      </c>
      <c r="AM747" t="s">
        <v>227</v>
      </c>
      <c r="AN747" t="s">
        <v>1427</v>
      </c>
      <c r="AO747" t="s">
        <v>1428</v>
      </c>
      <c r="AP747" t="s">
        <v>7350</v>
      </c>
      <c r="AQ747" t="s">
        <v>74</v>
      </c>
      <c r="AR747" t="s">
        <v>1429</v>
      </c>
      <c r="AS747" t="s">
        <v>1430</v>
      </c>
      <c r="AT747" t="s">
        <v>13560</v>
      </c>
      <c r="AU747">
        <v>2009</v>
      </c>
      <c r="AV747">
        <v>75</v>
      </c>
      <c r="AW747">
        <v>13</v>
      </c>
      <c r="AX747" t="s">
        <v>74</v>
      </c>
      <c r="AY747" t="s">
        <v>74</v>
      </c>
      <c r="AZ747" t="s">
        <v>74</v>
      </c>
      <c r="BA747" t="s">
        <v>74</v>
      </c>
      <c r="BB747">
        <v>4657</v>
      </c>
      <c r="BC747">
        <v>4659</v>
      </c>
      <c r="BD747" t="s">
        <v>74</v>
      </c>
      <c r="BE747" t="s">
        <v>13613</v>
      </c>
      <c r="BF747" t="str">
        <f>HYPERLINK("http://dx.doi.org/10.1128/AEM.02597-08","http://dx.doi.org/10.1128/AEM.02597-08")</f>
        <v>http://dx.doi.org/10.1128/AEM.02597-08</v>
      </c>
      <c r="BG747" t="s">
        <v>74</v>
      </c>
      <c r="BH747" t="s">
        <v>74</v>
      </c>
      <c r="BI747">
        <v>3</v>
      </c>
      <c r="BJ747" t="s">
        <v>1433</v>
      </c>
      <c r="BK747" t="s">
        <v>98</v>
      </c>
      <c r="BL747" t="s">
        <v>1433</v>
      </c>
      <c r="BM747" t="s">
        <v>13614</v>
      </c>
      <c r="BN747">
        <v>19411411</v>
      </c>
      <c r="BO747" t="s">
        <v>239</v>
      </c>
      <c r="BP747" t="s">
        <v>74</v>
      </c>
      <c r="BQ747" t="s">
        <v>74</v>
      </c>
      <c r="BR747" t="s">
        <v>101</v>
      </c>
      <c r="BS747" t="s">
        <v>13615</v>
      </c>
      <c r="BT747" t="str">
        <f>HYPERLINK("https%3A%2F%2Fwww.webofscience.com%2Fwos%2Fwoscc%2Ffull-record%2FWOS:000267373000055","View Full Record in Web of Science")</f>
        <v>View Full Record in Web of Science</v>
      </c>
    </row>
    <row r="748" spans="1:72" x14ac:dyDescent="0.15">
      <c r="A748" t="s">
        <v>72</v>
      </c>
      <c r="B748" t="s">
        <v>13616</v>
      </c>
      <c r="C748" t="s">
        <v>74</v>
      </c>
      <c r="D748" t="s">
        <v>74</v>
      </c>
      <c r="E748" t="s">
        <v>74</v>
      </c>
      <c r="F748" t="s">
        <v>13617</v>
      </c>
      <c r="G748" t="s">
        <v>74</v>
      </c>
      <c r="H748" t="s">
        <v>74</v>
      </c>
      <c r="I748" t="s">
        <v>13618</v>
      </c>
      <c r="J748" t="s">
        <v>13619</v>
      </c>
      <c r="K748" t="s">
        <v>74</v>
      </c>
      <c r="L748" t="s">
        <v>74</v>
      </c>
      <c r="M748" t="s">
        <v>78</v>
      </c>
      <c r="N748" t="s">
        <v>79</v>
      </c>
      <c r="O748" t="s">
        <v>74</v>
      </c>
      <c r="P748" t="s">
        <v>74</v>
      </c>
      <c r="Q748" t="s">
        <v>74</v>
      </c>
      <c r="R748" t="s">
        <v>74</v>
      </c>
      <c r="S748" t="s">
        <v>74</v>
      </c>
      <c r="T748" t="s">
        <v>13620</v>
      </c>
      <c r="U748" t="s">
        <v>13621</v>
      </c>
      <c r="V748" t="s">
        <v>13622</v>
      </c>
      <c r="W748" t="s">
        <v>13623</v>
      </c>
      <c r="X748" t="s">
        <v>13624</v>
      </c>
      <c r="Y748" t="s">
        <v>13625</v>
      </c>
      <c r="Z748" t="s">
        <v>13626</v>
      </c>
      <c r="AA748" t="s">
        <v>74</v>
      </c>
      <c r="AB748" t="s">
        <v>74</v>
      </c>
      <c r="AC748" t="s">
        <v>13627</v>
      </c>
      <c r="AD748" t="s">
        <v>13627</v>
      </c>
      <c r="AE748" t="s">
        <v>13628</v>
      </c>
      <c r="AF748" t="s">
        <v>74</v>
      </c>
      <c r="AG748">
        <v>29</v>
      </c>
      <c r="AH748">
        <v>26</v>
      </c>
      <c r="AI748">
        <v>31</v>
      </c>
      <c r="AJ748">
        <v>2</v>
      </c>
      <c r="AK748">
        <v>14</v>
      </c>
      <c r="AL748" t="s">
        <v>13629</v>
      </c>
      <c r="AM748" t="s">
        <v>13630</v>
      </c>
      <c r="AN748" t="s">
        <v>13631</v>
      </c>
      <c r="AO748" t="s">
        <v>13632</v>
      </c>
      <c r="AP748" t="s">
        <v>13633</v>
      </c>
      <c r="AQ748" t="s">
        <v>74</v>
      </c>
      <c r="AR748" t="s">
        <v>13634</v>
      </c>
      <c r="AS748" t="s">
        <v>13635</v>
      </c>
      <c r="AT748" t="s">
        <v>13544</v>
      </c>
      <c r="AU748">
        <v>2009</v>
      </c>
      <c r="AV748">
        <v>158</v>
      </c>
      <c r="AW748">
        <v>1</v>
      </c>
      <c r="AX748" t="s">
        <v>74</v>
      </c>
      <c r="AY748" t="s">
        <v>74</v>
      </c>
      <c r="AZ748" t="s">
        <v>74</v>
      </c>
      <c r="BA748" t="s">
        <v>74</v>
      </c>
      <c r="BB748">
        <v>41</v>
      </c>
      <c r="BC748">
        <v>50</v>
      </c>
      <c r="BD748" t="s">
        <v>74</v>
      </c>
      <c r="BE748" t="s">
        <v>13636</v>
      </c>
      <c r="BF748" t="str">
        <f>HYPERLINK("http://dx.doi.org/10.1007/s12010-008-8297-x","http://dx.doi.org/10.1007/s12010-008-8297-x")</f>
        <v>http://dx.doi.org/10.1007/s12010-008-8297-x</v>
      </c>
      <c r="BG748" t="s">
        <v>74</v>
      </c>
      <c r="BH748" t="s">
        <v>74</v>
      </c>
      <c r="BI748">
        <v>10</v>
      </c>
      <c r="BJ748" t="s">
        <v>10493</v>
      </c>
      <c r="BK748" t="s">
        <v>98</v>
      </c>
      <c r="BL748" t="s">
        <v>10493</v>
      </c>
      <c r="BM748" t="s">
        <v>13637</v>
      </c>
      <c r="BN748">
        <v>18642100</v>
      </c>
      <c r="BO748" t="s">
        <v>74</v>
      </c>
      <c r="BP748" t="s">
        <v>74</v>
      </c>
      <c r="BQ748" t="s">
        <v>74</v>
      </c>
      <c r="BR748" t="s">
        <v>101</v>
      </c>
      <c r="BS748" t="s">
        <v>13638</v>
      </c>
      <c r="BT748" t="str">
        <f>HYPERLINK("https%3A%2F%2Fwww.webofscience.com%2Fwos%2Fwoscc%2Ffull-record%2FWOS:000267662700005","View Full Record in Web of Science")</f>
        <v>View Full Record in Web of Science</v>
      </c>
    </row>
    <row r="749" spans="1:72" x14ac:dyDescent="0.15">
      <c r="A749" t="s">
        <v>72</v>
      </c>
      <c r="B749" t="s">
        <v>13639</v>
      </c>
      <c r="C749" t="s">
        <v>74</v>
      </c>
      <c r="D749" t="s">
        <v>74</v>
      </c>
      <c r="E749" t="s">
        <v>74</v>
      </c>
      <c r="F749" t="s">
        <v>13640</v>
      </c>
      <c r="G749" t="s">
        <v>74</v>
      </c>
      <c r="H749" t="s">
        <v>74</v>
      </c>
      <c r="I749" t="s">
        <v>13641</v>
      </c>
      <c r="J749" t="s">
        <v>13642</v>
      </c>
      <c r="K749" t="s">
        <v>74</v>
      </c>
      <c r="L749" t="s">
        <v>74</v>
      </c>
      <c r="M749" t="s">
        <v>78</v>
      </c>
      <c r="N749" t="s">
        <v>523</v>
      </c>
      <c r="O749" t="s">
        <v>74</v>
      </c>
      <c r="P749" t="s">
        <v>74</v>
      </c>
      <c r="Q749" t="s">
        <v>74</v>
      </c>
      <c r="R749" t="s">
        <v>74</v>
      </c>
      <c r="S749" t="s">
        <v>74</v>
      </c>
      <c r="T749" t="s">
        <v>74</v>
      </c>
      <c r="U749" t="s">
        <v>13643</v>
      </c>
      <c r="V749" t="s">
        <v>74</v>
      </c>
      <c r="W749" t="s">
        <v>13644</v>
      </c>
      <c r="X749" t="s">
        <v>1309</v>
      </c>
      <c r="Y749" t="s">
        <v>1310</v>
      </c>
      <c r="Z749" t="s">
        <v>13645</v>
      </c>
      <c r="AA749" t="s">
        <v>1312</v>
      </c>
      <c r="AB749" t="s">
        <v>1313</v>
      </c>
      <c r="AC749" t="s">
        <v>74</v>
      </c>
      <c r="AD749" t="s">
        <v>74</v>
      </c>
      <c r="AE749" t="s">
        <v>74</v>
      </c>
      <c r="AF749" t="s">
        <v>74</v>
      </c>
      <c r="AG749">
        <v>49</v>
      </c>
      <c r="AH749">
        <v>12</v>
      </c>
      <c r="AI749">
        <v>12</v>
      </c>
      <c r="AJ749">
        <v>2</v>
      </c>
      <c r="AK749">
        <v>47</v>
      </c>
      <c r="AL749" t="s">
        <v>13646</v>
      </c>
      <c r="AM749" t="s">
        <v>2517</v>
      </c>
      <c r="AN749" t="s">
        <v>13647</v>
      </c>
      <c r="AO749" t="s">
        <v>13648</v>
      </c>
      <c r="AP749" t="s">
        <v>74</v>
      </c>
      <c r="AQ749" t="s">
        <v>74</v>
      </c>
      <c r="AR749" t="s">
        <v>13642</v>
      </c>
      <c r="AS749" t="s">
        <v>13642</v>
      </c>
      <c r="AT749" t="s">
        <v>13544</v>
      </c>
      <c r="AU749">
        <v>2009</v>
      </c>
      <c r="AV749">
        <v>126</v>
      </c>
      <c r="AW749">
        <v>3</v>
      </c>
      <c r="AX749" t="s">
        <v>74</v>
      </c>
      <c r="AY749" t="s">
        <v>74</v>
      </c>
      <c r="AZ749" t="s">
        <v>74</v>
      </c>
      <c r="BA749" t="s">
        <v>74</v>
      </c>
      <c r="BB749">
        <v>688</v>
      </c>
      <c r="BC749">
        <v>693</v>
      </c>
      <c r="BD749" t="s">
        <v>74</v>
      </c>
      <c r="BE749" t="s">
        <v>13649</v>
      </c>
      <c r="BF749" t="str">
        <f>HYPERLINK("http://dx.doi.org/10.1525/auk.2009.9709","http://dx.doi.org/10.1525/auk.2009.9709")</f>
        <v>http://dx.doi.org/10.1525/auk.2009.9709</v>
      </c>
      <c r="BG749" t="s">
        <v>74</v>
      </c>
      <c r="BH749" t="s">
        <v>74</v>
      </c>
      <c r="BI749">
        <v>6</v>
      </c>
      <c r="BJ749" t="s">
        <v>2460</v>
      </c>
      <c r="BK749" t="s">
        <v>98</v>
      </c>
      <c r="BL749" t="s">
        <v>207</v>
      </c>
      <c r="BM749" t="s">
        <v>13650</v>
      </c>
      <c r="BN749" t="s">
        <v>74</v>
      </c>
      <c r="BO749" t="s">
        <v>491</v>
      </c>
      <c r="BP749" t="s">
        <v>74</v>
      </c>
      <c r="BQ749" t="s">
        <v>74</v>
      </c>
      <c r="BR749" t="s">
        <v>101</v>
      </c>
      <c r="BS749" t="s">
        <v>13651</v>
      </c>
      <c r="BT749" t="str">
        <f>HYPERLINK("https%3A%2F%2Fwww.webofscience.com%2Fwos%2Fwoscc%2Ffull-record%2FWOS:000269019500023","View Full Record in Web of Science")</f>
        <v>View Full Record in Web of Science</v>
      </c>
    </row>
    <row r="750" spans="1:72" x14ac:dyDescent="0.15">
      <c r="A750" t="s">
        <v>72</v>
      </c>
      <c r="B750" t="s">
        <v>13652</v>
      </c>
      <c r="C750" t="s">
        <v>74</v>
      </c>
      <c r="D750" t="s">
        <v>74</v>
      </c>
      <c r="E750" t="s">
        <v>74</v>
      </c>
      <c r="F750" t="s">
        <v>13653</v>
      </c>
      <c r="G750" t="s">
        <v>74</v>
      </c>
      <c r="H750" t="s">
        <v>74</v>
      </c>
      <c r="I750" t="s">
        <v>13654</v>
      </c>
      <c r="J750" t="s">
        <v>13655</v>
      </c>
      <c r="K750" t="s">
        <v>74</v>
      </c>
      <c r="L750" t="s">
        <v>74</v>
      </c>
      <c r="M750" t="s">
        <v>78</v>
      </c>
      <c r="N750" t="s">
        <v>79</v>
      </c>
      <c r="O750" t="s">
        <v>74</v>
      </c>
      <c r="P750" t="s">
        <v>74</v>
      </c>
      <c r="Q750" t="s">
        <v>74</v>
      </c>
      <c r="R750" t="s">
        <v>74</v>
      </c>
      <c r="S750" t="s">
        <v>74</v>
      </c>
      <c r="T750" t="s">
        <v>13656</v>
      </c>
      <c r="U750" t="s">
        <v>13657</v>
      </c>
      <c r="V750" t="s">
        <v>13658</v>
      </c>
      <c r="W750" t="s">
        <v>13659</v>
      </c>
      <c r="X750" t="s">
        <v>13660</v>
      </c>
      <c r="Y750" t="s">
        <v>13661</v>
      </c>
      <c r="Z750" t="s">
        <v>13662</v>
      </c>
      <c r="AA750" t="s">
        <v>13663</v>
      </c>
      <c r="AB750" t="s">
        <v>13664</v>
      </c>
      <c r="AC750" t="s">
        <v>13665</v>
      </c>
      <c r="AD750" t="s">
        <v>13665</v>
      </c>
      <c r="AE750" t="s">
        <v>13666</v>
      </c>
      <c r="AF750" t="s">
        <v>74</v>
      </c>
      <c r="AG750">
        <v>46</v>
      </c>
      <c r="AH750">
        <v>32</v>
      </c>
      <c r="AI750">
        <v>36</v>
      </c>
      <c r="AJ750">
        <v>1</v>
      </c>
      <c r="AK750">
        <v>47</v>
      </c>
      <c r="AL750" t="s">
        <v>12107</v>
      </c>
      <c r="AM750" t="s">
        <v>12108</v>
      </c>
      <c r="AN750" t="s">
        <v>12109</v>
      </c>
      <c r="AO750" t="s">
        <v>13667</v>
      </c>
      <c r="AP750" t="s">
        <v>13668</v>
      </c>
      <c r="AQ750" t="s">
        <v>74</v>
      </c>
      <c r="AR750" t="s">
        <v>13669</v>
      </c>
      <c r="AS750" t="s">
        <v>13670</v>
      </c>
      <c r="AT750" t="s">
        <v>13671</v>
      </c>
      <c r="AU750">
        <v>2009</v>
      </c>
      <c r="AV750">
        <v>20</v>
      </c>
      <c r="AW750">
        <v>4</v>
      </c>
      <c r="AX750" t="s">
        <v>74</v>
      </c>
      <c r="AY750" t="s">
        <v>74</v>
      </c>
      <c r="AZ750" t="s">
        <v>74</v>
      </c>
      <c r="BA750" t="s">
        <v>74</v>
      </c>
      <c r="BB750">
        <v>736</v>
      </c>
      <c r="BC750">
        <v>744</v>
      </c>
      <c r="BD750" t="s">
        <v>74</v>
      </c>
      <c r="BE750" t="s">
        <v>13672</v>
      </c>
      <c r="BF750" t="str">
        <f>HYPERLINK("http://dx.doi.org/10.1093/beheco/arp054","http://dx.doi.org/10.1093/beheco/arp054")</f>
        <v>http://dx.doi.org/10.1093/beheco/arp054</v>
      </c>
      <c r="BG750" t="s">
        <v>74</v>
      </c>
      <c r="BH750" t="s">
        <v>74</v>
      </c>
      <c r="BI750">
        <v>9</v>
      </c>
      <c r="BJ750" t="s">
        <v>13673</v>
      </c>
      <c r="BK750" t="s">
        <v>98</v>
      </c>
      <c r="BL750" t="s">
        <v>13674</v>
      </c>
      <c r="BM750" t="s">
        <v>13675</v>
      </c>
      <c r="BN750" t="s">
        <v>74</v>
      </c>
      <c r="BO750" t="s">
        <v>263</v>
      </c>
      <c r="BP750" t="s">
        <v>74</v>
      </c>
      <c r="BQ750" t="s">
        <v>74</v>
      </c>
      <c r="BR750" t="s">
        <v>101</v>
      </c>
      <c r="BS750" t="s">
        <v>13676</v>
      </c>
      <c r="BT750" t="str">
        <f>HYPERLINK("https%3A%2F%2Fwww.webofscience.com%2Fwos%2Fwoscc%2Ffull-record%2FWOS:000268106800008","View Full Record in Web of Science")</f>
        <v>View Full Record in Web of Science</v>
      </c>
    </row>
    <row r="751" spans="1:72" x14ac:dyDescent="0.15">
      <c r="A751" t="s">
        <v>72</v>
      </c>
      <c r="B751" t="s">
        <v>13677</v>
      </c>
      <c r="C751" t="s">
        <v>74</v>
      </c>
      <c r="D751" t="s">
        <v>74</v>
      </c>
      <c r="E751" t="s">
        <v>74</v>
      </c>
      <c r="F751" t="s">
        <v>13678</v>
      </c>
      <c r="G751" t="s">
        <v>74</v>
      </c>
      <c r="H751" t="s">
        <v>74</v>
      </c>
      <c r="I751" t="s">
        <v>13679</v>
      </c>
      <c r="J751" t="s">
        <v>13680</v>
      </c>
      <c r="K751" t="s">
        <v>74</v>
      </c>
      <c r="L751" t="s">
        <v>74</v>
      </c>
      <c r="M751" t="s">
        <v>78</v>
      </c>
      <c r="N751" t="s">
        <v>1965</v>
      </c>
      <c r="O751" t="s">
        <v>13681</v>
      </c>
      <c r="P751" t="s">
        <v>13682</v>
      </c>
      <c r="Q751" t="s">
        <v>13683</v>
      </c>
      <c r="R751" t="s">
        <v>74</v>
      </c>
      <c r="S751" t="s">
        <v>74</v>
      </c>
      <c r="T751" t="s">
        <v>13684</v>
      </c>
      <c r="U751" t="s">
        <v>13685</v>
      </c>
      <c r="V751" t="s">
        <v>13686</v>
      </c>
      <c r="W751" t="s">
        <v>13687</v>
      </c>
      <c r="X751" t="s">
        <v>9761</v>
      </c>
      <c r="Y751" t="s">
        <v>13688</v>
      </c>
      <c r="Z751" t="s">
        <v>13689</v>
      </c>
      <c r="AA751" t="s">
        <v>13690</v>
      </c>
      <c r="AB751" t="s">
        <v>13691</v>
      </c>
      <c r="AC751" t="s">
        <v>74</v>
      </c>
      <c r="AD751" t="s">
        <v>74</v>
      </c>
      <c r="AE751" t="s">
        <v>74</v>
      </c>
      <c r="AF751" t="s">
        <v>74</v>
      </c>
      <c r="AG751">
        <v>49</v>
      </c>
      <c r="AH751">
        <v>31</v>
      </c>
      <c r="AI751">
        <v>31</v>
      </c>
      <c r="AJ751">
        <v>0</v>
      </c>
      <c r="AK751">
        <v>4</v>
      </c>
      <c r="AL751" t="s">
        <v>305</v>
      </c>
      <c r="AM751" t="s">
        <v>281</v>
      </c>
      <c r="AN751" t="s">
        <v>306</v>
      </c>
      <c r="AO751" t="s">
        <v>13692</v>
      </c>
      <c r="AP751" t="s">
        <v>13693</v>
      </c>
      <c r="AQ751" t="s">
        <v>74</v>
      </c>
      <c r="AR751" t="s">
        <v>13694</v>
      </c>
      <c r="AS751" t="s">
        <v>13695</v>
      </c>
      <c r="AT751" t="s">
        <v>13544</v>
      </c>
      <c r="AU751">
        <v>2009</v>
      </c>
      <c r="AV751">
        <v>1787</v>
      </c>
      <c r="AW751">
        <v>7</v>
      </c>
      <c r="AX751" t="s">
        <v>74</v>
      </c>
      <c r="AY751" t="s">
        <v>74</v>
      </c>
      <c r="AZ751" t="s">
        <v>74</v>
      </c>
      <c r="BA751" t="s">
        <v>74</v>
      </c>
      <c r="BB751">
        <v>849</v>
      </c>
      <c r="BC751">
        <v>855</v>
      </c>
      <c r="BD751" t="s">
        <v>74</v>
      </c>
      <c r="BE751" t="s">
        <v>13696</v>
      </c>
      <c r="BF751" t="str">
        <f>HYPERLINK("http://dx.doi.org/10.1016/j.bbabio.2009.03.008","http://dx.doi.org/10.1016/j.bbabio.2009.03.008")</f>
        <v>http://dx.doi.org/10.1016/j.bbabio.2009.03.008</v>
      </c>
      <c r="BG751" t="s">
        <v>74</v>
      </c>
      <c r="BH751" t="s">
        <v>74</v>
      </c>
      <c r="BI751">
        <v>7</v>
      </c>
      <c r="BJ751" t="s">
        <v>1548</v>
      </c>
      <c r="BK751" t="s">
        <v>1986</v>
      </c>
      <c r="BL751" t="s">
        <v>1548</v>
      </c>
      <c r="BM751" t="s">
        <v>13697</v>
      </c>
      <c r="BN751">
        <v>19298789</v>
      </c>
      <c r="BO751" t="s">
        <v>765</v>
      </c>
      <c r="BP751" t="s">
        <v>74</v>
      </c>
      <c r="BQ751" t="s">
        <v>74</v>
      </c>
      <c r="BR751" t="s">
        <v>101</v>
      </c>
      <c r="BS751" t="s">
        <v>13698</v>
      </c>
      <c r="BT751" t="str">
        <f>HYPERLINK("https%3A%2F%2Fwww.webofscience.com%2Fwos%2Fwoscc%2Ffull-record%2FWOS:000267772000011","View Full Record in Web of Science")</f>
        <v>View Full Record in Web of Science</v>
      </c>
    </row>
    <row r="752" spans="1:72" x14ac:dyDescent="0.15">
      <c r="A752" t="s">
        <v>72</v>
      </c>
      <c r="B752" t="s">
        <v>13699</v>
      </c>
      <c r="C752" t="s">
        <v>74</v>
      </c>
      <c r="D752" t="s">
        <v>74</v>
      </c>
      <c r="E752" t="s">
        <v>74</v>
      </c>
      <c r="F752" t="s">
        <v>13700</v>
      </c>
      <c r="G752" t="s">
        <v>74</v>
      </c>
      <c r="H752" t="s">
        <v>74</v>
      </c>
      <c r="I752" t="s">
        <v>13701</v>
      </c>
      <c r="J752" t="s">
        <v>11908</v>
      </c>
      <c r="K752" t="s">
        <v>74</v>
      </c>
      <c r="L752" t="s">
        <v>74</v>
      </c>
      <c r="M752" t="s">
        <v>78</v>
      </c>
      <c r="N752" t="s">
        <v>79</v>
      </c>
      <c r="O752" t="s">
        <v>74</v>
      </c>
      <c r="P752" t="s">
        <v>74</v>
      </c>
      <c r="Q752" t="s">
        <v>74</v>
      </c>
      <c r="R752" t="s">
        <v>74</v>
      </c>
      <c r="S752" t="s">
        <v>74</v>
      </c>
      <c r="T752" t="s">
        <v>13702</v>
      </c>
      <c r="U752" t="s">
        <v>13703</v>
      </c>
      <c r="V752" t="s">
        <v>13704</v>
      </c>
      <c r="W752" t="s">
        <v>13705</v>
      </c>
      <c r="X752" t="s">
        <v>13706</v>
      </c>
      <c r="Y752" t="s">
        <v>13707</v>
      </c>
      <c r="Z752" t="s">
        <v>13708</v>
      </c>
      <c r="AA752" t="s">
        <v>13709</v>
      </c>
      <c r="AB752" t="s">
        <v>13710</v>
      </c>
      <c r="AC752" t="s">
        <v>74</v>
      </c>
      <c r="AD752" t="s">
        <v>74</v>
      </c>
      <c r="AE752" t="s">
        <v>74</v>
      </c>
      <c r="AF752" t="s">
        <v>74</v>
      </c>
      <c r="AG752">
        <v>99</v>
      </c>
      <c r="AH752">
        <v>69</v>
      </c>
      <c r="AI752">
        <v>86</v>
      </c>
      <c r="AJ752">
        <v>1</v>
      </c>
      <c r="AK752">
        <v>48</v>
      </c>
      <c r="AL752" t="s">
        <v>1978</v>
      </c>
      <c r="AM752" t="s">
        <v>1895</v>
      </c>
      <c r="AN752" t="s">
        <v>1979</v>
      </c>
      <c r="AO752" t="s">
        <v>11920</v>
      </c>
      <c r="AP752" t="s">
        <v>11921</v>
      </c>
      <c r="AQ752" t="s">
        <v>74</v>
      </c>
      <c r="AR752" t="s">
        <v>11922</v>
      </c>
      <c r="AS752" t="s">
        <v>11923</v>
      </c>
      <c r="AT752" t="s">
        <v>13544</v>
      </c>
      <c r="AU752">
        <v>2009</v>
      </c>
      <c r="AV752">
        <v>142</v>
      </c>
      <c r="AW752">
        <v>7</v>
      </c>
      <c r="AX752" t="s">
        <v>74</v>
      </c>
      <c r="AY752" t="s">
        <v>74</v>
      </c>
      <c r="AZ752" t="s">
        <v>74</v>
      </c>
      <c r="BA752" t="s">
        <v>74</v>
      </c>
      <c r="BB752">
        <v>1450</v>
      </c>
      <c r="BC752">
        <v>1460</v>
      </c>
      <c r="BD752" t="s">
        <v>74</v>
      </c>
      <c r="BE752" t="s">
        <v>13711</v>
      </c>
      <c r="BF752" t="str">
        <f>HYPERLINK("http://dx.doi.org/10.1016/j.biocon.2009.02.013","http://dx.doi.org/10.1016/j.biocon.2009.02.013")</f>
        <v>http://dx.doi.org/10.1016/j.biocon.2009.02.013</v>
      </c>
      <c r="BG752" t="s">
        <v>74</v>
      </c>
      <c r="BH752" t="s">
        <v>74</v>
      </c>
      <c r="BI752">
        <v>11</v>
      </c>
      <c r="BJ752" t="s">
        <v>5406</v>
      </c>
      <c r="BK752" t="s">
        <v>98</v>
      </c>
      <c r="BL752" t="s">
        <v>3115</v>
      </c>
      <c r="BM752" t="s">
        <v>13712</v>
      </c>
      <c r="BN752" t="s">
        <v>74</v>
      </c>
      <c r="BO752" t="s">
        <v>74</v>
      </c>
      <c r="BP752" t="s">
        <v>74</v>
      </c>
      <c r="BQ752" t="s">
        <v>74</v>
      </c>
      <c r="BR752" t="s">
        <v>101</v>
      </c>
      <c r="BS752" t="s">
        <v>13713</v>
      </c>
      <c r="BT752" t="str">
        <f>HYPERLINK("https%3A%2F%2Fwww.webofscience.com%2Fwos%2Fwoscc%2Ffull-record%2FWOS:000266752500021","View Full Record in Web of Science")</f>
        <v>View Full Record in Web of Science</v>
      </c>
    </row>
    <row r="753" spans="1:72" x14ac:dyDescent="0.15">
      <c r="A753" t="s">
        <v>72</v>
      </c>
      <c r="B753" t="s">
        <v>13714</v>
      </c>
      <c r="C753" t="s">
        <v>74</v>
      </c>
      <c r="D753" t="s">
        <v>74</v>
      </c>
      <c r="E753" t="s">
        <v>74</v>
      </c>
      <c r="F753" t="s">
        <v>13715</v>
      </c>
      <c r="G753" t="s">
        <v>74</v>
      </c>
      <c r="H753" t="s">
        <v>74</v>
      </c>
      <c r="I753" t="s">
        <v>13716</v>
      </c>
      <c r="J753" t="s">
        <v>13717</v>
      </c>
      <c r="K753" t="s">
        <v>74</v>
      </c>
      <c r="L753" t="s">
        <v>74</v>
      </c>
      <c r="M753" t="s">
        <v>1153</v>
      </c>
      <c r="N753" t="s">
        <v>79</v>
      </c>
      <c r="O753" t="s">
        <v>74</v>
      </c>
      <c r="P753" t="s">
        <v>74</v>
      </c>
      <c r="Q753" t="s">
        <v>74</v>
      </c>
      <c r="R753" t="s">
        <v>74</v>
      </c>
      <c r="S753" t="s">
        <v>74</v>
      </c>
      <c r="T753" t="s">
        <v>13718</v>
      </c>
      <c r="U753" t="s">
        <v>74</v>
      </c>
      <c r="V753" t="s">
        <v>13719</v>
      </c>
      <c r="W753" t="s">
        <v>13720</v>
      </c>
      <c r="X753" t="s">
        <v>13721</v>
      </c>
      <c r="Y753" t="s">
        <v>13722</v>
      </c>
      <c r="Z753" t="s">
        <v>13723</v>
      </c>
      <c r="AA753" t="s">
        <v>13724</v>
      </c>
      <c r="AB753" t="s">
        <v>13725</v>
      </c>
      <c r="AC753" t="s">
        <v>74</v>
      </c>
      <c r="AD753" t="s">
        <v>74</v>
      </c>
      <c r="AE753" t="s">
        <v>74</v>
      </c>
      <c r="AF753" t="s">
        <v>74</v>
      </c>
      <c r="AG753">
        <v>14</v>
      </c>
      <c r="AH753">
        <v>2</v>
      </c>
      <c r="AI753">
        <v>2</v>
      </c>
      <c r="AJ753">
        <v>0</v>
      </c>
      <c r="AK753">
        <v>1</v>
      </c>
      <c r="AL753" t="s">
        <v>13726</v>
      </c>
      <c r="AM753" t="s">
        <v>13727</v>
      </c>
      <c r="AN753" t="s">
        <v>13728</v>
      </c>
      <c r="AO753" t="s">
        <v>13729</v>
      </c>
      <c r="AP753" t="s">
        <v>13730</v>
      </c>
      <c r="AQ753" t="s">
        <v>74</v>
      </c>
      <c r="AR753" t="s">
        <v>13731</v>
      </c>
      <c r="AS753" t="s">
        <v>13732</v>
      </c>
      <c r="AT753" t="s">
        <v>13733</v>
      </c>
      <c r="AU753">
        <v>2009</v>
      </c>
      <c r="AV753">
        <v>31</v>
      </c>
      <c r="AW753">
        <v>2</v>
      </c>
      <c r="AX753" t="s">
        <v>74</v>
      </c>
      <c r="AY753" t="s">
        <v>74</v>
      </c>
      <c r="AZ753" t="s">
        <v>74</v>
      </c>
      <c r="BA753" t="s">
        <v>74</v>
      </c>
      <c r="BB753">
        <v>119</v>
      </c>
      <c r="BC753">
        <v>125</v>
      </c>
      <c r="BD753" t="s">
        <v>74</v>
      </c>
      <c r="BE753" t="s">
        <v>74</v>
      </c>
      <c r="BF753" t="s">
        <v>74</v>
      </c>
      <c r="BG753" t="s">
        <v>74</v>
      </c>
      <c r="BH753" t="s">
        <v>74</v>
      </c>
      <c r="BI753">
        <v>7</v>
      </c>
      <c r="BJ753" t="s">
        <v>465</v>
      </c>
      <c r="BK753" t="s">
        <v>1028</v>
      </c>
      <c r="BL753" t="s">
        <v>465</v>
      </c>
      <c r="BM753" t="s">
        <v>13734</v>
      </c>
      <c r="BN753" t="s">
        <v>74</v>
      </c>
      <c r="BO753" t="s">
        <v>74</v>
      </c>
      <c r="BP753" t="s">
        <v>74</v>
      </c>
      <c r="BQ753" t="s">
        <v>74</v>
      </c>
      <c r="BR753" t="s">
        <v>101</v>
      </c>
      <c r="BS753" t="s">
        <v>13735</v>
      </c>
      <c r="BT753" t="str">
        <f>HYPERLINK("https%3A%2F%2Fwww.webofscience.com%2Fwos%2Fwoscc%2Ffull-record%2FWOS:000216201800009","View Full Record in Web of Science")</f>
        <v>View Full Record in Web of Science</v>
      </c>
    </row>
    <row r="754" spans="1:72" x14ac:dyDescent="0.15">
      <c r="A754" t="s">
        <v>72</v>
      </c>
      <c r="B754" t="s">
        <v>13736</v>
      </c>
      <c r="C754" t="s">
        <v>74</v>
      </c>
      <c r="D754" t="s">
        <v>74</v>
      </c>
      <c r="E754" t="s">
        <v>74</v>
      </c>
      <c r="F754" t="s">
        <v>13737</v>
      </c>
      <c r="G754" t="s">
        <v>74</v>
      </c>
      <c r="H754" t="s">
        <v>74</v>
      </c>
      <c r="I754" t="s">
        <v>13738</v>
      </c>
      <c r="J754" t="s">
        <v>13739</v>
      </c>
      <c r="K754" t="s">
        <v>74</v>
      </c>
      <c r="L754" t="s">
        <v>74</v>
      </c>
      <c r="M754" t="s">
        <v>78</v>
      </c>
      <c r="N754" t="s">
        <v>79</v>
      </c>
      <c r="O754" t="s">
        <v>74</v>
      </c>
      <c r="P754" t="s">
        <v>74</v>
      </c>
      <c r="Q754" t="s">
        <v>74</v>
      </c>
      <c r="R754" t="s">
        <v>74</v>
      </c>
      <c r="S754" t="s">
        <v>74</v>
      </c>
      <c r="T754" t="s">
        <v>13740</v>
      </c>
      <c r="U754" t="s">
        <v>13741</v>
      </c>
      <c r="V754" t="s">
        <v>13742</v>
      </c>
      <c r="W754" t="s">
        <v>13743</v>
      </c>
      <c r="X754" t="s">
        <v>13744</v>
      </c>
      <c r="Y754" t="s">
        <v>13745</v>
      </c>
      <c r="Z754" t="s">
        <v>13746</v>
      </c>
      <c r="AA754" t="s">
        <v>13747</v>
      </c>
      <c r="AB754" t="s">
        <v>13748</v>
      </c>
      <c r="AC754" t="s">
        <v>13749</v>
      </c>
      <c r="AD754" t="s">
        <v>13749</v>
      </c>
      <c r="AE754" t="s">
        <v>13750</v>
      </c>
      <c r="AF754" t="s">
        <v>74</v>
      </c>
      <c r="AG754">
        <v>25</v>
      </c>
      <c r="AH754">
        <v>13</v>
      </c>
      <c r="AI754">
        <v>15</v>
      </c>
      <c r="AJ754">
        <v>0</v>
      </c>
      <c r="AK754">
        <v>6</v>
      </c>
      <c r="AL754" t="s">
        <v>1850</v>
      </c>
      <c r="AM754" t="s">
        <v>1851</v>
      </c>
      <c r="AN754" t="s">
        <v>1852</v>
      </c>
      <c r="AO754" t="s">
        <v>13751</v>
      </c>
      <c r="AP754" t="s">
        <v>74</v>
      </c>
      <c r="AQ754" t="s">
        <v>74</v>
      </c>
      <c r="AR754" t="s">
        <v>13752</v>
      </c>
      <c r="AS754" t="s">
        <v>13753</v>
      </c>
      <c r="AT754" t="s">
        <v>13544</v>
      </c>
      <c r="AU754">
        <v>2009</v>
      </c>
      <c r="AV754">
        <v>132</v>
      </c>
      <c r="AW754">
        <v>1</v>
      </c>
      <c r="AX754" t="s">
        <v>74</v>
      </c>
      <c r="AY754" t="s">
        <v>74</v>
      </c>
      <c r="AZ754" t="s">
        <v>74</v>
      </c>
      <c r="BA754" t="s">
        <v>74</v>
      </c>
      <c r="BB754">
        <v>31</v>
      </c>
      <c r="BC754">
        <v>42</v>
      </c>
      <c r="BD754" t="s">
        <v>74</v>
      </c>
      <c r="BE754" t="s">
        <v>13754</v>
      </c>
      <c r="BF754" t="str">
        <f>HYPERLINK("http://dx.doi.org/10.1007/s10546-009-9383-5","http://dx.doi.org/10.1007/s10546-009-9383-5")</f>
        <v>http://dx.doi.org/10.1007/s10546-009-9383-5</v>
      </c>
      <c r="BG754" t="s">
        <v>74</v>
      </c>
      <c r="BH754" t="s">
        <v>74</v>
      </c>
      <c r="BI754">
        <v>12</v>
      </c>
      <c r="BJ754" t="s">
        <v>413</v>
      </c>
      <c r="BK754" t="s">
        <v>98</v>
      </c>
      <c r="BL754" t="s">
        <v>413</v>
      </c>
      <c r="BM754" t="s">
        <v>13755</v>
      </c>
      <c r="BN754" t="s">
        <v>74</v>
      </c>
      <c r="BO754" t="s">
        <v>74</v>
      </c>
      <c r="BP754" t="s">
        <v>74</v>
      </c>
      <c r="BQ754" t="s">
        <v>74</v>
      </c>
      <c r="BR754" t="s">
        <v>101</v>
      </c>
      <c r="BS754" t="s">
        <v>13756</v>
      </c>
      <c r="BT754" t="str">
        <f>HYPERLINK("https%3A%2F%2Fwww.webofscience.com%2Fwos%2Fwoscc%2Ffull-record%2FWOS:000267029600003","View Full Record in Web of Science")</f>
        <v>View Full Record in Web of Science</v>
      </c>
    </row>
    <row r="755" spans="1:72" x14ac:dyDescent="0.15">
      <c r="A755" t="s">
        <v>72</v>
      </c>
      <c r="B755" t="s">
        <v>13757</v>
      </c>
      <c r="C755" t="s">
        <v>74</v>
      </c>
      <c r="D755" t="s">
        <v>74</v>
      </c>
      <c r="E755" t="s">
        <v>74</v>
      </c>
      <c r="F755" t="s">
        <v>13758</v>
      </c>
      <c r="G755" t="s">
        <v>74</v>
      </c>
      <c r="H755" t="s">
        <v>74</v>
      </c>
      <c r="I755" t="s">
        <v>13759</v>
      </c>
      <c r="J755" t="s">
        <v>4709</v>
      </c>
      <c r="K755" t="s">
        <v>74</v>
      </c>
      <c r="L755" t="s">
        <v>74</v>
      </c>
      <c r="M755" t="s">
        <v>78</v>
      </c>
      <c r="N755" t="s">
        <v>79</v>
      </c>
      <c r="O755" t="s">
        <v>74</v>
      </c>
      <c r="P755" t="s">
        <v>74</v>
      </c>
      <c r="Q755" t="s">
        <v>74</v>
      </c>
      <c r="R755" t="s">
        <v>74</v>
      </c>
      <c r="S755" t="s">
        <v>74</v>
      </c>
      <c r="T755" t="s">
        <v>13760</v>
      </c>
      <c r="U755" t="s">
        <v>13761</v>
      </c>
      <c r="V755" t="s">
        <v>13762</v>
      </c>
      <c r="W755" t="s">
        <v>13763</v>
      </c>
      <c r="X755" t="s">
        <v>8169</v>
      </c>
      <c r="Y755" t="s">
        <v>13764</v>
      </c>
      <c r="Z755" t="s">
        <v>4751</v>
      </c>
      <c r="AA755" t="s">
        <v>74</v>
      </c>
      <c r="AB755" t="s">
        <v>4752</v>
      </c>
      <c r="AC755" t="s">
        <v>13765</v>
      </c>
      <c r="AD755" t="s">
        <v>13766</v>
      </c>
      <c r="AE755" t="s">
        <v>13767</v>
      </c>
      <c r="AF755" t="s">
        <v>74</v>
      </c>
      <c r="AG755">
        <v>38</v>
      </c>
      <c r="AH755">
        <v>24</v>
      </c>
      <c r="AI755">
        <v>26</v>
      </c>
      <c r="AJ755">
        <v>0</v>
      </c>
      <c r="AK755">
        <v>12</v>
      </c>
      <c r="AL755" t="s">
        <v>1850</v>
      </c>
      <c r="AM755" t="s">
        <v>1851</v>
      </c>
      <c r="AN755" t="s">
        <v>1852</v>
      </c>
      <c r="AO755" t="s">
        <v>4719</v>
      </c>
      <c r="AP755" t="s">
        <v>4720</v>
      </c>
      <c r="AQ755" t="s">
        <v>74</v>
      </c>
      <c r="AR755" t="s">
        <v>4721</v>
      </c>
      <c r="AS755" t="s">
        <v>4722</v>
      </c>
      <c r="AT755" t="s">
        <v>13544</v>
      </c>
      <c r="AU755">
        <v>2009</v>
      </c>
      <c r="AV755">
        <v>14</v>
      </c>
      <c r="AW755">
        <v>4</v>
      </c>
      <c r="AX755" t="s">
        <v>74</v>
      </c>
      <c r="AY755" t="s">
        <v>74</v>
      </c>
      <c r="AZ755" t="s">
        <v>74</v>
      </c>
      <c r="BA755" t="s">
        <v>74</v>
      </c>
      <c r="BB755">
        <v>363</v>
      </c>
      <c r="BC755">
        <v>370</v>
      </c>
      <c r="BD755" t="s">
        <v>74</v>
      </c>
      <c r="BE755" t="s">
        <v>13768</v>
      </c>
      <c r="BF755" t="str">
        <f>HYPERLINK("http://dx.doi.org/10.1007/s12192-008-0090-9","http://dx.doi.org/10.1007/s12192-008-0090-9")</f>
        <v>http://dx.doi.org/10.1007/s12192-008-0090-9</v>
      </c>
      <c r="BG755" t="s">
        <v>74</v>
      </c>
      <c r="BH755" t="s">
        <v>74</v>
      </c>
      <c r="BI755">
        <v>8</v>
      </c>
      <c r="BJ755" t="s">
        <v>4724</v>
      </c>
      <c r="BK755" t="s">
        <v>98</v>
      </c>
      <c r="BL755" t="s">
        <v>4724</v>
      </c>
      <c r="BM755" t="s">
        <v>13769</v>
      </c>
      <c r="BN755">
        <v>18987993</v>
      </c>
      <c r="BO755" t="s">
        <v>3064</v>
      </c>
      <c r="BP755" t="s">
        <v>74</v>
      </c>
      <c r="BQ755" t="s">
        <v>74</v>
      </c>
      <c r="BR755" t="s">
        <v>101</v>
      </c>
      <c r="BS755" t="s">
        <v>13770</v>
      </c>
      <c r="BT755" t="str">
        <f>HYPERLINK("https%3A%2F%2Fwww.webofscience.com%2Fwos%2Fwoscc%2Ffull-record%2FWOS:000267365000004","View Full Record in Web of Science")</f>
        <v>View Full Record in Web of Science</v>
      </c>
    </row>
    <row r="756" spans="1:72" x14ac:dyDescent="0.15">
      <c r="A756" t="s">
        <v>72</v>
      </c>
      <c r="B756" t="s">
        <v>13771</v>
      </c>
      <c r="C756" t="s">
        <v>74</v>
      </c>
      <c r="D756" t="s">
        <v>74</v>
      </c>
      <c r="E756" t="s">
        <v>74</v>
      </c>
      <c r="F756" t="s">
        <v>13772</v>
      </c>
      <c r="G756" t="s">
        <v>74</v>
      </c>
      <c r="H756" t="s">
        <v>74</v>
      </c>
      <c r="I756" t="s">
        <v>13773</v>
      </c>
      <c r="J756" t="s">
        <v>13774</v>
      </c>
      <c r="K756" t="s">
        <v>74</v>
      </c>
      <c r="L756" t="s">
        <v>74</v>
      </c>
      <c r="M756" t="s">
        <v>78</v>
      </c>
      <c r="N756" t="s">
        <v>297</v>
      </c>
      <c r="O756" t="s">
        <v>74</v>
      </c>
      <c r="P756" t="s">
        <v>74</v>
      </c>
      <c r="Q756" t="s">
        <v>74</v>
      </c>
      <c r="R756" t="s">
        <v>74</v>
      </c>
      <c r="S756" t="s">
        <v>74</v>
      </c>
      <c r="T756" t="s">
        <v>74</v>
      </c>
      <c r="U756" t="s">
        <v>13775</v>
      </c>
      <c r="V756" t="s">
        <v>74</v>
      </c>
      <c r="W756" t="s">
        <v>13776</v>
      </c>
      <c r="X756" t="s">
        <v>13777</v>
      </c>
      <c r="Y756" t="s">
        <v>13778</v>
      </c>
      <c r="Z756" t="s">
        <v>13779</v>
      </c>
      <c r="AA756" t="s">
        <v>13780</v>
      </c>
      <c r="AB756" t="s">
        <v>13781</v>
      </c>
      <c r="AC756" t="s">
        <v>13782</v>
      </c>
      <c r="AD756" t="s">
        <v>13783</v>
      </c>
      <c r="AE756" t="s">
        <v>13784</v>
      </c>
      <c r="AF756" t="s">
        <v>74</v>
      </c>
      <c r="AG756">
        <v>72</v>
      </c>
      <c r="AH756">
        <v>232</v>
      </c>
      <c r="AI756">
        <v>236</v>
      </c>
      <c r="AJ756">
        <v>1</v>
      </c>
      <c r="AK756">
        <v>32</v>
      </c>
      <c r="AL756" t="s">
        <v>887</v>
      </c>
      <c r="AM756" t="s">
        <v>227</v>
      </c>
      <c r="AN756" t="s">
        <v>888</v>
      </c>
      <c r="AO756" t="s">
        <v>13785</v>
      </c>
      <c r="AP756" t="s">
        <v>74</v>
      </c>
      <c r="AQ756" t="s">
        <v>74</v>
      </c>
      <c r="AR756" t="s">
        <v>13786</v>
      </c>
      <c r="AS756" t="s">
        <v>13787</v>
      </c>
      <c r="AT756" t="s">
        <v>13544</v>
      </c>
      <c r="AU756">
        <v>2009</v>
      </c>
      <c r="AV756">
        <v>109</v>
      </c>
      <c r="AW756">
        <v>7</v>
      </c>
      <c r="AX756" t="s">
        <v>74</v>
      </c>
      <c r="AY756" t="s">
        <v>74</v>
      </c>
      <c r="AZ756" t="s">
        <v>74</v>
      </c>
      <c r="BA756" t="s">
        <v>74</v>
      </c>
      <c r="BB756">
        <v>3080</v>
      </c>
      <c r="BC756">
        <v>3098</v>
      </c>
      <c r="BD756" t="s">
        <v>74</v>
      </c>
      <c r="BE756" t="s">
        <v>13788</v>
      </c>
      <c r="BF756" t="str">
        <f>HYPERLINK("http://dx.doi.org/10.1021/cr900032s","http://dx.doi.org/10.1021/cr900032s")</f>
        <v>http://dx.doi.org/10.1021/cr900032s</v>
      </c>
      <c r="BG756" t="s">
        <v>74</v>
      </c>
      <c r="BH756" t="s">
        <v>74</v>
      </c>
      <c r="BI756">
        <v>19</v>
      </c>
      <c r="BJ756" t="s">
        <v>4331</v>
      </c>
      <c r="BK756" t="s">
        <v>98</v>
      </c>
      <c r="BL756" t="s">
        <v>715</v>
      </c>
      <c r="BM756" t="s">
        <v>13789</v>
      </c>
      <c r="BN756">
        <v>19489543</v>
      </c>
      <c r="BO756" t="s">
        <v>74</v>
      </c>
      <c r="BP756" t="s">
        <v>74</v>
      </c>
      <c r="BQ756" t="s">
        <v>74</v>
      </c>
      <c r="BR756" t="s">
        <v>101</v>
      </c>
      <c r="BS756" t="s">
        <v>13790</v>
      </c>
      <c r="BT756" t="str">
        <f>HYPERLINK("https%3A%2F%2Fwww.webofscience.com%2Fwos%2Fwoscc%2Ffull-record%2FWOS:000268090000012","View Full Record in Web of Science")</f>
        <v>View Full Record in Web of Science</v>
      </c>
    </row>
    <row r="757" spans="1:72" x14ac:dyDescent="0.15">
      <c r="A757" t="s">
        <v>72</v>
      </c>
      <c r="B757" t="s">
        <v>13791</v>
      </c>
      <c r="C757" t="s">
        <v>74</v>
      </c>
      <c r="D757" t="s">
        <v>74</v>
      </c>
      <c r="E757" t="s">
        <v>74</v>
      </c>
      <c r="F757" t="s">
        <v>13792</v>
      </c>
      <c r="G757" t="s">
        <v>74</v>
      </c>
      <c r="H757" t="s">
        <v>74</v>
      </c>
      <c r="I757" t="s">
        <v>13793</v>
      </c>
      <c r="J757" t="s">
        <v>1753</v>
      </c>
      <c r="K757" t="s">
        <v>74</v>
      </c>
      <c r="L757" t="s">
        <v>74</v>
      </c>
      <c r="M757" t="s">
        <v>1754</v>
      </c>
      <c r="N757" t="s">
        <v>79</v>
      </c>
      <c r="O757" t="s">
        <v>74</v>
      </c>
      <c r="P757" t="s">
        <v>74</v>
      </c>
      <c r="Q757" t="s">
        <v>74</v>
      </c>
      <c r="R757" t="s">
        <v>74</v>
      </c>
      <c r="S757" t="s">
        <v>74</v>
      </c>
      <c r="T757" t="s">
        <v>13794</v>
      </c>
      <c r="U757" t="s">
        <v>13795</v>
      </c>
      <c r="V757" t="s">
        <v>13796</v>
      </c>
      <c r="W757" t="s">
        <v>13797</v>
      </c>
      <c r="X757" t="s">
        <v>13798</v>
      </c>
      <c r="Y757" t="s">
        <v>13799</v>
      </c>
      <c r="Z757" t="s">
        <v>13800</v>
      </c>
      <c r="AA757" t="s">
        <v>13801</v>
      </c>
      <c r="AB757" t="s">
        <v>13802</v>
      </c>
      <c r="AC757" t="s">
        <v>74</v>
      </c>
      <c r="AD757" t="s">
        <v>74</v>
      </c>
      <c r="AE757" t="s">
        <v>74</v>
      </c>
      <c r="AF757" t="s">
        <v>74</v>
      </c>
      <c r="AG757">
        <v>71</v>
      </c>
      <c r="AH757">
        <v>19</v>
      </c>
      <c r="AI757">
        <v>27</v>
      </c>
      <c r="AJ757">
        <v>0</v>
      </c>
      <c r="AK757">
        <v>26</v>
      </c>
      <c r="AL757" t="s">
        <v>1764</v>
      </c>
      <c r="AM757" t="s">
        <v>1765</v>
      </c>
      <c r="AN757" t="s">
        <v>1766</v>
      </c>
      <c r="AO757" t="s">
        <v>1767</v>
      </c>
      <c r="AP757" t="s">
        <v>74</v>
      </c>
      <c r="AQ757" t="s">
        <v>74</v>
      </c>
      <c r="AR757" t="s">
        <v>1768</v>
      </c>
      <c r="AS757" t="s">
        <v>1769</v>
      </c>
      <c r="AT757" t="s">
        <v>13544</v>
      </c>
      <c r="AU757">
        <v>2009</v>
      </c>
      <c r="AV757">
        <v>52</v>
      </c>
      <c r="AW757">
        <v>7</v>
      </c>
      <c r="AX757" t="s">
        <v>74</v>
      </c>
      <c r="AY757" t="s">
        <v>74</v>
      </c>
      <c r="AZ757" t="s">
        <v>74</v>
      </c>
      <c r="BA757" t="s">
        <v>74</v>
      </c>
      <c r="BB757">
        <v>1836</v>
      </c>
      <c r="BC757">
        <v>1848</v>
      </c>
      <c r="BD757" t="s">
        <v>74</v>
      </c>
      <c r="BE757" t="s">
        <v>13803</v>
      </c>
      <c r="BF757" t="str">
        <f>HYPERLINK("http://dx.doi.org/10.3969/j.issn.0001-5733.2009.07.018","http://dx.doi.org/10.3969/j.issn.0001-5733.2009.07.018")</f>
        <v>http://dx.doi.org/10.3969/j.issn.0001-5733.2009.07.018</v>
      </c>
      <c r="BG757" t="s">
        <v>74</v>
      </c>
      <c r="BH757" t="s">
        <v>74</v>
      </c>
      <c r="BI757">
        <v>13</v>
      </c>
      <c r="BJ757" t="s">
        <v>261</v>
      </c>
      <c r="BK757" t="s">
        <v>98</v>
      </c>
      <c r="BL757" t="s">
        <v>261</v>
      </c>
      <c r="BM757" t="s">
        <v>13804</v>
      </c>
      <c r="BN757" t="s">
        <v>74</v>
      </c>
      <c r="BO757" t="s">
        <v>74</v>
      </c>
      <c r="BP757" t="s">
        <v>74</v>
      </c>
      <c r="BQ757" t="s">
        <v>74</v>
      </c>
      <c r="BR757" t="s">
        <v>101</v>
      </c>
      <c r="BS757" t="s">
        <v>13805</v>
      </c>
      <c r="BT757" t="str">
        <f>HYPERLINK("https%3A%2F%2Fwww.webofscience.com%2Fwos%2Fwoscc%2Ffull-record%2FWOS:000268558500018","View Full Record in Web of Science")</f>
        <v>View Full Record in Web of Science</v>
      </c>
    </row>
    <row r="758" spans="1:72" x14ac:dyDescent="0.15">
      <c r="A758" t="s">
        <v>72</v>
      </c>
      <c r="B758" t="s">
        <v>13806</v>
      </c>
      <c r="C758" t="s">
        <v>74</v>
      </c>
      <c r="D758" t="s">
        <v>74</v>
      </c>
      <c r="E758" t="s">
        <v>74</v>
      </c>
      <c r="F758" t="s">
        <v>13807</v>
      </c>
      <c r="G758" t="s">
        <v>74</v>
      </c>
      <c r="H758" t="s">
        <v>74</v>
      </c>
      <c r="I758" t="s">
        <v>13808</v>
      </c>
      <c r="J758" t="s">
        <v>12014</v>
      </c>
      <c r="K758" t="s">
        <v>74</v>
      </c>
      <c r="L758" t="s">
        <v>74</v>
      </c>
      <c r="M758" t="s">
        <v>78</v>
      </c>
      <c r="N758" t="s">
        <v>79</v>
      </c>
      <c r="O758" t="s">
        <v>74</v>
      </c>
      <c r="P758" t="s">
        <v>74</v>
      </c>
      <c r="Q758" t="s">
        <v>74</v>
      </c>
      <c r="R758" t="s">
        <v>74</v>
      </c>
      <c r="S758" t="s">
        <v>74</v>
      </c>
      <c r="T758" t="s">
        <v>13809</v>
      </c>
      <c r="U758" t="s">
        <v>13810</v>
      </c>
      <c r="V758" t="s">
        <v>13811</v>
      </c>
      <c r="W758" t="s">
        <v>13812</v>
      </c>
      <c r="X758" t="s">
        <v>838</v>
      </c>
      <c r="Y758" t="s">
        <v>13813</v>
      </c>
      <c r="Z758" t="s">
        <v>13814</v>
      </c>
      <c r="AA758" t="s">
        <v>74</v>
      </c>
      <c r="AB758" t="s">
        <v>13815</v>
      </c>
      <c r="AC758" t="s">
        <v>13816</v>
      </c>
      <c r="AD758" t="s">
        <v>13817</v>
      </c>
      <c r="AE758" t="s">
        <v>13818</v>
      </c>
      <c r="AF758" t="s">
        <v>74</v>
      </c>
      <c r="AG758">
        <v>35</v>
      </c>
      <c r="AH758">
        <v>8</v>
      </c>
      <c r="AI758">
        <v>10</v>
      </c>
      <c r="AJ758">
        <v>0</v>
      </c>
      <c r="AK758">
        <v>2</v>
      </c>
      <c r="AL758" t="s">
        <v>1850</v>
      </c>
      <c r="AM758" t="s">
        <v>684</v>
      </c>
      <c r="AN758" t="s">
        <v>3108</v>
      </c>
      <c r="AO758" t="s">
        <v>12027</v>
      </c>
      <c r="AP758" t="s">
        <v>12028</v>
      </c>
      <c r="AQ758" t="s">
        <v>74</v>
      </c>
      <c r="AR758" t="s">
        <v>12029</v>
      </c>
      <c r="AS758" t="s">
        <v>12030</v>
      </c>
      <c r="AT758" t="s">
        <v>13544</v>
      </c>
      <c r="AU758">
        <v>2009</v>
      </c>
      <c r="AV758">
        <v>33</v>
      </c>
      <c r="AW758">
        <v>1</v>
      </c>
      <c r="AX758" t="s">
        <v>74</v>
      </c>
      <c r="AY758" t="s">
        <v>74</v>
      </c>
      <c r="AZ758" t="s">
        <v>74</v>
      </c>
      <c r="BA758" t="s">
        <v>74</v>
      </c>
      <c r="BB758">
        <v>1</v>
      </c>
      <c r="BC758">
        <v>18</v>
      </c>
      <c r="BD758" t="s">
        <v>74</v>
      </c>
      <c r="BE758" t="s">
        <v>13819</v>
      </c>
      <c r="BF758" t="str">
        <f>HYPERLINK("http://dx.doi.org/10.1007/s00382-009-0575-y","http://dx.doi.org/10.1007/s00382-009-0575-y")</f>
        <v>http://dx.doi.org/10.1007/s00382-009-0575-y</v>
      </c>
      <c r="BG758" t="s">
        <v>74</v>
      </c>
      <c r="BH758" t="s">
        <v>74</v>
      </c>
      <c r="BI758">
        <v>18</v>
      </c>
      <c r="BJ758" t="s">
        <v>413</v>
      </c>
      <c r="BK758" t="s">
        <v>98</v>
      </c>
      <c r="BL758" t="s">
        <v>413</v>
      </c>
      <c r="BM758" t="s">
        <v>13820</v>
      </c>
      <c r="BN758" t="s">
        <v>74</v>
      </c>
      <c r="BO758" t="s">
        <v>13821</v>
      </c>
      <c r="BP758" t="s">
        <v>74</v>
      </c>
      <c r="BQ758" t="s">
        <v>74</v>
      </c>
      <c r="BR758" t="s">
        <v>101</v>
      </c>
      <c r="BS758" t="s">
        <v>13822</v>
      </c>
      <c r="BT758" t="str">
        <f>HYPERLINK("https%3A%2F%2Fwww.webofscience.com%2Fwos%2Fwoscc%2Ffull-record%2FWOS:000266266500001","View Full Record in Web of Science")</f>
        <v>View Full Record in Web of Science</v>
      </c>
    </row>
    <row r="759" spans="1:72" x14ac:dyDescent="0.15">
      <c r="A759" t="s">
        <v>72</v>
      </c>
      <c r="B759" t="s">
        <v>13823</v>
      </c>
      <c r="C759" t="s">
        <v>74</v>
      </c>
      <c r="D759" t="s">
        <v>74</v>
      </c>
      <c r="E759" t="s">
        <v>74</v>
      </c>
      <c r="F759" t="s">
        <v>13824</v>
      </c>
      <c r="G759" t="s">
        <v>74</v>
      </c>
      <c r="H759" t="s">
        <v>74</v>
      </c>
      <c r="I759" t="s">
        <v>13825</v>
      </c>
      <c r="J759" t="s">
        <v>12014</v>
      </c>
      <c r="K759" t="s">
        <v>74</v>
      </c>
      <c r="L759" t="s">
        <v>74</v>
      </c>
      <c r="M759" t="s">
        <v>78</v>
      </c>
      <c r="N759" t="s">
        <v>79</v>
      </c>
      <c r="O759" t="s">
        <v>74</v>
      </c>
      <c r="P759" t="s">
        <v>74</v>
      </c>
      <c r="Q759" t="s">
        <v>74</v>
      </c>
      <c r="R759" t="s">
        <v>74</v>
      </c>
      <c r="S759" t="s">
        <v>74</v>
      </c>
      <c r="T759" t="s">
        <v>13826</v>
      </c>
      <c r="U759" t="s">
        <v>13827</v>
      </c>
      <c r="V759" t="s">
        <v>13828</v>
      </c>
      <c r="W759" t="s">
        <v>13829</v>
      </c>
      <c r="X759" t="s">
        <v>13830</v>
      </c>
      <c r="Y759" t="s">
        <v>13831</v>
      </c>
      <c r="Z759" t="s">
        <v>13832</v>
      </c>
      <c r="AA759" t="s">
        <v>74</v>
      </c>
      <c r="AB759" t="s">
        <v>13833</v>
      </c>
      <c r="AC759" t="s">
        <v>13834</v>
      </c>
      <c r="AD759" t="s">
        <v>13835</v>
      </c>
      <c r="AE759" t="s">
        <v>13836</v>
      </c>
      <c r="AF759" t="s">
        <v>74</v>
      </c>
      <c r="AG759">
        <v>37</v>
      </c>
      <c r="AH759">
        <v>48</v>
      </c>
      <c r="AI759">
        <v>57</v>
      </c>
      <c r="AJ759">
        <v>0</v>
      </c>
      <c r="AK759">
        <v>6</v>
      </c>
      <c r="AL759" t="s">
        <v>1850</v>
      </c>
      <c r="AM759" t="s">
        <v>684</v>
      </c>
      <c r="AN759" t="s">
        <v>2272</v>
      </c>
      <c r="AO759" t="s">
        <v>12027</v>
      </c>
      <c r="AP759" t="s">
        <v>12028</v>
      </c>
      <c r="AQ759" t="s">
        <v>74</v>
      </c>
      <c r="AR759" t="s">
        <v>12029</v>
      </c>
      <c r="AS759" t="s">
        <v>12030</v>
      </c>
      <c r="AT759" t="s">
        <v>13544</v>
      </c>
      <c r="AU759">
        <v>2009</v>
      </c>
      <c r="AV759">
        <v>33</v>
      </c>
      <c r="AW759">
        <v>1</v>
      </c>
      <c r="AX759" t="s">
        <v>74</v>
      </c>
      <c r="AY759" t="s">
        <v>74</v>
      </c>
      <c r="AZ759" t="s">
        <v>74</v>
      </c>
      <c r="BA759" t="s">
        <v>74</v>
      </c>
      <c r="BB759">
        <v>19</v>
      </c>
      <c r="BC759">
        <v>32</v>
      </c>
      <c r="BD759" t="s">
        <v>74</v>
      </c>
      <c r="BE759" t="s">
        <v>13837</v>
      </c>
      <c r="BF759" t="str">
        <f>HYPERLINK("http://dx.doi.org/10.1007/s00382-008-0444-0","http://dx.doi.org/10.1007/s00382-008-0444-0")</f>
        <v>http://dx.doi.org/10.1007/s00382-008-0444-0</v>
      </c>
      <c r="BG759" t="s">
        <v>74</v>
      </c>
      <c r="BH759" t="s">
        <v>74</v>
      </c>
      <c r="BI759">
        <v>14</v>
      </c>
      <c r="BJ759" t="s">
        <v>413</v>
      </c>
      <c r="BK759" t="s">
        <v>98</v>
      </c>
      <c r="BL759" t="s">
        <v>413</v>
      </c>
      <c r="BM759" t="s">
        <v>13820</v>
      </c>
      <c r="BN759" t="s">
        <v>74</v>
      </c>
      <c r="BO759" t="s">
        <v>74</v>
      </c>
      <c r="BP759" t="s">
        <v>74</v>
      </c>
      <c r="BQ759" t="s">
        <v>74</v>
      </c>
      <c r="BR759" t="s">
        <v>101</v>
      </c>
      <c r="BS759" t="s">
        <v>13838</v>
      </c>
      <c r="BT759" t="str">
        <f>HYPERLINK("https%3A%2F%2Fwww.webofscience.com%2Fwos%2Fwoscc%2Ffull-record%2FWOS:000266266500002","View Full Record in Web of Science")</f>
        <v>View Full Record in Web of Science</v>
      </c>
    </row>
    <row r="760" spans="1:72" x14ac:dyDescent="0.15">
      <c r="A760" t="s">
        <v>72</v>
      </c>
      <c r="B760" t="s">
        <v>13839</v>
      </c>
      <c r="C760" t="s">
        <v>74</v>
      </c>
      <c r="D760" t="s">
        <v>74</v>
      </c>
      <c r="E760" t="s">
        <v>74</v>
      </c>
      <c r="F760" t="s">
        <v>13840</v>
      </c>
      <c r="G760" t="s">
        <v>74</v>
      </c>
      <c r="H760" t="s">
        <v>74</v>
      </c>
      <c r="I760" t="s">
        <v>13841</v>
      </c>
      <c r="J760" t="s">
        <v>1881</v>
      </c>
      <c r="K760" t="s">
        <v>74</v>
      </c>
      <c r="L760" t="s">
        <v>74</v>
      </c>
      <c r="M760" t="s">
        <v>78</v>
      </c>
      <c r="N760" t="s">
        <v>79</v>
      </c>
      <c r="O760" t="s">
        <v>74</v>
      </c>
      <c r="P760" t="s">
        <v>74</v>
      </c>
      <c r="Q760" t="s">
        <v>74</v>
      </c>
      <c r="R760" t="s">
        <v>74</v>
      </c>
      <c r="S760" t="s">
        <v>74</v>
      </c>
      <c r="T760" t="s">
        <v>13842</v>
      </c>
      <c r="U760" t="s">
        <v>13843</v>
      </c>
      <c r="V760" t="s">
        <v>13844</v>
      </c>
      <c r="W760" t="s">
        <v>13845</v>
      </c>
      <c r="X760" t="s">
        <v>13846</v>
      </c>
      <c r="Y760" t="s">
        <v>13847</v>
      </c>
      <c r="Z760" t="s">
        <v>13848</v>
      </c>
      <c r="AA760" t="s">
        <v>13849</v>
      </c>
      <c r="AB760" t="s">
        <v>13850</v>
      </c>
      <c r="AC760" t="s">
        <v>13851</v>
      </c>
      <c r="AD760" t="s">
        <v>13852</v>
      </c>
      <c r="AE760" t="s">
        <v>13853</v>
      </c>
      <c r="AF760" t="s">
        <v>74</v>
      </c>
      <c r="AG760">
        <v>100</v>
      </c>
      <c r="AH760">
        <v>74</v>
      </c>
      <c r="AI760">
        <v>79</v>
      </c>
      <c r="AJ760">
        <v>0</v>
      </c>
      <c r="AK760">
        <v>37</v>
      </c>
      <c r="AL760" t="s">
        <v>1894</v>
      </c>
      <c r="AM760" t="s">
        <v>1895</v>
      </c>
      <c r="AN760" t="s">
        <v>1896</v>
      </c>
      <c r="AO760" t="s">
        <v>1897</v>
      </c>
      <c r="AP760" t="s">
        <v>1898</v>
      </c>
      <c r="AQ760" t="s">
        <v>74</v>
      </c>
      <c r="AR760" t="s">
        <v>1899</v>
      </c>
      <c r="AS760" t="s">
        <v>1900</v>
      </c>
      <c r="AT760" t="s">
        <v>13544</v>
      </c>
      <c r="AU760">
        <v>2009</v>
      </c>
      <c r="AV760">
        <v>56</v>
      </c>
      <c r="AW760">
        <v>7</v>
      </c>
      <c r="AX760" t="s">
        <v>74</v>
      </c>
      <c r="AY760" t="s">
        <v>74</v>
      </c>
      <c r="AZ760" t="s">
        <v>74</v>
      </c>
      <c r="BA760" t="s">
        <v>74</v>
      </c>
      <c r="BB760">
        <v>1143</v>
      </c>
      <c r="BC760">
        <v>1167</v>
      </c>
      <c r="BD760" t="s">
        <v>74</v>
      </c>
      <c r="BE760" t="s">
        <v>13854</v>
      </c>
      <c r="BF760" t="str">
        <f>HYPERLINK("http://dx.doi.org/10.1016/j.dsr.2009.04.001","http://dx.doi.org/10.1016/j.dsr.2009.04.001")</f>
        <v>http://dx.doi.org/10.1016/j.dsr.2009.04.001</v>
      </c>
      <c r="BG760" t="s">
        <v>74</v>
      </c>
      <c r="BH760" t="s">
        <v>74</v>
      </c>
      <c r="BI760">
        <v>25</v>
      </c>
      <c r="BJ760" t="s">
        <v>806</v>
      </c>
      <c r="BK760" t="s">
        <v>98</v>
      </c>
      <c r="BL760" t="s">
        <v>806</v>
      </c>
      <c r="BM760" t="s">
        <v>13855</v>
      </c>
      <c r="BN760" t="s">
        <v>74</v>
      </c>
      <c r="BO760" t="s">
        <v>1119</v>
      </c>
      <c r="BP760" t="s">
        <v>74</v>
      </c>
      <c r="BQ760" t="s">
        <v>74</v>
      </c>
      <c r="BR760" t="s">
        <v>101</v>
      </c>
      <c r="BS760" t="s">
        <v>13856</v>
      </c>
      <c r="BT760" t="str">
        <f>HYPERLINK("https%3A%2F%2Fwww.webofscience.com%2Fwos%2Fwoscc%2Ffull-record%2FWOS:000267912800007","View Full Record in Web of Science")</f>
        <v>View Full Record in Web of Science</v>
      </c>
    </row>
    <row r="761" spans="1:72" x14ac:dyDescent="0.15">
      <c r="A761" t="s">
        <v>72</v>
      </c>
      <c r="B761" t="s">
        <v>13857</v>
      </c>
      <c r="C761" t="s">
        <v>74</v>
      </c>
      <c r="D761" t="s">
        <v>74</v>
      </c>
      <c r="E761" t="s">
        <v>74</v>
      </c>
      <c r="F761" t="s">
        <v>13858</v>
      </c>
      <c r="G761" t="s">
        <v>74</v>
      </c>
      <c r="H761" t="s">
        <v>74</v>
      </c>
      <c r="I761" t="s">
        <v>13859</v>
      </c>
      <c r="J761" t="s">
        <v>7469</v>
      </c>
      <c r="K761" t="s">
        <v>74</v>
      </c>
      <c r="L761" t="s">
        <v>74</v>
      </c>
      <c r="M761" t="s">
        <v>78</v>
      </c>
      <c r="N761" t="s">
        <v>79</v>
      </c>
      <c r="O761" t="s">
        <v>74</v>
      </c>
      <c r="P761" t="s">
        <v>74</v>
      </c>
      <c r="Q761" t="s">
        <v>74</v>
      </c>
      <c r="R761" t="s">
        <v>74</v>
      </c>
      <c r="S761" t="s">
        <v>74</v>
      </c>
      <c r="T761" t="s">
        <v>13860</v>
      </c>
      <c r="U761" t="s">
        <v>13861</v>
      </c>
      <c r="V761" t="s">
        <v>13862</v>
      </c>
      <c r="W761" t="s">
        <v>13863</v>
      </c>
      <c r="X761" t="s">
        <v>13864</v>
      </c>
      <c r="Y761" t="s">
        <v>13865</v>
      </c>
      <c r="Z761" t="s">
        <v>13866</v>
      </c>
      <c r="AA761" t="s">
        <v>13867</v>
      </c>
      <c r="AB761" t="s">
        <v>13868</v>
      </c>
      <c r="AC761" t="s">
        <v>13869</v>
      </c>
      <c r="AD761" t="s">
        <v>13870</v>
      </c>
      <c r="AE761" t="s">
        <v>13871</v>
      </c>
      <c r="AF761" t="s">
        <v>74</v>
      </c>
      <c r="AG761">
        <v>72</v>
      </c>
      <c r="AH761">
        <v>64</v>
      </c>
      <c r="AI761">
        <v>71</v>
      </c>
      <c r="AJ761">
        <v>1</v>
      </c>
      <c r="AK761">
        <v>39</v>
      </c>
      <c r="AL761" t="s">
        <v>1894</v>
      </c>
      <c r="AM761" t="s">
        <v>1895</v>
      </c>
      <c r="AN761" t="s">
        <v>1896</v>
      </c>
      <c r="AO761" t="s">
        <v>7482</v>
      </c>
      <c r="AP761" t="s">
        <v>74</v>
      </c>
      <c r="AQ761" t="s">
        <v>74</v>
      </c>
      <c r="AR761" t="s">
        <v>7484</v>
      </c>
      <c r="AS761" t="s">
        <v>7485</v>
      </c>
      <c r="AT761" t="s">
        <v>13560</v>
      </c>
      <c r="AU761">
        <v>2009</v>
      </c>
      <c r="AV761">
        <v>56</v>
      </c>
      <c r="AW761">
        <v>15</v>
      </c>
      <c r="AX761" t="s">
        <v>74</v>
      </c>
      <c r="AY761" t="s">
        <v>74</v>
      </c>
      <c r="AZ761" t="s">
        <v>74</v>
      </c>
      <c r="BA761" t="s">
        <v>74</v>
      </c>
      <c r="BB761">
        <v>964</v>
      </c>
      <c r="BC761">
        <v>976</v>
      </c>
      <c r="BD761" t="s">
        <v>74</v>
      </c>
      <c r="BE761" t="s">
        <v>13872</v>
      </c>
      <c r="BF761" t="str">
        <f>HYPERLINK("http://dx.doi.org/10.1016/j.dsr2.2008.12.002","http://dx.doi.org/10.1016/j.dsr2.2008.12.002")</f>
        <v>http://dx.doi.org/10.1016/j.dsr2.2008.12.002</v>
      </c>
      <c r="BG761" t="s">
        <v>74</v>
      </c>
      <c r="BH761" t="s">
        <v>74</v>
      </c>
      <c r="BI761">
        <v>13</v>
      </c>
      <c r="BJ761" t="s">
        <v>806</v>
      </c>
      <c r="BK761" t="s">
        <v>98</v>
      </c>
      <c r="BL761" t="s">
        <v>806</v>
      </c>
      <c r="BM761" t="s">
        <v>13873</v>
      </c>
      <c r="BN761" t="s">
        <v>74</v>
      </c>
      <c r="BO761" t="s">
        <v>1381</v>
      </c>
      <c r="BP761" t="s">
        <v>74</v>
      </c>
      <c r="BQ761" t="s">
        <v>74</v>
      </c>
      <c r="BR761" t="s">
        <v>101</v>
      </c>
      <c r="BS761" t="s">
        <v>13874</v>
      </c>
      <c r="BT761" t="str">
        <f>HYPERLINK("https%3A%2F%2Fwww.webofscience.com%2Fwos%2Fwoscc%2Ffull-record%2FWOS:000268645000007","View Full Record in Web of Science")</f>
        <v>View Full Record in Web of Science</v>
      </c>
    </row>
    <row r="762" spans="1:72" x14ac:dyDescent="0.15">
      <c r="A762" t="s">
        <v>72</v>
      </c>
      <c r="B762" t="s">
        <v>13875</v>
      </c>
      <c r="C762" t="s">
        <v>74</v>
      </c>
      <c r="D762" t="s">
        <v>74</v>
      </c>
      <c r="E762" t="s">
        <v>74</v>
      </c>
      <c r="F762" t="s">
        <v>13876</v>
      </c>
      <c r="G762" t="s">
        <v>74</v>
      </c>
      <c r="H762" t="s">
        <v>74</v>
      </c>
      <c r="I762" t="s">
        <v>13877</v>
      </c>
      <c r="J762" t="s">
        <v>1924</v>
      </c>
      <c r="K762" t="s">
        <v>74</v>
      </c>
      <c r="L762" t="s">
        <v>74</v>
      </c>
      <c r="M762" t="s">
        <v>78</v>
      </c>
      <c r="N762" t="s">
        <v>79</v>
      </c>
      <c r="O762" t="s">
        <v>74</v>
      </c>
      <c r="P762" t="s">
        <v>74</v>
      </c>
      <c r="Q762" t="s">
        <v>74</v>
      </c>
      <c r="R762" t="s">
        <v>74</v>
      </c>
      <c r="S762" t="s">
        <v>74</v>
      </c>
      <c r="T762" t="s">
        <v>74</v>
      </c>
      <c r="U762" t="s">
        <v>74</v>
      </c>
      <c r="V762" t="s">
        <v>74</v>
      </c>
      <c r="W762" t="s">
        <v>13878</v>
      </c>
      <c r="X762" t="s">
        <v>13879</v>
      </c>
      <c r="Y762" t="s">
        <v>74</v>
      </c>
      <c r="Z762" t="s">
        <v>13880</v>
      </c>
      <c r="AA762" t="s">
        <v>13881</v>
      </c>
      <c r="AB762" t="s">
        <v>13882</v>
      </c>
      <c r="AC762" t="s">
        <v>13883</v>
      </c>
      <c r="AD762" t="s">
        <v>2800</v>
      </c>
      <c r="AE762" t="s">
        <v>13884</v>
      </c>
      <c r="AF762" t="s">
        <v>74</v>
      </c>
      <c r="AG762">
        <v>11</v>
      </c>
      <c r="AH762">
        <v>0</v>
      </c>
      <c r="AI762">
        <v>0</v>
      </c>
      <c r="AJ762">
        <v>0</v>
      </c>
      <c r="AK762">
        <v>1</v>
      </c>
      <c r="AL762" t="s">
        <v>1931</v>
      </c>
      <c r="AM762" t="s">
        <v>684</v>
      </c>
      <c r="AN762" t="s">
        <v>1932</v>
      </c>
      <c r="AO762" t="s">
        <v>1933</v>
      </c>
      <c r="AP762" t="s">
        <v>13885</v>
      </c>
      <c r="AQ762" t="s">
        <v>74</v>
      </c>
      <c r="AR762" t="s">
        <v>1934</v>
      </c>
      <c r="AS762" t="s">
        <v>1935</v>
      </c>
      <c r="AT762" t="s">
        <v>13544</v>
      </c>
      <c r="AU762">
        <v>2009</v>
      </c>
      <c r="AV762">
        <v>427</v>
      </c>
      <c r="AW762">
        <v>1</v>
      </c>
      <c r="AX762" t="s">
        <v>74</v>
      </c>
      <c r="AY762" t="s">
        <v>74</v>
      </c>
      <c r="AZ762" t="s">
        <v>74</v>
      </c>
      <c r="BA762" t="s">
        <v>74</v>
      </c>
      <c r="BB762">
        <v>887</v>
      </c>
      <c r="BC762">
        <v>890</v>
      </c>
      <c r="BD762" t="s">
        <v>74</v>
      </c>
      <c r="BE762" t="s">
        <v>13886</v>
      </c>
      <c r="BF762" t="str">
        <f>HYPERLINK("http://dx.doi.org/10.1134/S1028334X09050377","http://dx.doi.org/10.1134/S1028334X09050377")</f>
        <v>http://dx.doi.org/10.1134/S1028334X09050377</v>
      </c>
      <c r="BG762" t="s">
        <v>74</v>
      </c>
      <c r="BH762" t="s">
        <v>74</v>
      </c>
      <c r="BI762">
        <v>4</v>
      </c>
      <c r="BJ762" t="s">
        <v>464</v>
      </c>
      <c r="BK762" t="s">
        <v>98</v>
      </c>
      <c r="BL762" t="s">
        <v>465</v>
      </c>
      <c r="BM762" t="s">
        <v>13887</v>
      </c>
      <c r="BN762" t="s">
        <v>74</v>
      </c>
      <c r="BO762" t="s">
        <v>74</v>
      </c>
      <c r="BP762" t="s">
        <v>74</v>
      </c>
      <c r="BQ762" t="s">
        <v>74</v>
      </c>
      <c r="BR762" t="s">
        <v>101</v>
      </c>
      <c r="BS762" t="s">
        <v>13888</v>
      </c>
      <c r="BT762" t="str">
        <f>HYPERLINK("https%3A%2F%2Fwww.webofscience.com%2Fwos%2Fwoscc%2Ffull-record%2FWOS:000268308700037","View Full Record in Web of Science")</f>
        <v>View Full Record in Web of Science</v>
      </c>
    </row>
    <row r="763" spans="1:72" x14ac:dyDescent="0.15">
      <c r="A763" t="s">
        <v>72</v>
      </c>
      <c r="B763" t="s">
        <v>13889</v>
      </c>
      <c r="C763" t="s">
        <v>74</v>
      </c>
      <c r="D763" t="s">
        <v>74</v>
      </c>
      <c r="E763" t="s">
        <v>74</v>
      </c>
      <c r="F763" t="s">
        <v>13890</v>
      </c>
      <c r="G763" t="s">
        <v>74</v>
      </c>
      <c r="H763" t="s">
        <v>74</v>
      </c>
      <c r="I763" t="s">
        <v>13891</v>
      </c>
      <c r="J763" t="s">
        <v>13892</v>
      </c>
      <c r="K763" t="s">
        <v>74</v>
      </c>
      <c r="L763" t="s">
        <v>74</v>
      </c>
      <c r="M763" t="s">
        <v>78</v>
      </c>
      <c r="N763" t="s">
        <v>79</v>
      </c>
      <c r="O763" t="s">
        <v>74</v>
      </c>
      <c r="P763" t="s">
        <v>74</v>
      </c>
      <c r="Q763" t="s">
        <v>74</v>
      </c>
      <c r="R763" t="s">
        <v>74</v>
      </c>
      <c r="S763" t="s">
        <v>74</v>
      </c>
      <c r="T763" t="s">
        <v>13893</v>
      </c>
      <c r="U763" t="s">
        <v>13894</v>
      </c>
      <c r="V763" t="s">
        <v>13895</v>
      </c>
      <c r="W763" t="s">
        <v>13896</v>
      </c>
      <c r="X763" t="s">
        <v>8797</v>
      </c>
      <c r="Y763" t="s">
        <v>13897</v>
      </c>
      <c r="Z763" t="s">
        <v>13898</v>
      </c>
      <c r="AA763" t="s">
        <v>13899</v>
      </c>
      <c r="AB763" t="s">
        <v>13900</v>
      </c>
      <c r="AC763" t="s">
        <v>13901</v>
      </c>
      <c r="AD763" t="s">
        <v>13901</v>
      </c>
      <c r="AE763" t="s">
        <v>13902</v>
      </c>
      <c r="AF763" t="s">
        <v>74</v>
      </c>
      <c r="AG763">
        <v>49</v>
      </c>
      <c r="AH763">
        <v>21</v>
      </c>
      <c r="AI763">
        <v>23</v>
      </c>
      <c r="AJ763">
        <v>1</v>
      </c>
      <c r="AK763">
        <v>19</v>
      </c>
      <c r="AL763" t="s">
        <v>9993</v>
      </c>
      <c r="AM763" t="s">
        <v>9994</v>
      </c>
      <c r="AN763" t="s">
        <v>9995</v>
      </c>
      <c r="AO763" t="s">
        <v>13903</v>
      </c>
      <c r="AP763" t="s">
        <v>13904</v>
      </c>
      <c r="AQ763" t="s">
        <v>74</v>
      </c>
      <c r="AR763" t="s">
        <v>13905</v>
      </c>
      <c r="AS763" t="s">
        <v>13906</v>
      </c>
      <c r="AT763" t="s">
        <v>13544</v>
      </c>
      <c r="AU763">
        <v>2009</v>
      </c>
      <c r="AV763">
        <v>72</v>
      </c>
      <c r="AW763">
        <v>5</v>
      </c>
      <c r="AX763" t="s">
        <v>74</v>
      </c>
      <c r="AY763" t="s">
        <v>74</v>
      </c>
      <c r="AZ763" t="s">
        <v>74</v>
      </c>
      <c r="BA763" t="s">
        <v>74</v>
      </c>
      <c r="BB763">
        <v>1481</v>
      </c>
      <c r="BC763">
        <v>1488</v>
      </c>
      <c r="BD763" t="s">
        <v>74</v>
      </c>
      <c r="BE763" t="s">
        <v>13907</v>
      </c>
      <c r="BF763" t="str">
        <f>HYPERLINK("http://dx.doi.org/10.1016/j.ecoenv.2009.01.002","http://dx.doi.org/10.1016/j.ecoenv.2009.01.002")</f>
        <v>http://dx.doi.org/10.1016/j.ecoenv.2009.01.002</v>
      </c>
      <c r="BG763" t="s">
        <v>74</v>
      </c>
      <c r="BH763" t="s">
        <v>74</v>
      </c>
      <c r="BI763">
        <v>8</v>
      </c>
      <c r="BJ763" t="s">
        <v>13908</v>
      </c>
      <c r="BK763" t="s">
        <v>98</v>
      </c>
      <c r="BL763" t="s">
        <v>13909</v>
      </c>
      <c r="BM763" t="s">
        <v>13910</v>
      </c>
      <c r="BN763">
        <v>19246092</v>
      </c>
      <c r="BO763" t="s">
        <v>74</v>
      </c>
      <c r="BP763" t="s">
        <v>74</v>
      </c>
      <c r="BQ763" t="s">
        <v>74</v>
      </c>
      <c r="BR763" t="s">
        <v>101</v>
      </c>
      <c r="BS763" t="s">
        <v>13911</v>
      </c>
      <c r="BT763" t="str">
        <f>HYPERLINK("https%3A%2F%2Fwww.webofscience.com%2Fwos%2Fwoscc%2Ffull-record%2FWOS:000266759200022","View Full Record in Web of Science")</f>
        <v>View Full Record in Web of Science</v>
      </c>
    </row>
    <row r="764" spans="1:72" x14ac:dyDescent="0.15">
      <c r="A764" t="s">
        <v>72</v>
      </c>
      <c r="B764" t="s">
        <v>13912</v>
      </c>
      <c r="C764" t="s">
        <v>74</v>
      </c>
      <c r="D764" t="s">
        <v>74</v>
      </c>
      <c r="E764" t="s">
        <v>74</v>
      </c>
      <c r="F764" t="s">
        <v>13913</v>
      </c>
      <c r="G764" t="s">
        <v>74</v>
      </c>
      <c r="H764" t="s">
        <v>74</v>
      </c>
      <c r="I764" t="s">
        <v>13914</v>
      </c>
      <c r="J764" t="s">
        <v>13915</v>
      </c>
      <c r="K764" t="s">
        <v>74</v>
      </c>
      <c r="L764" t="s">
        <v>74</v>
      </c>
      <c r="M764" t="s">
        <v>78</v>
      </c>
      <c r="N764" t="s">
        <v>79</v>
      </c>
      <c r="O764" t="s">
        <v>74</v>
      </c>
      <c r="P764" t="s">
        <v>74</v>
      </c>
      <c r="Q764" t="s">
        <v>74</v>
      </c>
      <c r="R764" t="s">
        <v>74</v>
      </c>
      <c r="S764" t="s">
        <v>74</v>
      </c>
      <c r="T764" t="s">
        <v>13916</v>
      </c>
      <c r="U764" t="s">
        <v>13917</v>
      </c>
      <c r="V764" t="s">
        <v>13918</v>
      </c>
      <c r="W764" t="s">
        <v>13919</v>
      </c>
      <c r="X764" t="s">
        <v>13920</v>
      </c>
      <c r="Y764" t="s">
        <v>13921</v>
      </c>
      <c r="Z764" t="s">
        <v>13922</v>
      </c>
      <c r="AA764" t="s">
        <v>13923</v>
      </c>
      <c r="AB764" t="s">
        <v>13924</v>
      </c>
      <c r="AC764" t="s">
        <v>13925</v>
      </c>
      <c r="AD764" t="s">
        <v>13926</v>
      </c>
      <c r="AE764" t="s">
        <v>13927</v>
      </c>
      <c r="AF764" t="s">
        <v>74</v>
      </c>
      <c r="AG764">
        <v>29</v>
      </c>
      <c r="AH764">
        <v>47</v>
      </c>
      <c r="AI764">
        <v>51</v>
      </c>
      <c r="AJ764">
        <v>3</v>
      </c>
      <c r="AK764">
        <v>21</v>
      </c>
      <c r="AL764" t="s">
        <v>1978</v>
      </c>
      <c r="AM764" t="s">
        <v>1895</v>
      </c>
      <c r="AN764" t="s">
        <v>1979</v>
      </c>
      <c r="AO764" t="s">
        <v>13928</v>
      </c>
      <c r="AP764" t="s">
        <v>13929</v>
      </c>
      <c r="AQ764" t="s">
        <v>74</v>
      </c>
      <c r="AR764" t="s">
        <v>13930</v>
      </c>
      <c r="AS764" t="s">
        <v>13931</v>
      </c>
      <c r="AT764" t="s">
        <v>13544</v>
      </c>
      <c r="AU764">
        <v>2009</v>
      </c>
      <c r="AV764">
        <v>157</v>
      </c>
      <c r="AW764">
        <v>7</v>
      </c>
      <c r="AX764" t="s">
        <v>74</v>
      </c>
      <c r="AY764" t="s">
        <v>74</v>
      </c>
      <c r="AZ764" t="s">
        <v>74</v>
      </c>
      <c r="BA764" t="s">
        <v>74</v>
      </c>
      <c r="BB764">
        <v>2153</v>
      </c>
      <c r="BC764">
        <v>2158</v>
      </c>
      <c r="BD764" t="s">
        <v>74</v>
      </c>
      <c r="BE764" t="s">
        <v>13932</v>
      </c>
      <c r="BF764" t="str">
        <f>HYPERLINK("http://dx.doi.org/10.1016/j.envpol.2009.02.010","http://dx.doi.org/10.1016/j.envpol.2009.02.010")</f>
        <v>http://dx.doi.org/10.1016/j.envpol.2009.02.010</v>
      </c>
      <c r="BG764" t="s">
        <v>74</v>
      </c>
      <c r="BH764" t="s">
        <v>74</v>
      </c>
      <c r="BI764">
        <v>6</v>
      </c>
      <c r="BJ764" t="s">
        <v>515</v>
      </c>
      <c r="BK764" t="s">
        <v>98</v>
      </c>
      <c r="BL764" t="s">
        <v>516</v>
      </c>
      <c r="BM764" t="s">
        <v>13933</v>
      </c>
      <c r="BN764">
        <v>19269724</v>
      </c>
      <c r="BO764" t="s">
        <v>263</v>
      </c>
      <c r="BP764" t="s">
        <v>74</v>
      </c>
      <c r="BQ764" t="s">
        <v>74</v>
      </c>
      <c r="BR764" t="s">
        <v>101</v>
      </c>
      <c r="BS764" t="s">
        <v>13934</v>
      </c>
      <c r="BT764" t="str">
        <f>HYPERLINK("https%3A%2F%2Fwww.webofscience.com%2Fwos%2Fwoscc%2Ffull-record%2FWOS:000266350800024","View Full Record in Web of Science")</f>
        <v>View Full Record in Web of Science</v>
      </c>
    </row>
    <row r="765" spans="1:72" x14ac:dyDescent="0.15">
      <c r="A765" t="s">
        <v>72</v>
      </c>
      <c r="B765" t="s">
        <v>13935</v>
      </c>
      <c r="C765" t="s">
        <v>74</v>
      </c>
      <c r="D765" t="s">
        <v>74</v>
      </c>
      <c r="E765" t="s">
        <v>74</v>
      </c>
      <c r="F765" t="s">
        <v>13936</v>
      </c>
      <c r="G765" t="s">
        <v>74</v>
      </c>
      <c r="H765" t="s">
        <v>74</v>
      </c>
      <c r="I765" t="s">
        <v>13937</v>
      </c>
      <c r="J765" t="s">
        <v>13938</v>
      </c>
      <c r="K765" t="s">
        <v>74</v>
      </c>
      <c r="L765" t="s">
        <v>74</v>
      </c>
      <c r="M765" t="s">
        <v>78</v>
      </c>
      <c r="N765" t="s">
        <v>79</v>
      </c>
      <c r="O765" t="s">
        <v>74</v>
      </c>
      <c r="P765" t="s">
        <v>74</v>
      </c>
      <c r="Q765" t="s">
        <v>74</v>
      </c>
      <c r="R765" t="s">
        <v>74</v>
      </c>
      <c r="S765" t="s">
        <v>74</v>
      </c>
      <c r="T765" t="s">
        <v>13939</v>
      </c>
      <c r="U765" t="s">
        <v>13940</v>
      </c>
      <c r="V765" t="s">
        <v>13941</v>
      </c>
      <c r="W765" t="s">
        <v>13942</v>
      </c>
      <c r="X765" t="s">
        <v>13943</v>
      </c>
      <c r="Y765" t="s">
        <v>13944</v>
      </c>
      <c r="Z765" t="s">
        <v>13945</v>
      </c>
      <c r="AA765" t="s">
        <v>13946</v>
      </c>
      <c r="AB765" t="s">
        <v>13947</v>
      </c>
      <c r="AC765" t="s">
        <v>13948</v>
      </c>
      <c r="AD765" t="s">
        <v>13949</v>
      </c>
      <c r="AE765" t="s">
        <v>13950</v>
      </c>
      <c r="AF765" t="s">
        <v>74</v>
      </c>
      <c r="AG765">
        <v>40</v>
      </c>
      <c r="AH765">
        <v>20</v>
      </c>
      <c r="AI765">
        <v>24</v>
      </c>
      <c r="AJ765">
        <v>0</v>
      </c>
      <c r="AK765">
        <v>31</v>
      </c>
      <c r="AL765" t="s">
        <v>1184</v>
      </c>
      <c r="AM765" t="s">
        <v>1185</v>
      </c>
      <c r="AN765" t="s">
        <v>1186</v>
      </c>
      <c r="AO765" t="s">
        <v>13951</v>
      </c>
      <c r="AP765" t="s">
        <v>13952</v>
      </c>
      <c r="AQ765" t="s">
        <v>74</v>
      </c>
      <c r="AR765" t="s">
        <v>13953</v>
      </c>
      <c r="AS765" t="s">
        <v>13954</v>
      </c>
      <c r="AT765" t="s">
        <v>13544</v>
      </c>
      <c r="AU765">
        <v>2009</v>
      </c>
      <c r="AV765">
        <v>28</v>
      </c>
      <c r="AW765">
        <v>7</v>
      </c>
      <c r="AX765" t="s">
        <v>74</v>
      </c>
      <c r="AY765" t="s">
        <v>74</v>
      </c>
      <c r="AZ765" t="s">
        <v>74</v>
      </c>
      <c r="BA765" t="s">
        <v>74</v>
      </c>
      <c r="BB765">
        <v>1409</v>
      </c>
      <c r="BC765">
        <v>1415</v>
      </c>
      <c r="BD765" t="s">
        <v>74</v>
      </c>
      <c r="BE765" t="s">
        <v>13955</v>
      </c>
      <c r="BF765" t="str">
        <f>HYPERLINK("http://dx.doi.org/10.1897/08-434.1","http://dx.doi.org/10.1897/08-434.1")</f>
        <v>http://dx.doi.org/10.1897/08-434.1</v>
      </c>
      <c r="BG765" t="s">
        <v>74</v>
      </c>
      <c r="BH765" t="s">
        <v>74</v>
      </c>
      <c r="BI765">
        <v>7</v>
      </c>
      <c r="BJ765" t="s">
        <v>13908</v>
      </c>
      <c r="BK765" t="s">
        <v>98</v>
      </c>
      <c r="BL765" t="s">
        <v>13909</v>
      </c>
      <c r="BM765" t="s">
        <v>13956</v>
      </c>
      <c r="BN765">
        <v>19245286</v>
      </c>
      <c r="BO765" t="s">
        <v>74</v>
      </c>
      <c r="BP765" t="s">
        <v>74</v>
      </c>
      <c r="BQ765" t="s">
        <v>74</v>
      </c>
      <c r="BR765" t="s">
        <v>101</v>
      </c>
      <c r="BS765" t="s">
        <v>13957</v>
      </c>
      <c r="BT765" t="str">
        <f>HYPERLINK("https%3A%2F%2Fwww.webofscience.com%2Fwos%2Fwoscc%2Ffull-record%2FWOS:000266969500007","View Full Record in Web of Science")</f>
        <v>View Full Record in Web of Science</v>
      </c>
    </row>
    <row r="766" spans="1:72" x14ac:dyDescent="0.15">
      <c r="A766" t="s">
        <v>72</v>
      </c>
      <c r="B766" t="s">
        <v>13958</v>
      </c>
      <c r="C766" t="s">
        <v>74</v>
      </c>
      <c r="D766" t="s">
        <v>74</v>
      </c>
      <c r="E766" t="s">
        <v>74</v>
      </c>
      <c r="F766" t="s">
        <v>13959</v>
      </c>
      <c r="G766" t="s">
        <v>74</v>
      </c>
      <c r="H766" t="s">
        <v>74</v>
      </c>
      <c r="I766" t="s">
        <v>13960</v>
      </c>
      <c r="J766" t="s">
        <v>5064</v>
      </c>
      <c r="K766" t="s">
        <v>74</v>
      </c>
      <c r="L766" t="s">
        <v>74</v>
      </c>
      <c r="M766" t="s">
        <v>78</v>
      </c>
      <c r="N766" t="s">
        <v>79</v>
      </c>
      <c r="O766" t="s">
        <v>74</v>
      </c>
      <c r="P766" t="s">
        <v>74</v>
      </c>
      <c r="Q766" t="s">
        <v>74</v>
      </c>
      <c r="R766" t="s">
        <v>74</v>
      </c>
      <c r="S766" t="s">
        <v>74</v>
      </c>
      <c r="T766" t="s">
        <v>13961</v>
      </c>
      <c r="U766" t="s">
        <v>13962</v>
      </c>
      <c r="V766" t="s">
        <v>13963</v>
      </c>
      <c r="W766" t="s">
        <v>13964</v>
      </c>
      <c r="X766" t="s">
        <v>13965</v>
      </c>
      <c r="Y766" t="s">
        <v>13966</v>
      </c>
      <c r="Z766" t="s">
        <v>13967</v>
      </c>
      <c r="AA766" t="s">
        <v>13968</v>
      </c>
      <c r="AB766" t="s">
        <v>13969</v>
      </c>
      <c r="AC766" t="s">
        <v>13970</v>
      </c>
      <c r="AD766" t="s">
        <v>278</v>
      </c>
      <c r="AE766" t="s">
        <v>13971</v>
      </c>
      <c r="AF766" t="s">
        <v>74</v>
      </c>
      <c r="AG766">
        <v>42</v>
      </c>
      <c r="AH766">
        <v>88</v>
      </c>
      <c r="AI766">
        <v>106</v>
      </c>
      <c r="AJ766">
        <v>2</v>
      </c>
      <c r="AK766">
        <v>57</v>
      </c>
      <c r="AL766" t="s">
        <v>5077</v>
      </c>
      <c r="AM766" t="s">
        <v>5078</v>
      </c>
      <c r="AN766" t="s">
        <v>5079</v>
      </c>
      <c r="AO766" t="s">
        <v>5080</v>
      </c>
      <c r="AP766" t="s">
        <v>5081</v>
      </c>
      <c r="AQ766" t="s">
        <v>74</v>
      </c>
      <c r="AR766" t="s">
        <v>5064</v>
      </c>
      <c r="AS766" t="s">
        <v>5082</v>
      </c>
      <c r="AT766" t="s">
        <v>13544</v>
      </c>
      <c r="AU766">
        <v>2009</v>
      </c>
      <c r="AV766">
        <v>13</v>
      </c>
      <c r="AW766">
        <v>4</v>
      </c>
      <c r="AX766" t="s">
        <v>74</v>
      </c>
      <c r="AY766" t="s">
        <v>74</v>
      </c>
      <c r="AZ766" t="s">
        <v>74</v>
      </c>
      <c r="BA766" t="s">
        <v>74</v>
      </c>
      <c r="BB766">
        <v>679</v>
      </c>
      <c r="BC766">
        <v>685</v>
      </c>
      <c r="BD766" t="s">
        <v>74</v>
      </c>
      <c r="BE766" t="s">
        <v>13972</v>
      </c>
      <c r="BF766" t="str">
        <f>HYPERLINK("http://dx.doi.org/10.1007/s00792-009-0252-4","http://dx.doi.org/10.1007/s00792-009-0252-4")</f>
        <v>http://dx.doi.org/10.1007/s00792-009-0252-4</v>
      </c>
      <c r="BG766" t="s">
        <v>74</v>
      </c>
      <c r="BH766" t="s">
        <v>74</v>
      </c>
      <c r="BI766">
        <v>7</v>
      </c>
      <c r="BJ766" t="s">
        <v>5084</v>
      </c>
      <c r="BK766" t="s">
        <v>98</v>
      </c>
      <c r="BL766" t="s">
        <v>5084</v>
      </c>
      <c r="BM766" t="s">
        <v>13973</v>
      </c>
      <c r="BN766">
        <v>19472032</v>
      </c>
      <c r="BO766" t="s">
        <v>74</v>
      </c>
      <c r="BP766" t="s">
        <v>74</v>
      </c>
      <c r="BQ766" t="s">
        <v>74</v>
      </c>
      <c r="BR766" t="s">
        <v>101</v>
      </c>
      <c r="BS766" t="s">
        <v>13974</v>
      </c>
      <c r="BT766" t="str">
        <f>HYPERLINK("https%3A%2F%2Fwww.webofscience.com%2Fwos%2Fwoscc%2Ffull-record%2FWOS:000267781200010","View Full Record in Web of Science")</f>
        <v>View Full Record in Web of Science</v>
      </c>
    </row>
    <row r="767" spans="1:72" x14ac:dyDescent="0.15">
      <c r="A767" t="s">
        <v>72</v>
      </c>
      <c r="B767" t="s">
        <v>13975</v>
      </c>
      <c r="C767" t="s">
        <v>74</v>
      </c>
      <c r="D767" t="s">
        <v>74</v>
      </c>
      <c r="E767" t="s">
        <v>74</v>
      </c>
      <c r="F767" t="s">
        <v>13976</v>
      </c>
      <c r="G767" t="s">
        <v>74</v>
      </c>
      <c r="H767" t="s">
        <v>74</v>
      </c>
      <c r="I767" t="s">
        <v>13977</v>
      </c>
      <c r="J767" t="s">
        <v>13978</v>
      </c>
      <c r="K767" t="s">
        <v>74</v>
      </c>
      <c r="L767" t="s">
        <v>74</v>
      </c>
      <c r="M767" t="s">
        <v>78</v>
      </c>
      <c r="N767" t="s">
        <v>79</v>
      </c>
      <c r="O767" t="s">
        <v>74</v>
      </c>
      <c r="P767" t="s">
        <v>74</v>
      </c>
      <c r="Q767" t="s">
        <v>74</v>
      </c>
      <c r="R767" t="s">
        <v>74</v>
      </c>
      <c r="S767" t="s">
        <v>74</v>
      </c>
      <c r="T767" t="s">
        <v>74</v>
      </c>
      <c r="U767" t="s">
        <v>13979</v>
      </c>
      <c r="V767" t="s">
        <v>13980</v>
      </c>
      <c r="W767" t="s">
        <v>13981</v>
      </c>
      <c r="X767" t="s">
        <v>13982</v>
      </c>
      <c r="Y767" t="s">
        <v>13983</v>
      </c>
      <c r="Z767" t="s">
        <v>13984</v>
      </c>
      <c r="AA767" t="s">
        <v>74</v>
      </c>
      <c r="AB767" t="s">
        <v>13985</v>
      </c>
      <c r="AC767" t="s">
        <v>13986</v>
      </c>
      <c r="AD767" t="s">
        <v>13987</v>
      </c>
      <c r="AE767" t="s">
        <v>13988</v>
      </c>
      <c r="AF767" t="s">
        <v>74</v>
      </c>
      <c r="AG767">
        <v>32</v>
      </c>
      <c r="AH767">
        <v>33</v>
      </c>
      <c r="AI767">
        <v>36</v>
      </c>
      <c r="AJ767">
        <v>1</v>
      </c>
      <c r="AK767">
        <v>5</v>
      </c>
      <c r="AL767" t="s">
        <v>1850</v>
      </c>
      <c r="AM767" t="s">
        <v>1851</v>
      </c>
      <c r="AN767" t="s">
        <v>1852</v>
      </c>
      <c r="AO767" t="s">
        <v>13989</v>
      </c>
      <c r="AP767" t="s">
        <v>13990</v>
      </c>
      <c r="AQ767" t="s">
        <v>74</v>
      </c>
      <c r="AR767" t="s">
        <v>13991</v>
      </c>
      <c r="AS767" t="s">
        <v>13992</v>
      </c>
      <c r="AT767" t="s">
        <v>13544</v>
      </c>
      <c r="AU767">
        <v>2009</v>
      </c>
      <c r="AV767">
        <v>54</v>
      </c>
      <c r="AW767">
        <v>4</v>
      </c>
      <c r="AX767" t="s">
        <v>74</v>
      </c>
      <c r="AY767" t="s">
        <v>74</v>
      </c>
      <c r="AZ767" t="s">
        <v>74</v>
      </c>
      <c r="BA767" t="s">
        <v>74</v>
      </c>
      <c r="BB767">
        <v>343</v>
      </c>
      <c r="BC767">
        <v>348</v>
      </c>
      <c r="BD767" t="s">
        <v>74</v>
      </c>
      <c r="BE767" t="s">
        <v>13993</v>
      </c>
      <c r="BF767" t="str">
        <f>HYPERLINK("http://dx.doi.org/10.1007/s12223-009-0049-y","http://dx.doi.org/10.1007/s12223-009-0049-y")</f>
        <v>http://dx.doi.org/10.1007/s12223-009-0049-y</v>
      </c>
      <c r="BG767" t="s">
        <v>74</v>
      </c>
      <c r="BH767" t="s">
        <v>74</v>
      </c>
      <c r="BI767">
        <v>6</v>
      </c>
      <c r="BJ767" t="s">
        <v>1433</v>
      </c>
      <c r="BK767" t="s">
        <v>98</v>
      </c>
      <c r="BL767" t="s">
        <v>1433</v>
      </c>
      <c r="BM767" t="s">
        <v>13994</v>
      </c>
      <c r="BN767">
        <v>19826922</v>
      </c>
      <c r="BO767" t="s">
        <v>74</v>
      </c>
      <c r="BP767" t="s">
        <v>74</v>
      </c>
      <c r="BQ767" t="s">
        <v>74</v>
      </c>
      <c r="BR767" t="s">
        <v>101</v>
      </c>
      <c r="BS767" t="s">
        <v>13995</v>
      </c>
      <c r="BT767" t="str">
        <f>HYPERLINK("https%3A%2F%2Fwww.webofscience.com%2Fwos%2Fwoscc%2Ffull-record%2FWOS:000270780400007","View Full Record in Web of Science")</f>
        <v>View Full Record in Web of Science</v>
      </c>
    </row>
    <row r="768" spans="1:72" x14ac:dyDescent="0.15">
      <c r="A768" t="s">
        <v>72</v>
      </c>
      <c r="B768" t="s">
        <v>13996</v>
      </c>
      <c r="C768" t="s">
        <v>74</v>
      </c>
      <c r="D768" t="s">
        <v>74</v>
      </c>
      <c r="E768" t="s">
        <v>74</v>
      </c>
      <c r="F768" t="s">
        <v>13997</v>
      </c>
      <c r="G768" t="s">
        <v>74</v>
      </c>
      <c r="H768" t="s">
        <v>74</v>
      </c>
      <c r="I768" t="s">
        <v>13998</v>
      </c>
      <c r="J768" t="s">
        <v>5163</v>
      </c>
      <c r="K768" t="s">
        <v>74</v>
      </c>
      <c r="L768" t="s">
        <v>74</v>
      </c>
      <c r="M768" t="s">
        <v>78</v>
      </c>
      <c r="N768" t="s">
        <v>79</v>
      </c>
      <c r="O768" t="s">
        <v>74</v>
      </c>
      <c r="P768" t="s">
        <v>74</v>
      </c>
      <c r="Q768" t="s">
        <v>74</v>
      </c>
      <c r="R768" t="s">
        <v>74</v>
      </c>
      <c r="S768" t="s">
        <v>74</v>
      </c>
      <c r="T768" t="s">
        <v>13999</v>
      </c>
      <c r="U768" t="s">
        <v>14000</v>
      </c>
      <c r="V768" t="s">
        <v>14001</v>
      </c>
      <c r="W768" t="s">
        <v>14002</v>
      </c>
      <c r="X768" t="s">
        <v>14003</v>
      </c>
      <c r="Y768" t="s">
        <v>14004</v>
      </c>
      <c r="Z768" t="s">
        <v>14005</v>
      </c>
      <c r="AA768" t="s">
        <v>74</v>
      </c>
      <c r="AB768" t="s">
        <v>14006</v>
      </c>
      <c r="AC768" t="s">
        <v>14007</v>
      </c>
      <c r="AD768" t="s">
        <v>14008</v>
      </c>
      <c r="AE768" t="s">
        <v>14009</v>
      </c>
      <c r="AF768" t="s">
        <v>74</v>
      </c>
      <c r="AG768">
        <v>28</v>
      </c>
      <c r="AH768">
        <v>32</v>
      </c>
      <c r="AI768">
        <v>32</v>
      </c>
      <c r="AJ768">
        <v>0</v>
      </c>
      <c r="AK768">
        <v>4</v>
      </c>
      <c r="AL768" t="s">
        <v>1226</v>
      </c>
      <c r="AM768" t="s">
        <v>684</v>
      </c>
      <c r="AN768" t="s">
        <v>1227</v>
      </c>
      <c r="AO768" t="s">
        <v>5174</v>
      </c>
      <c r="AP768" t="s">
        <v>5175</v>
      </c>
      <c r="AQ768" t="s">
        <v>74</v>
      </c>
      <c r="AR768" t="s">
        <v>5176</v>
      </c>
      <c r="AS768" t="s">
        <v>5177</v>
      </c>
      <c r="AT768" t="s">
        <v>13544</v>
      </c>
      <c r="AU768">
        <v>2009</v>
      </c>
      <c r="AV768">
        <v>146</v>
      </c>
      <c r="AW768">
        <v>4</v>
      </c>
      <c r="AX768" t="s">
        <v>74</v>
      </c>
      <c r="AY768" t="s">
        <v>74</v>
      </c>
      <c r="AZ768" t="s">
        <v>74</v>
      </c>
      <c r="BA768" t="s">
        <v>74</v>
      </c>
      <c r="BB768">
        <v>617</v>
      </c>
      <c r="BC768">
        <v>622</v>
      </c>
      <c r="BD768" t="s">
        <v>74</v>
      </c>
      <c r="BE768" t="s">
        <v>14010</v>
      </c>
      <c r="BF768" t="str">
        <f>HYPERLINK("http://dx.doi.org/10.1017/S0016756809006426","http://dx.doi.org/10.1017/S0016756809006426")</f>
        <v>http://dx.doi.org/10.1017/S0016756809006426</v>
      </c>
      <c r="BG768" t="s">
        <v>74</v>
      </c>
      <c r="BH768" t="s">
        <v>74</v>
      </c>
      <c r="BI768">
        <v>6</v>
      </c>
      <c r="BJ768" t="s">
        <v>464</v>
      </c>
      <c r="BK768" t="s">
        <v>98</v>
      </c>
      <c r="BL768" t="s">
        <v>465</v>
      </c>
      <c r="BM768" t="s">
        <v>14011</v>
      </c>
      <c r="BN768" t="s">
        <v>74</v>
      </c>
      <c r="BO768" t="s">
        <v>74</v>
      </c>
      <c r="BP768" t="s">
        <v>74</v>
      </c>
      <c r="BQ768" t="s">
        <v>74</v>
      </c>
      <c r="BR768" t="s">
        <v>101</v>
      </c>
      <c r="BS768" t="s">
        <v>14012</v>
      </c>
      <c r="BT768" t="str">
        <f>HYPERLINK("https%3A%2F%2Fwww.webofscience.com%2Fwos%2Fwoscc%2Ffull-record%2FWOS:000267686600011","View Full Record in Web of Science")</f>
        <v>View Full Record in Web of Science</v>
      </c>
    </row>
    <row r="769" spans="1:72" x14ac:dyDescent="0.15">
      <c r="A769" t="s">
        <v>72</v>
      </c>
      <c r="B769" t="s">
        <v>14013</v>
      </c>
      <c r="C769" t="s">
        <v>74</v>
      </c>
      <c r="D769" t="s">
        <v>74</v>
      </c>
      <c r="E769" t="s">
        <v>74</v>
      </c>
      <c r="F769" t="s">
        <v>14014</v>
      </c>
      <c r="G769" t="s">
        <v>74</v>
      </c>
      <c r="H769" t="s">
        <v>74</v>
      </c>
      <c r="I769" t="s">
        <v>14015</v>
      </c>
      <c r="J769" t="s">
        <v>5390</v>
      </c>
      <c r="K769" t="s">
        <v>74</v>
      </c>
      <c r="L769" t="s">
        <v>74</v>
      </c>
      <c r="M769" t="s">
        <v>78</v>
      </c>
      <c r="N769" t="s">
        <v>297</v>
      </c>
      <c r="O769" t="s">
        <v>74</v>
      </c>
      <c r="P769" t="s">
        <v>74</v>
      </c>
      <c r="Q769" t="s">
        <v>74</v>
      </c>
      <c r="R769" t="s">
        <v>74</v>
      </c>
      <c r="S769" t="s">
        <v>74</v>
      </c>
      <c r="T769" t="s">
        <v>14016</v>
      </c>
      <c r="U769" t="s">
        <v>14017</v>
      </c>
      <c r="V769" t="s">
        <v>14018</v>
      </c>
      <c r="W769" t="s">
        <v>14019</v>
      </c>
      <c r="X769" t="s">
        <v>725</v>
      </c>
      <c r="Y769" t="s">
        <v>14020</v>
      </c>
      <c r="Z769" t="s">
        <v>14021</v>
      </c>
      <c r="AA769" t="s">
        <v>14022</v>
      </c>
      <c r="AB769" t="s">
        <v>74</v>
      </c>
      <c r="AC769" t="s">
        <v>14023</v>
      </c>
      <c r="AD769" t="s">
        <v>14024</v>
      </c>
      <c r="AE769" t="s">
        <v>14025</v>
      </c>
      <c r="AF769" t="s">
        <v>74</v>
      </c>
      <c r="AG769">
        <v>120</v>
      </c>
      <c r="AH769">
        <v>206</v>
      </c>
      <c r="AI769">
        <v>230</v>
      </c>
      <c r="AJ769">
        <v>40</v>
      </c>
      <c r="AK769">
        <v>448</v>
      </c>
      <c r="AL769" t="s">
        <v>1184</v>
      </c>
      <c r="AM769" t="s">
        <v>1185</v>
      </c>
      <c r="AN769" t="s">
        <v>1186</v>
      </c>
      <c r="AO769" t="s">
        <v>5401</v>
      </c>
      <c r="AP769" t="s">
        <v>5402</v>
      </c>
      <c r="AQ769" t="s">
        <v>74</v>
      </c>
      <c r="AR769" t="s">
        <v>5403</v>
      </c>
      <c r="AS769" t="s">
        <v>5404</v>
      </c>
      <c r="AT769" t="s">
        <v>13544</v>
      </c>
      <c r="AU769">
        <v>2009</v>
      </c>
      <c r="AV769">
        <v>15</v>
      </c>
      <c r="AW769">
        <v>7</v>
      </c>
      <c r="AX769" t="s">
        <v>74</v>
      </c>
      <c r="AY769" t="s">
        <v>74</v>
      </c>
      <c r="AZ769" t="s">
        <v>74</v>
      </c>
      <c r="BA769" t="s">
        <v>74</v>
      </c>
      <c r="BB769">
        <v>1618</v>
      </c>
      <c r="BC769">
        <v>1630</v>
      </c>
      <c r="BD769" t="s">
        <v>74</v>
      </c>
      <c r="BE769" t="s">
        <v>14026</v>
      </c>
      <c r="BF769" t="str">
        <f>HYPERLINK("http://dx.doi.org/10.1111/j.1365-2486.2009.01909.x","http://dx.doi.org/10.1111/j.1365-2486.2009.01909.x")</f>
        <v>http://dx.doi.org/10.1111/j.1365-2486.2009.01909.x</v>
      </c>
      <c r="BG769" t="s">
        <v>74</v>
      </c>
      <c r="BH769" t="s">
        <v>74</v>
      </c>
      <c r="BI769">
        <v>13</v>
      </c>
      <c r="BJ769" t="s">
        <v>5406</v>
      </c>
      <c r="BK769" t="s">
        <v>98</v>
      </c>
      <c r="BL769" t="s">
        <v>3115</v>
      </c>
      <c r="BM769" t="s">
        <v>14027</v>
      </c>
      <c r="BN769" t="s">
        <v>74</v>
      </c>
      <c r="BO769" t="s">
        <v>74</v>
      </c>
      <c r="BP769" t="s">
        <v>74</v>
      </c>
      <c r="BQ769" t="s">
        <v>74</v>
      </c>
      <c r="BR769" t="s">
        <v>101</v>
      </c>
      <c r="BS769" t="s">
        <v>14028</v>
      </c>
      <c r="BT769" t="str">
        <f>HYPERLINK("https%3A%2F%2Fwww.webofscience.com%2Fwos%2Fwoscc%2Ffull-record%2FWOS:000266700000002","View Full Record in Web of Science")</f>
        <v>View Full Record in Web of Science</v>
      </c>
    </row>
    <row r="770" spans="1:72" x14ac:dyDescent="0.15">
      <c r="A770" t="s">
        <v>72</v>
      </c>
      <c r="B770" t="s">
        <v>14029</v>
      </c>
      <c r="C770" t="s">
        <v>74</v>
      </c>
      <c r="D770" t="s">
        <v>74</v>
      </c>
      <c r="E770" t="s">
        <v>74</v>
      </c>
      <c r="F770" t="s">
        <v>14030</v>
      </c>
      <c r="G770" t="s">
        <v>74</v>
      </c>
      <c r="H770" t="s">
        <v>74</v>
      </c>
      <c r="I770" t="s">
        <v>14031</v>
      </c>
      <c r="J770" t="s">
        <v>5390</v>
      </c>
      <c r="K770" t="s">
        <v>74</v>
      </c>
      <c r="L770" t="s">
        <v>74</v>
      </c>
      <c r="M770" t="s">
        <v>78</v>
      </c>
      <c r="N770" t="s">
        <v>79</v>
      </c>
      <c r="O770" t="s">
        <v>74</v>
      </c>
      <c r="P770" t="s">
        <v>74</v>
      </c>
      <c r="Q770" t="s">
        <v>74</v>
      </c>
      <c r="R770" t="s">
        <v>74</v>
      </c>
      <c r="S770" t="s">
        <v>74</v>
      </c>
      <c r="T770" t="s">
        <v>14032</v>
      </c>
      <c r="U770" t="s">
        <v>14033</v>
      </c>
      <c r="V770" t="s">
        <v>14034</v>
      </c>
      <c r="W770" t="s">
        <v>14035</v>
      </c>
      <c r="X770" t="s">
        <v>14036</v>
      </c>
      <c r="Y770" t="s">
        <v>14037</v>
      </c>
      <c r="Z770" t="s">
        <v>14038</v>
      </c>
      <c r="AA770" t="s">
        <v>3176</v>
      </c>
      <c r="AB770" t="s">
        <v>3177</v>
      </c>
      <c r="AC770" t="s">
        <v>3178</v>
      </c>
      <c r="AD770" t="s">
        <v>1629</v>
      </c>
      <c r="AE770" t="s">
        <v>14039</v>
      </c>
      <c r="AF770" t="s">
        <v>74</v>
      </c>
      <c r="AG770">
        <v>54</v>
      </c>
      <c r="AH770">
        <v>56</v>
      </c>
      <c r="AI770">
        <v>59</v>
      </c>
      <c r="AJ770">
        <v>2</v>
      </c>
      <c r="AK770">
        <v>44</v>
      </c>
      <c r="AL770" t="s">
        <v>1184</v>
      </c>
      <c r="AM770" t="s">
        <v>1185</v>
      </c>
      <c r="AN770" t="s">
        <v>1186</v>
      </c>
      <c r="AO770" t="s">
        <v>5401</v>
      </c>
      <c r="AP770" t="s">
        <v>5402</v>
      </c>
      <c r="AQ770" t="s">
        <v>74</v>
      </c>
      <c r="AR770" t="s">
        <v>5403</v>
      </c>
      <c r="AS770" t="s">
        <v>5404</v>
      </c>
      <c r="AT770" t="s">
        <v>13544</v>
      </c>
      <c r="AU770">
        <v>2009</v>
      </c>
      <c r="AV770">
        <v>15</v>
      </c>
      <c r="AW770">
        <v>7</v>
      </c>
      <c r="AX770" t="s">
        <v>74</v>
      </c>
      <c r="AY770" t="s">
        <v>74</v>
      </c>
      <c r="AZ770" t="s">
        <v>74</v>
      </c>
      <c r="BA770" t="s">
        <v>74</v>
      </c>
      <c r="BB770">
        <v>1640</v>
      </c>
      <c r="BC770">
        <v>1651</v>
      </c>
      <c r="BD770" t="s">
        <v>74</v>
      </c>
      <c r="BE770" t="s">
        <v>14040</v>
      </c>
      <c r="BF770" t="str">
        <f>HYPERLINK("http://dx.doi.org/10.1111/j.1365-2486.2009.01919.x","http://dx.doi.org/10.1111/j.1365-2486.2009.01919.x")</f>
        <v>http://dx.doi.org/10.1111/j.1365-2486.2009.01919.x</v>
      </c>
      <c r="BG770" t="s">
        <v>74</v>
      </c>
      <c r="BH770" t="s">
        <v>74</v>
      </c>
      <c r="BI770">
        <v>12</v>
      </c>
      <c r="BJ770" t="s">
        <v>5406</v>
      </c>
      <c r="BK770" t="s">
        <v>98</v>
      </c>
      <c r="BL770" t="s">
        <v>3115</v>
      </c>
      <c r="BM770" t="s">
        <v>14027</v>
      </c>
      <c r="BN770" t="s">
        <v>74</v>
      </c>
      <c r="BO770" t="s">
        <v>74</v>
      </c>
      <c r="BP770" t="s">
        <v>74</v>
      </c>
      <c r="BQ770" t="s">
        <v>74</v>
      </c>
      <c r="BR770" t="s">
        <v>101</v>
      </c>
      <c r="BS770" t="s">
        <v>14041</v>
      </c>
      <c r="BT770" t="str">
        <f>HYPERLINK("https%3A%2F%2Fwww.webofscience.com%2Fwos%2Fwoscc%2Ffull-record%2FWOS:000266700000004","View Full Record in Web of Science")</f>
        <v>View Full Record in Web of Science</v>
      </c>
    </row>
    <row r="771" spans="1:72" x14ac:dyDescent="0.15">
      <c r="A771" t="s">
        <v>72</v>
      </c>
      <c r="B771" t="s">
        <v>14042</v>
      </c>
      <c r="C771" t="s">
        <v>74</v>
      </c>
      <c r="D771" t="s">
        <v>74</v>
      </c>
      <c r="E771" t="s">
        <v>74</v>
      </c>
      <c r="F771" t="s">
        <v>14043</v>
      </c>
      <c r="G771" t="s">
        <v>74</v>
      </c>
      <c r="H771" t="s">
        <v>74</v>
      </c>
      <c r="I771" t="s">
        <v>14044</v>
      </c>
      <c r="J771" t="s">
        <v>5390</v>
      </c>
      <c r="K771" t="s">
        <v>74</v>
      </c>
      <c r="L771" t="s">
        <v>74</v>
      </c>
      <c r="M771" t="s">
        <v>78</v>
      </c>
      <c r="N771" t="s">
        <v>79</v>
      </c>
      <c r="O771" t="s">
        <v>74</v>
      </c>
      <c r="P771" t="s">
        <v>74</v>
      </c>
      <c r="Q771" t="s">
        <v>74</v>
      </c>
      <c r="R771" t="s">
        <v>74</v>
      </c>
      <c r="S771" t="s">
        <v>74</v>
      </c>
      <c r="T771" t="s">
        <v>14045</v>
      </c>
      <c r="U771" t="s">
        <v>14046</v>
      </c>
      <c r="V771" t="s">
        <v>14047</v>
      </c>
      <c r="W771" t="s">
        <v>14048</v>
      </c>
      <c r="X771" t="s">
        <v>14049</v>
      </c>
      <c r="Y771" t="s">
        <v>14050</v>
      </c>
      <c r="Z771" t="s">
        <v>14051</v>
      </c>
      <c r="AA771" t="s">
        <v>14052</v>
      </c>
      <c r="AB771" t="s">
        <v>14053</v>
      </c>
      <c r="AC771" t="s">
        <v>14054</v>
      </c>
      <c r="AD771" t="s">
        <v>14055</v>
      </c>
      <c r="AE771" t="s">
        <v>14056</v>
      </c>
      <c r="AF771" t="s">
        <v>74</v>
      </c>
      <c r="AG771">
        <v>42</v>
      </c>
      <c r="AH771">
        <v>68</v>
      </c>
      <c r="AI771">
        <v>72</v>
      </c>
      <c r="AJ771">
        <v>1</v>
      </c>
      <c r="AK771">
        <v>16</v>
      </c>
      <c r="AL771" t="s">
        <v>1184</v>
      </c>
      <c r="AM771" t="s">
        <v>1185</v>
      </c>
      <c r="AN771" t="s">
        <v>1186</v>
      </c>
      <c r="AO771" t="s">
        <v>5401</v>
      </c>
      <c r="AP771" t="s">
        <v>5402</v>
      </c>
      <c r="AQ771" t="s">
        <v>74</v>
      </c>
      <c r="AR771" t="s">
        <v>5403</v>
      </c>
      <c r="AS771" t="s">
        <v>5404</v>
      </c>
      <c r="AT771" t="s">
        <v>13544</v>
      </c>
      <c r="AU771">
        <v>2009</v>
      </c>
      <c r="AV771">
        <v>15</v>
      </c>
      <c r="AW771">
        <v>7</v>
      </c>
      <c r="AX771" t="s">
        <v>74</v>
      </c>
      <c r="AY771" t="s">
        <v>74</v>
      </c>
      <c r="AZ771" t="s">
        <v>74</v>
      </c>
      <c r="BA771" t="s">
        <v>74</v>
      </c>
      <c r="BB771">
        <v>1685</v>
      </c>
      <c r="BC771">
        <v>1693</v>
      </c>
      <c r="BD771" t="s">
        <v>74</v>
      </c>
      <c r="BE771" t="s">
        <v>14057</v>
      </c>
      <c r="BF771" t="str">
        <f>HYPERLINK("http://dx.doi.org/10.1111/j.1365-2486.2009.01906.x","http://dx.doi.org/10.1111/j.1365-2486.2009.01906.x")</f>
        <v>http://dx.doi.org/10.1111/j.1365-2486.2009.01906.x</v>
      </c>
      <c r="BG771" t="s">
        <v>74</v>
      </c>
      <c r="BH771" t="s">
        <v>74</v>
      </c>
      <c r="BI771">
        <v>9</v>
      </c>
      <c r="BJ771" t="s">
        <v>5406</v>
      </c>
      <c r="BK771" t="s">
        <v>98</v>
      </c>
      <c r="BL771" t="s">
        <v>3115</v>
      </c>
      <c r="BM771" t="s">
        <v>14027</v>
      </c>
      <c r="BN771" t="s">
        <v>74</v>
      </c>
      <c r="BO771" t="s">
        <v>74</v>
      </c>
      <c r="BP771" t="s">
        <v>74</v>
      </c>
      <c r="BQ771" t="s">
        <v>74</v>
      </c>
      <c r="BR771" t="s">
        <v>101</v>
      </c>
      <c r="BS771" t="s">
        <v>14058</v>
      </c>
      <c r="BT771" t="str">
        <f>HYPERLINK("https%3A%2F%2Fwww.webofscience.com%2Fwos%2Fwoscc%2Ffull-record%2FWOS:000266700000008","View Full Record in Web of Science")</f>
        <v>View Full Record in Web of Science</v>
      </c>
    </row>
    <row r="772" spans="1:72" x14ac:dyDescent="0.15">
      <c r="A772" t="s">
        <v>72</v>
      </c>
      <c r="B772" t="s">
        <v>14059</v>
      </c>
      <c r="C772" t="s">
        <v>74</v>
      </c>
      <c r="D772" t="s">
        <v>74</v>
      </c>
      <c r="E772" t="s">
        <v>74</v>
      </c>
      <c r="F772" t="s">
        <v>14060</v>
      </c>
      <c r="G772" t="s">
        <v>74</v>
      </c>
      <c r="H772" t="s">
        <v>74</v>
      </c>
      <c r="I772" t="s">
        <v>14061</v>
      </c>
      <c r="J772" t="s">
        <v>5390</v>
      </c>
      <c r="K772" t="s">
        <v>74</v>
      </c>
      <c r="L772" t="s">
        <v>74</v>
      </c>
      <c r="M772" t="s">
        <v>78</v>
      </c>
      <c r="N772" t="s">
        <v>79</v>
      </c>
      <c r="O772" t="s">
        <v>74</v>
      </c>
      <c r="P772" t="s">
        <v>74</v>
      </c>
      <c r="Q772" t="s">
        <v>74</v>
      </c>
      <c r="R772" t="s">
        <v>74</v>
      </c>
      <c r="S772" t="s">
        <v>74</v>
      </c>
      <c r="T772" t="s">
        <v>14062</v>
      </c>
      <c r="U772" t="s">
        <v>14063</v>
      </c>
      <c r="V772" t="s">
        <v>14064</v>
      </c>
      <c r="W772" t="s">
        <v>14065</v>
      </c>
      <c r="X772" t="s">
        <v>14066</v>
      </c>
      <c r="Y772" t="s">
        <v>14067</v>
      </c>
      <c r="Z772" t="s">
        <v>2537</v>
      </c>
      <c r="AA772" t="s">
        <v>14068</v>
      </c>
      <c r="AB772" t="s">
        <v>14069</v>
      </c>
      <c r="AC772" t="s">
        <v>14070</v>
      </c>
      <c r="AD772" t="s">
        <v>14071</v>
      </c>
      <c r="AE772" t="s">
        <v>14072</v>
      </c>
      <c r="AF772" t="s">
        <v>74</v>
      </c>
      <c r="AG772">
        <v>46</v>
      </c>
      <c r="AH772">
        <v>30</v>
      </c>
      <c r="AI772">
        <v>33</v>
      </c>
      <c r="AJ772">
        <v>0</v>
      </c>
      <c r="AK772">
        <v>21</v>
      </c>
      <c r="AL772" t="s">
        <v>1184</v>
      </c>
      <c r="AM772" t="s">
        <v>1185</v>
      </c>
      <c r="AN772" t="s">
        <v>1186</v>
      </c>
      <c r="AO772" t="s">
        <v>5401</v>
      </c>
      <c r="AP772" t="s">
        <v>5402</v>
      </c>
      <c r="AQ772" t="s">
        <v>74</v>
      </c>
      <c r="AR772" t="s">
        <v>5403</v>
      </c>
      <c r="AS772" t="s">
        <v>5404</v>
      </c>
      <c r="AT772" t="s">
        <v>13544</v>
      </c>
      <c r="AU772">
        <v>2009</v>
      </c>
      <c r="AV772">
        <v>15</v>
      </c>
      <c r="AW772">
        <v>7</v>
      </c>
      <c r="AX772" t="s">
        <v>74</v>
      </c>
      <c r="AY772" t="s">
        <v>74</v>
      </c>
      <c r="AZ772" t="s">
        <v>74</v>
      </c>
      <c r="BA772" t="s">
        <v>74</v>
      </c>
      <c r="BB772">
        <v>1694</v>
      </c>
      <c r="BC772">
        <v>1702</v>
      </c>
      <c r="BD772" t="s">
        <v>74</v>
      </c>
      <c r="BE772" t="s">
        <v>14073</v>
      </c>
      <c r="BF772" t="str">
        <f>HYPERLINK("http://dx.doi.org/10.1111/j.1365-2486.2009.01885.x","http://dx.doi.org/10.1111/j.1365-2486.2009.01885.x")</f>
        <v>http://dx.doi.org/10.1111/j.1365-2486.2009.01885.x</v>
      </c>
      <c r="BG772" t="s">
        <v>74</v>
      </c>
      <c r="BH772" t="s">
        <v>74</v>
      </c>
      <c r="BI772">
        <v>9</v>
      </c>
      <c r="BJ772" t="s">
        <v>5406</v>
      </c>
      <c r="BK772" t="s">
        <v>98</v>
      </c>
      <c r="BL772" t="s">
        <v>3115</v>
      </c>
      <c r="BM772" t="s">
        <v>14027</v>
      </c>
      <c r="BN772" t="s">
        <v>74</v>
      </c>
      <c r="BO772" t="s">
        <v>263</v>
      </c>
      <c r="BP772" t="s">
        <v>74</v>
      </c>
      <c r="BQ772" t="s">
        <v>74</v>
      </c>
      <c r="BR772" t="s">
        <v>101</v>
      </c>
      <c r="BS772" t="s">
        <v>14074</v>
      </c>
      <c r="BT772" t="str">
        <f>HYPERLINK("https%3A%2F%2Fwww.webofscience.com%2Fwos%2Fwoscc%2Ffull-record%2FWOS:000266700000009","View Full Record in Web of Science")</f>
        <v>View Full Record in Web of Science</v>
      </c>
    </row>
    <row r="773" spans="1:72" x14ac:dyDescent="0.15">
      <c r="A773" t="s">
        <v>72</v>
      </c>
      <c r="B773" t="s">
        <v>14075</v>
      </c>
      <c r="C773" t="s">
        <v>74</v>
      </c>
      <c r="D773" t="s">
        <v>74</v>
      </c>
      <c r="E773" t="s">
        <v>74</v>
      </c>
      <c r="F773" t="s">
        <v>14076</v>
      </c>
      <c r="G773" t="s">
        <v>74</v>
      </c>
      <c r="H773" t="s">
        <v>74</v>
      </c>
      <c r="I773" t="s">
        <v>14077</v>
      </c>
      <c r="J773" t="s">
        <v>9982</v>
      </c>
      <c r="K773" t="s">
        <v>74</v>
      </c>
      <c r="L773" t="s">
        <v>74</v>
      </c>
      <c r="M773" t="s">
        <v>78</v>
      </c>
      <c r="N773" t="s">
        <v>79</v>
      </c>
      <c r="O773" t="s">
        <v>74</v>
      </c>
      <c r="P773" t="s">
        <v>74</v>
      </c>
      <c r="Q773" t="s">
        <v>74</v>
      </c>
      <c r="R773" t="s">
        <v>74</v>
      </c>
      <c r="S773" t="s">
        <v>74</v>
      </c>
      <c r="T773" t="s">
        <v>14078</v>
      </c>
      <c r="U773" t="s">
        <v>14079</v>
      </c>
      <c r="V773" t="s">
        <v>14080</v>
      </c>
      <c r="W773" t="s">
        <v>14081</v>
      </c>
      <c r="X773" t="s">
        <v>14082</v>
      </c>
      <c r="Y773" t="s">
        <v>14083</v>
      </c>
      <c r="Z773" t="s">
        <v>14084</v>
      </c>
      <c r="AA773" t="s">
        <v>74</v>
      </c>
      <c r="AB773" t="s">
        <v>14085</v>
      </c>
      <c r="AC773" t="s">
        <v>14086</v>
      </c>
      <c r="AD773" t="s">
        <v>10424</v>
      </c>
      <c r="AE773" t="s">
        <v>14087</v>
      </c>
      <c r="AF773" t="s">
        <v>74</v>
      </c>
      <c r="AG773">
        <v>67</v>
      </c>
      <c r="AH773">
        <v>39</v>
      </c>
      <c r="AI773">
        <v>44</v>
      </c>
      <c r="AJ773">
        <v>1</v>
      </c>
      <c r="AK773">
        <v>4</v>
      </c>
      <c r="AL773" t="s">
        <v>9993</v>
      </c>
      <c r="AM773" t="s">
        <v>9994</v>
      </c>
      <c r="AN773" t="s">
        <v>9995</v>
      </c>
      <c r="AO773" t="s">
        <v>9996</v>
      </c>
      <c r="AP773" t="s">
        <v>9997</v>
      </c>
      <c r="AQ773" t="s">
        <v>74</v>
      </c>
      <c r="AR773" t="s">
        <v>9982</v>
      </c>
      <c r="AS773" t="s">
        <v>9998</v>
      </c>
      <c r="AT773" t="s">
        <v>13544</v>
      </c>
      <c r="AU773">
        <v>2009</v>
      </c>
      <c r="AV773">
        <v>202</v>
      </c>
      <c r="AW773">
        <v>1</v>
      </c>
      <c r="AX773" t="s">
        <v>74</v>
      </c>
      <c r="AY773" t="s">
        <v>74</v>
      </c>
      <c r="AZ773" t="s">
        <v>74</v>
      </c>
      <c r="BA773" t="s">
        <v>74</v>
      </c>
      <c r="BB773">
        <v>39</v>
      </c>
      <c r="BC773">
        <v>59</v>
      </c>
      <c r="BD773" t="s">
        <v>74</v>
      </c>
      <c r="BE773" t="s">
        <v>14088</v>
      </c>
      <c r="BF773" t="str">
        <f>HYPERLINK("http://dx.doi.org/10.1016/j.icarus.2009.02.025","http://dx.doi.org/10.1016/j.icarus.2009.02.025")</f>
        <v>http://dx.doi.org/10.1016/j.icarus.2009.02.025</v>
      </c>
      <c r="BG773" t="s">
        <v>74</v>
      </c>
      <c r="BH773" t="s">
        <v>74</v>
      </c>
      <c r="BI773">
        <v>21</v>
      </c>
      <c r="BJ773" t="s">
        <v>1003</v>
      </c>
      <c r="BK773" t="s">
        <v>98</v>
      </c>
      <c r="BL773" t="s">
        <v>1003</v>
      </c>
      <c r="BM773" t="s">
        <v>14089</v>
      </c>
      <c r="BN773" t="s">
        <v>74</v>
      </c>
      <c r="BO773" t="s">
        <v>74</v>
      </c>
      <c r="BP773" t="s">
        <v>74</v>
      </c>
      <c r="BQ773" t="s">
        <v>74</v>
      </c>
      <c r="BR773" t="s">
        <v>101</v>
      </c>
      <c r="BS773" t="s">
        <v>14090</v>
      </c>
      <c r="BT773" t="str">
        <f>HYPERLINK("https%3A%2F%2Fwww.webofscience.com%2Fwos%2Fwoscc%2Ffull-record%2FWOS:000267231000005","View Full Record in Web of Science")</f>
        <v>View Full Record in Web of Science</v>
      </c>
    </row>
    <row r="774" spans="1:72" x14ac:dyDescent="0.15">
      <c r="A774" t="s">
        <v>72</v>
      </c>
      <c r="B774" t="s">
        <v>14091</v>
      </c>
      <c r="C774" t="s">
        <v>74</v>
      </c>
      <c r="D774" t="s">
        <v>74</v>
      </c>
      <c r="E774" t="s">
        <v>74</v>
      </c>
      <c r="F774" t="s">
        <v>14092</v>
      </c>
      <c r="G774" t="s">
        <v>74</v>
      </c>
      <c r="H774" t="s">
        <v>74</v>
      </c>
      <c r="I774" t="s">
        <v>14093</v>
      </c>
      <c r="J774" t="s">
        <v>2159</v>
      </c>
      <c r="K774" t="s">
        <v>74</v>
      </c>
      <c r="L774" t="s">
        <v>74</v>
      </c>
      <c r="M774" t="s">
        <v>78</v>
      </c>
      <c r="N774" t="s">
        <v>1965</v>
      </c>
      <c r="O774" t="s">
        <v>14094</v>
      </c>
      <c r="P774" t="s">
        <v>14095</v>
      </c>
      <c r="Q774" t="s">
        <v>14096</v>
      </c>
      <c r="R774" t="s">
        <v>74</v>
      </c>
      <c r="S774" t="s">
        <v>74</v>
      </c>
      <c r="T774" t="s">
        <v>14097</v>
      </c>
      <c r="U774" t="s">
        <v>14098</v>
      </c>
      <c r="V774" t="s">
        <v>14099</v>
      </c>
      <c r="W774" t="s">
        <v>14100</v>
      </c>
      <c r="X774" t="s">
        <v>14101</v>
      </c>
      <c r="Y774" t="s">
        <v>14102</v>
      </c>
      <c r="Z774" t="s">
        <v>14103</v>
      </c>
      <c r="AA774" t="s">
        <v>74</v>
      </c>
      <c r="AB774" t="s">
        <v>14104</v>
      </c>
      <c r="AC774" t="s">
        <v>74</v>
      </c>
      <c r="AD774" t="s">
        <v>74</v>
      </c>
      <c r="AE774" t="s">
        <v>74</v>
      </c>
      <c r="AF774" t="s">
        <v>74</v>
      </c>
      <c r="AG774">
        <v>24</v>
      </c>
      <c r="AH774">
        <v>32</v>
      </c>
      <c r="AI774">
        <v>40</v>
      </c>
      <c r="AJ774">
        <v>1</v>
      </c>
      <c r="AK774">
        <v>21</v>
      </c>
      <c r="AL774" t="s">
        <v>2171</v>
      </c>
      <c r="AM774" t="s">
        <v>1895</v>
      </c>
      <c r="AN774" t="s">
        <v>2172</v>
      </c>
      <c r="AO774" t="s">
        <v>2173</v>
      </c>
      <c r="AP774" t="s">
        <v>74</v>
      </c>
      <c r="AQ774" t="s">
        <v>74</v>
      </c>
      <c r="AR774" t="s">
        <v>2175</v>
      </c>
      <c r="AS774" t="s">
        <v>2176</v>
      </c>
      <c r="AT774" t="s">
        <v>13544</v>
      </c>
      <c r="AU774">
        <v>2009</v>
      </c>
      <c r="AV774">
        <v>66</v>
      </c>
      <c r="AW774">
        <v>6</v>
      </c>
      <c r="AX774" t="s">
        <v>74</v>
      </c>
      <c r="AY774" t="s">
        <v>74</v>
      </c>
      <c r="AZ774" t="s">
        <v>74</v>
      </c>
      <c r="BA774" t="s">
        <v>74</v>
      </c>
      <c r="BB774">
        <v>991</v>
      </c>
      <c r="BC774">
        <v>997</v>
      </c>
      <c r="BD774" t="s">
        <v>74</v>
      </c>
      <c r="BE774" t="s">
        <v>14105</v>
      </c>
      <c r="BF774" t="str">
        <f>HYPERLINK("http://dx.doi.org/10.1093/icesjms/fsp092","http://dx.doi.org/10.1093/icesjms/fsp092")</f>
        <v>http://dx.doi.org/10.1093/icesjms/fsp092</v>
      </c>
      <c r="BG774" t="s">
        <v>74</v>
      </c>
      <c r="BH774" t="s">
        <v>74</v>
      </c>
      <c r="BI774">
        <v>7</v>
      </c>
      <c r="BJ774" t="s">
        <v>2178</v>
      </c>
      <c r="BK774" t="s">
        <v>1986</v>
      </c>
      <c r="BL774" t="s">
        <v>2178</v>
      </c>
      <c r="BM774" t="s">
        <v>14106</v>
      </c>
      <c r="BN774" t="s">
        <v>74</v>
      </c>
      <c r="BO774" t="s">
        <v>263</v>
      </c>
      <c r="BP774" t="s">
        <v>74</v>
      </c>
      <c r="BQ774" t="s">
        <v>74</v>
      </c>
      <c r="BR774" t="s">
        <v>101</v>
      </c>
      <c r="BS774" t="s">
        <v>14107</v>
      </c>
      <c r="BT774" t="str">
        <f>HYPERLINK("https%3A%2F%2Fwww.webofscience.com%2Fwos%2Fwoscc%2Ffull-record%2FWOS:000267221600005","View Full Record in Web of Science")</f>
        <v>View Full Record in Web of Science</v>
      </c>
    </row>
    <row r="775" spans="1:72" x14ac:dyDescent="0.15">
      <c r="A775" t="s">
        <v>72</v>
      </c>
      <c r="B775" t="s">
        <v>14108</v>
      </c>
      <c r="C775" t="s">
        <v>74</v>
      </c>
      <c r="D775" t="s">
        <v>74</v>
      </c>
      <c r="E775" t="s">
        <v>74</v>
      </c>
      <c r="F775" t="s">
        <v>14109</v>
      </c>
      <c r="G775" t="s">
        <v>74</v>
      </c>
      <c r="H775" t="s">
        <v>74</v>
      </c>
      <c r="I775" t="s">
        <v>14110</v>
      </c>
      <c r="J775" t="s">
        <v>2159</v>
      </c>
      <c r="K775" t="s">
        <v>74</v>
      </c>
      <c r="L775" t="s">
        <v>74</v>
      </c>
      <c r="M775" t="s">
        <v>78</v>
      </c>
      <c r="N775" t="s">
        <v>1965</v>
      </c>
      <c r="O775" t="s">
        <v>14094</v>
      </c>
      <c r="P775" t="s">
        <v>14095</v>
      </c>
      <c r="Q775" t="s">
        <v>14096</v>
      </c>
      <c r="R775" t="s">
        <v>74</v>
      </c>
      <c r="S775" t="s">
        <v>74</v>
      </c>
      <c r="T775" t="s">
        <v>14111</v>
      </c>
      <c r="U775" t="s">
        <v>14112</v>
      </c>
      <c r="V775" t="s">
        <v>14113</v>
      </c>
      <c r="W775" t="s">
        <v>14114</v>
      </c>
      <c r="X775" t="s">
        <v>5792</v>
      </c>
      <c r="Y775" t="s">
        <v>14115</v>
      </c>
      <c r="Z775" t="s">
        <v>14116</v>
      </c>
      <c r="AA775" t="s">
        <v>14117</v>
      </c>
      <c r="AB775" t="s">
        <v>14118</v>
      </c>
      <c r="AC775" t="s">
        <v>74</v>
      </c>
      <c r="AD775" t="s">
        <v>74</v>
      </c>
      <c r="AE775" t="s">
        <v>74</v>
      </c>
      <c r="AF775" t="s">
        <v>74</v>
      </c>
      <c r="AG775">
        <v>58</v>
      </c>
      <c r="AH775">
        <v>14</v>
      </c>
      <c r="AI775">
        <v>14</v>
      </c>
      <c r="AJ775">
        <v>0</v>
      </c>
      <c r="AK775">
        <v>8</v>
      </c>
      <c r="AL775" t="s">
        <v>2171</v>
      </c>
      <c r="AM775" t="s">
        <v>1895</v>
      </c>
      <c r="AN775" t="s">
        <v>2172</v>
      </c>
      <c r="AO775" t="s">
        <v>2173</v>
      </c>
      <c r="AP775" t="s">
        <v>2174</v>
      </c>
      <c r="AQ775" t="s">
        <v>74</v>
      </c>
      <c r="AR775" t="s">
        <v>2175</v>
      </c>
      <c r="AS775" t="s">
        <v>2176</v>
      </c>
      <c r="AT775" t="s">
        <v>13544</v>
      </c>
      <c r="AU775">
        <v>2009</v>
      </c>
      <c r="AV775">
        <v>66</v>
      </c>
      <c r="AW775">
        <v>6</v>
      </c>
      <c r="AX775" t="s">
        <v>74</v>
      </c>
      <c r="AY775" t="s">
        <v>74</v>
      </c>
      <c r="AZ775" t="s">
        <v>74</v>
      </c>
      <c r="BA775" t="s">
        <v>74</v>
      </c>
      <c r="BB775">
        <v>1197</v>
      </c>
      <c r="BC775">
        <v>1204</v>
      </c>
      <c r="BD775" t="s">
        <v>74</v>
      </c>
      <c r="BE775" t="s">
        <v>14119</v>
      </c>
      <c r="BF775" t="str">
        <f>HYPERLINK("http://dx.doi.org/10.1093/icesjms/fsp008","http://dx.doi.org/10.1093/icesjms/fsp008")</f>
        <v>http://dx.doi.org/10.1093/icesjms/fsp008</v>
      </c>
      <c r="BG775" t="s">
        <v>74</v>
      </c>
      <c r="BH775" t="s">
        <v>74</v>
      </c>
      <c r="BI775">
        <v>8</v>
      </c>
      <c r="BJ775" t="s">
        <v>2178</v>
      </c>
      <c r="BK775" t="s">
        <v>1986</v>
      </c>
      <c r="BL775" t="s">
        <v>2178</v>
      </c>
      <c r="BM775" t="s">
        <v>14106</v>
      </c>
      <c r="BN775" t="s">
        <v>74</v>
      </c>
      <c r="BO775" t="s">
        <v>263</v>
      </c>
      <c r="BP775" t="s">
        <v>74</v>
      </c>
      <c r="BQ775" t="s">
        <v>74</v>
      </c>
      <c r="BR775" t="s">
        <v>101</v>
      </c>
      <c r="BS775" t="s">
        <v>14120</v>
      </c>
      <c r="BT775" t="str">
        <f>HYPERLINK("https%3A%2F%2Fwww.webofscience.com%2Fwos%2Fwoscc%2Ffull-record%2FWOS:000267221600033","View Full Record in Web of Science")</f>
        <v>View Full Record in Web of Science</v>
      </c>
    </row>
    <row r="776" spans="1:72" x14ac:dyDescent="0.15">
      <c r="A776" t="s">
        <v>72</v>
      </c>
      <c r="B776" t="s">
        <v>14121</v>
      </c>
      <c r="C776" t="s">
        <v>74</v>
      </c>
      <c r="D776" t="s">
        <v>74</v>
      </c>
      <c r="E776" t="s">
        <v>74</v>
      </c>
      <c r="F776" t="s">
        <v>14122</v>
      </c>
      <c r="G776" t="s">
        <v>74</v>
      </c>
      <c r="H776" t="s">
        <v>74</v>
      </c>
      <c r="I776" t="s">
        <v>14123</v>
      </c>
      <c r="J776" t="s">
        <v>2159</v>
      </c>
      <c r="K776" t="s">
        <v>74</v>
      </c>
      <c r="L776" t="s">
        <v>74</v>
      </c>
      <c r="M776" t="s">
        <v>78</v>
      </c>
      <c r="N776" t="s">
        <v>1965</v>
      </c>
      <c r="O776" t="s">
        <v>14094</v>
      </c>
      <c r="P776" t="s">
        <v>14095</v>
      </c>
      <c r="Q776" t="s">
        <v>14096</v>
      </c>
      <c r="R776" t="s">
        <v>74</v>
      </c>
      <c r="S776" t="s">
        <v>74</v>
      </c>
      <c r="T776" t="s">
        <v>14124</v>
      </c>
      <c r="U776" t="s">
        <v>14125</v>
      </c>
      <c r="V776" t="s">
        <v>14126</v>
      </c>
      <c r="W776" t="s">
        <v>14127</v>
      </c>
      <c r="X776" t="s">
        <v>14128</v>
      </c>
      <c r="Y776" t="s">
        <v>14129</v>
      </c>
      <c r="Z776" t="s">
        <v>14130</v>
      </c>
      <c r="AA776" t="s">
        <v>14131</v>
      </c>
      <c r="AB776" t="s">
        <v>14132</v>
      </c>
      <c r="AC776" t="s">
        <v>74</v>
      </c>
      <c r="AD776" t="s">
        <v>74</v>
      </c>
      <c r="AE776" t="s">
        <v>74</v>
      </c>
      <c r="AF776" t="s">
        <v>74</v>
      </c>
      <c r="AG776">
        <v>18</v>
      </c>
      <c r="AH776">
        <v>10</v>
      </c>
      <c r="AI776">
        <v>12</v>
      </c>
      <c r="AJ776">
        <v>0</v>
      </c>
      <c r="AK776">
        <v>15</v>
      </c>
      <c r="AL776" t="s">
        <v>2171</v>
      </c>
      <c r="AM776" t="s">
        <v>1895</v>
      </c>
      <c r="AN776" t="s">
        <v>2172</v>
      </c>
      <c r="AO776" t="s">
        <v>2173</v>
      </c>
      <c r="AP776" t="s">
        <v>74</v>
      </c>
      <c r="AQ776" t="s">
        <v>74</v>
      </c>
      <c r="AR776" t="s">
        <v>2175</v>
      </c>
      <c r="AS776" t="s">
        <v>2176</v>
      </c>
      <c r="AT776" t="s">
        <v>13544</v>
      </c>
      <c r="AU776">
        <v>2009</v>
      </c>
      <c r="AV776">
        <v>66</v>
      </c>
      <c r="AW776">
        <v>6</v>
      </c>
      <c r="AX776" t="s">
        <v>74</v>
      </c>
      <c r="AY776" t="s">
        <v>74</v>
      </c>
      <c r="AZ776" t="s">
        <v>74</v>
      </c>
      <c r="BA776" t="s">
        <v>74</v>
      </c>
      <c r="BB776">
        <v>1245</v>
      </c>
      <c r="BC776">
        <v>1251</v>
      </c>
      <c r="BD776" t="s">
        <v>74</v>
      </c>
      <c r="BE776" t="s">
        <v>14133</v>
      </c>
      <c r="BF776" t="str">
        <f>HYPERLINK("http://dx.doi.org/10.1093/icesjms/fsp040","http://dx.doi.org/10.1093/icesjms/fsp040")</f>
        <v>http://dx.doi.org/10.1093/icesjms/fsp040</v>
      </c>
      <c r="BG776" t="s">
        <v>74</v>
      </c>
      <c r="BH776" t="s">
        <v>74</v>
      </c>
      <c r="BI776">
        <v>7</v>
      </c>
      <c r="BJ776" t="s">
        <v>2178</v>
      </c>
      <c r="BK776" t="s">
        <v>1986</v>
      </c>
      <c r="BL776" t="s">
        <v>2178</v>
      </c>
      <c r="BM776" t="s">
        <v>14106</v>
      </c>
      <c r="BN776" t="s">
        <v>74</v>
      </c>
      <c r="BO776" t="s">
        <v>765</v>
      </c>
      <c r="BP776" t="s">
        <v>74</v>
      </c>
      <c r="BQ776" t="s">
        <v>74</v>
      </c>
      <c r="BR776" t="s">
        <v>101</v>
      </c>
      <c r="BS776" t="s">
        <v>14134</v>
      </c>
      <c r="BT776" t="str">
        <f>HYPERLINK("https%3A%2F%2Fwww.webofscience.com%2Fwos%2Fwoscc%2Ffull-record%2FWOS:000267221600040","View Full Record in Web of Science")</f>
        <v>View Full Record in Web of Science</v>
      </c>
    </row>
    <row r="777" spans="1:72" x14ac:dyDescent="0.15">
      <c r="A777" t="s">
        <v>72</v>
      </c>
      <c r="B777" t="s">
        <v>14135</v>
      </c>
      <c r="C777" t="s">
        <v>74</v>
      </c>
      <c r="D777" t="s">
        <v>74</v>
      </c>
      <c r="E777" t="s">
        <v>74</v>
      </c>
      <c r="F777" t="s">
        <v>14136</v>
      </c>
      <c r="G777" t="s">
        <v>74</v>
      </c>
      <c r="H777" t="s">
        <v>74</v>
      </c>
      <c r="I777" t="s">
        <v>14137</v>
      </c>
      <c r="J777" t="s">
        <v>2159</v>
      </c>
      <c r="K777" t="s">
        <v>74</v>
      </c>
      <c r="L777" t="s">
        <v>74</v>
      </c>
      <c r="M777" t="s">
        <v>78</v>
      </c>
      <c r="N777" t="s">
        <v>1965</v>
      </c>
      <c r="O777" t="s">
        <v>14094</v>
      </c>
      <c r="P777" t="s">
        <v>14095</v>
      </c>
      <c r="Q777" t="s">
        <v>14096</v>
      </c>
      <c r="R777" t="s">
        <v>74</v>
      </c>
      <c r="S777" t="s">
        <v>74</v>
      </c>
      <c r="T777" t="s">
        <v>14138</v>
      </c>
      <c r="U777" t="s">
        <v>14139</v>
      </c>
      <c r="V777" t="s">
        <v>14140</v>
      </c>
      <c r="W777" t="s">
        <v>14141</v>
      </c>
      <c r="X777" t="s">
        <v>14142</v>
      </c>
      <c r="Y777" t="s">
        <v>14143</v>
      </c>
      <c r="Z777" t="s">
        <v>14144</v>
      </c>
      <c r="AA777" t="s">
        <v>14145</v>
      </c>
      <c r="AB777" t="s">
        <v>14146</v>
      </c>
      <c r="AC777" t="s">
        <v>74</v>
      </c>
      <c r="AD777" t="s">
        <v>74</v>
      </c>
      <c r="AE777" t="s">
        <v>74</v>
      </c>
      <c r="AF777" t="s">
        <v>74</v>
      </c>
      <c r="AG777">
        <v>34</v>
      </c>
      <c r="AH777">
        <v>25</v>
      </c>
      <c r="AI777">
        <v>27</v>
      </c>
      <c r="AJ777">
        <v>0</v>
      </c>
      <c r="AK777">
        <v>14</v>
      </c>
      <c r="AL777" t="s">
        <v>2171</v>
      </c>
      <c r="AM777" t="s">
        <v>1895</v>
      </c>
      <c r="AN777" t="s">
        <v>2172</v>
      </c>
      <c r="AO777" t="s">
        <v>2173</v>
      </c>
      <c r="AP777" t="s">
        <v>74</v>
      </c>
      <c r="AQ777" t="s">
        <v>74</v>
      </c>
      <c r="AR777" t="s">
        <v>2175</v>
      </c>
      <c r="AS777" t="s">
        <v>2176</v>
      </c>
      <c r="AT777" t="s">
        <v>13544</v>
      </c>
      <c r="AU777">
        <v>2009</v>
      </c>
      <c r="AV777">
        <v>66</v>
      </c>
      <c r="AW777">
        <v>6</v>
      </c>
      <c r="AX777" t="s">
        <v>74</v>
      </c>
      <c r="AY777" t="s">
        <v>74</v>
      </c>
      <c r="AZ777" t="s">
        <v>74</v>
      </c>
      <c r="BA777" t="s">
        <v>74</v>
      </c>
      <c r="BB777">
        <v>1318</v>
      </c>
      <c r="BC777">
        <v>1325</v>
      </c>
      <c r="BD777" t="s">
        <v>74</v>
      </c>
      <c r="BE777" t="s">
        <v>14147</v>
      </c>
      <c r="BF777" t="str">
        <f>HYPERLINK("http://dx.doi.org/10.1093/icesjms/fsp055","http://dx.doi.org/10.1093/icesjms/fsp055")</f>
        <v>http://dx.doi.org/10.1093/icesjms/fsp055</v>
      </c>
      <c r="BG777" t="s">
        <v>74</v>
      </c>
      <c r="BH777" t="s">
        <v>74</v>
      </c>
      <c r="BI777">
        <v>8</v>
      </c>
      <c r="BJ777" t="s">
        <v>2178</v>
      </c>
      <c r="BK777" t="s">
        <v>1986</v>
      </c>
      <c r="BL777" t="s">
        <v>2178</v>
      </c>
      <c r="BM777" t="s">
        <v>14106</v>
      </c>
      <c r="BN777" t="s">
        <v>74</v>
      </c>
      <c r="BO777" t="s">
        <v>467</v>
      </c>
      <c r="BP777" t="s">
        <v>74</v>
      </c>
      <c r="BQ777" t="s">
        <v>74</v>
      </c>
      <c r="BR777" t="s">
        <v>101</v>
      </c>
      <c r="BS777" t="s">
        <v>14148</v>
      </c>
      <c r="BT777" t="str">
        <f>HYPERLINK("https%3A%2F%2Fwww.webofscience.com%2Fwos%2Fwoscc%2Ffull-record%2FWOS:000267221600051","View Full Record in Web of Science")</f>
        <v>View Full Record in Web of Science</v>
      </c>
    </row>
    <row r="778" spans="1:72" x14ac:dyDescent="0.15">
      <c r="A778" t="s">
        <v>72</v>
      </c>
      <c r="B778" t="s">
        <v>14149</v>
      </c>
      <c r="C778" t="s">
        <v>74</v>
      </c>
      <c r="D778" t="s">
        <v>74</v>
      </c>
      <c r="E778" t="s">
        <v>74</v>
      </c>
      <c r="F778" t="s">
        <v>14150</v>
      </c>
      <c r="G778" t="s">
        <v>74</v>
      </c>
      <c r="H778" t="s">
        <v>74</v>
      </c>
      <c r="I778" t="s">
        <v>14151</v>
      </c>
      <c r="J778" t="s">
        <v>2159</v>
      </c>
      <c r="K778" t="s">
        <v>74</v>
      </c>
      <c r="L778" t="s">
        <v>74</v>
      </c>
      <c r="M778" t="s">
        <v>78</v>
      </c>
      <c r="N778" t="s">
        <v>1965</v>
      </c>
      <c r="O778" t="s">
        <v>14094</v>
      </c>
      <c r="P778" t="s">
        <v>14095</v>
      </c>
      <c r="Q778" t="s">
        <v>14096</v>
      </c>
      <c r="R778" t="s">
        <v>74</v>
      </c>
      <c r="S778" t="s">
        <v>74</v>
      </c>
      <c r="T778" t="s">
        <v>14152</v>
      </c>
      <c r="U778" t="s">
        <v>14153</v>
      </c>
      <c r="V778" t="s">
        <v>14154</v>
      </c>
      <c r="W778" t="s">
        <v>14155</v>
      </c>
      <c r="X778" t="s">
        <v>14156</v>
      </c>
      <c r="Y778" t="s">
        <v>14157</v>
      </c>
      <c r="Z778" t="s">
        <v>14158</v>
      </c>
      <c r="AA778" t="s">
        <v>74</v>
      </c>
      <c r="AB778" t="s">
        <v>14159</v>
      </c>
      <c r="AC778" t="s">
        <v>74</v>
      </c>
      <c r="AD778" t="s">
        <v>74</v>
      </c>
      <c r="AE778" t="s">
        <v>74</v>
      </c>
      <c r="AF778" t="s">
        <v>74</v>
      </c>
      <c r="AG778">
        <v>24</v>
      </c>
      <c r="AH778">
        <v>26</v>
      </c>
      <c r="AI778">
        <v>32</v>
      </c>
      <c r="AJ778">
        <v>0</v>
      </c>
      <c r="AK778">
        <v>11</v>
      </c>
      <c r="AL778" t="s">
        <v>2171</v>
      </c>
      <c r="AM778" t="s">
        <v>1895</v>
      </c>
      <c r="AN778" t="s">
        <v>2172</v>
      </c>
      <c r="AO778" t="s">
        <v>2173</v>
      </c>
      <c r="AP778" t="s">
        <v>2174</v>
      </c>
      <c r="AQ778" t="s">
        <v>74</v>
      </c>
      <c r="AR778" t="s">
        <v>2175</v>
      </c>
      <c r="AS778" t="s">
        <v>2176</v>
      </c>
      <c r="AT778" t="s">
        <v>13544</v>
      </c>
      <c r="AU778">
        <v>2009</v>
      </c>
      <c r="AV778">
        <v>66</v>
      </c>
      <c r="AW778">
        <v>6</v>
      </c>
      <c r="AX778" t="s">
        <v>74</v>
      </c>
      <c r="AY778" t="s">
        <v>74</v>
      </c>
      <c r="AZ778" t="s">
        <v>74</v>
      </c>
      <c r="BA778" t="s">
        <v>74</v>
      </c>
      <c r="BB778">
        <v>1355</v>
      </c>
      <c r="BC778">
        <v>1363</v>
      </c>
      <c r="BD778" t="s">
        <v>74</v>
      </c>
      <c r="BE778" t="s">
        <v>14160</v>
      </c>
      <c r="BF778" t="str">
        <f>HYPERLINK("http://dx.doi.org/10.1093/icesjms/fsp136","http://dx.doi.org/10.1093/icesjms/fsp136")</f>
        <v>http://dx.doi.org/10.1093/icesjms/fsp136</v>
      </c>
      <c r="BG778" t="s">
        <v>74</v>
      </c>
      <c r="BH778" t="s">
        <v>74</v>
      </c>
      <c r="BI778">
        <v>9</v>
      </c>
      <c r="BJ778" t="s">
        <v>2178</v>
      </c>
      <c r="BK778" t="s">
        <v>1986</v>
      </c>
      <c r="BL778" t="s">
        <v>2178</v>
      </c>
      <c r="BM778" t="s">
        <v>14106</v>
      </c>
      <c r="BN778" t="s">
        <v>74</v>
      </c>
      <c r="BO778" t="s">
        <v>263</v>
      </c>
      <c r="BP778" t="s">
        <v>74</v>
      </c>
      <c r="BQ778" t="s">
        <v>74</v>
      </c>
      <c r="BR778" t="s">
        <v>101</v>
      </c>
      <c r="BS778" t="s">
        <v>14161</v>
      </c>
      <c r="BT778" t="str">
        <f>HYPERLINK("https%3A%2F%2Fwww.webofscience.com%2Fwos%2Fwoscc%2Ffull-record%2FWOS:000267221600056","View Full Record in Web of Science")</f>
        <v>View Full Record in Web of Science</v>
      </c>
    </row>
    <row r="779" spans="1:72" x14ac:dyDescent="0.15">
      <c r="A779" t="s">
        <v>72</v>
      </c>
      <c r="B779" t="s">
        <v>14162</v>
      </c>
      <c r="C779" t="s">
        <v>74</v>
      </c>
      <c r="D779" t="s">
        <v>74</v>
      </c>
      <c r="E779" t="s">
        <v>74</v>
      </c>
      <c r="F779" t="s">
        <v>14163</v>
      </c>
      <c r="G779" t="s">
        <v>74</v>
      </c>
      <c r="H779" t="s">
        <v>74</v>
      </c>
      <c r="I779" t="s">
        <v>14164</v>
      </c>
      <c r="J779" t="s">
        <v>2245</v>
      </c>
      <c r="K779" t="s">
        <v>74</v>
      </c>
      <c r="L779" t="s">
        <v>74</v>
      </c>
      <c r="M779" t="s">
        <v>78</v>
      </c>
      <c r="N779" t="s">
        <v>79</v>
      </c>
      <c r="O779" t="s">
        <v>74</v>
      </c>
      <c r="P779" t="s">
        <v>74</v>
      </c>
      <c r="Q779" t="s">
        <v>74</v>
      </c>
      <c r="R779" t="s">
        <v>74</v>
      </c>
      <c r="S779" t="s">
        <v>74</v>
      </c>
      <c r="T779" t="s">
        <v>14165</v>
      </c>
      <c r="U779" t="s">
        <v>14166</v>
      </c>
      <c r="V779" t="s">
        <v>14167</v>
      </c>
      <c r="W779" t="s">
        <v>14168</v>
      </c>
      <c r="X779" t="s">
        <v>14169</v>
      </c>
      <c r="Y779" t="s">
        <v>14170</v>
      </c>
      <c r="Z779" t="s">
        <v>14171</v>
      </c>
      <c r="AA779" t="s">
        <v>14172</v>
      </c>
      <c r="AB779" t="s">
        <v>74</v>
      </c>
      <c r="AC779" t="s">
        <v>14173</v>
      </c>
      <c r="AD779" t="s">
        <v>14174</v>
      </c>
      <c r="AE779" t="s">
        <v>14175</v>
      </c>
      <c r="AF779" t="s">
        <v>74</v>
      </c>
      <c r="AG779">
        <v>43</v>
      </c>
      <c r="AH779">
        <v>88</v>
      </c>
      <c r="AI779">
        <v>116</v>
      </c>
      <c r="AJ779">
        <v>0</v>
      </c>
      <c r="AK779">
        <v>61</v>
      </c>
      <c r="AL779" t="s">
        <v>1184</v>
      </c>
      <c r="AM779" t="s">
        <v>1185</v>
      </c>
      <c r="AN779" t="s">
        <v>1186</v>
      </c>
      <c r="AO779" t="s">
        <v>2252</v>
      </c>
      <c r="AP779" t="s">
        <v>2253</v>
      </c>
      <c r="AQ779" t="s">
        <v>74</v>
      </c>
      <c r="AR779" t="s">
        <v>2254</v>
      </c>
      <c r="AS779" t="s">
        <v>2255</v>
      </c>
      <c r="AT779" t="s">
        <v>13544</v>
      </c>
      <c r="AU779">
        <v>2009</v>
      </c>
      <c r="AV779">
        <v>29</v>
      </c>
      <c r="AW779">
        <v>9</v>
      </c>
      <c r="AX779" t="s">
        <v>74</v>
      </c>
      <c r="AY779" t="s">
        <v>74</v>
      </c>
      <c r="AZ779" t="s">
        <v>74</v>
      </c>
      <c r="BA779" t="s">
        <v>74</v>
      </c>
      <c r="BB779">
        <v>1276</v>
      </c>
      <c r="BC779">
        <v>1284</v>
      </c>
      <c r="BD779" t="s">
        <v>74</v>
      </c>
      <c r="BE779" t="s">
        <v>14176</v>
      </c>
      <c r="BF779" t="str">
        <f>HYPERLINK("http://dx.doi.org/10.1002/joc.1773","http://dx.doi.org/10.1002/joc.1773")</f>
        <v>http://dx.doi.org/10.1002/joc.1773</v>
      </c>
      <c r="BG779" t="s">
        <v>74</v>
      </c>
      <c r="BH779" t="s">
        <v>74</v>
      </c>
      <c r="BI779">
        <v>9</v>
      </c>
      <c r="BJ779" t="s">
        <v>413</v>
      </c>
      <c r="BK779" t="s">
        <v>98</v>
      </c>
      <c r="BL779" t="s">
        <v>413</v>
      </c>
      <c r="BM779" t="s">
        <v>14177</v>
      </c>
      <c r="BN779" t="s">
        <v>74</v>
      </c>
      <c r="BO779" t="s">
        <v>74</v>
      </c>
      <c r="BP779" t="s">
        <v>74</v>
      </c>
      <c r="BQ779" t="s">
        <v>74</v>
      </c>
      <c r="BR779" t="s">
        <v>101</v>
      </c>
      <c r="BS779" t="s">
        <v>14178</v>
      </c>
      <c r="BT779" t="str">
        <f>HYPERLINK("https%3A%2F%2Fwww.webofscience.com%2Fwos%2Fwoscc%2Ffull-record%2FWOS:000268059900006","View Full Record in Web of Science")</f>
        <v>View Full Record in Web of Science</v>
      </c>
    </row>
    <row r="780" spans="1:72" x14ac:dyDescent="0.15">
      <c r="A780" t="s">
        <v>72</v>
      </c>
      <c r="B780" t="s">
        <v>14179</v>
      </c>
      <c r="C780" t="s">
        <v>74</v>
      </c>
      <c r="D780" t="s">
        <v>74</v>
      </c>
      <c r="E780" t="s">
        <v>74</v>
      </c>
      <c r="F780" t="s">
        <v>14180</v>
      </c>
      <c r="G780" t="s">
        <v>74</v>
      </c>
      <c r="H780" t="s">
        <v>74</v>
      </c>
      <c r="I780" t="s">
        <v>14181</v>
      </c>
      <c r="J780" t="s">
        <v>14182</v>
      </c>
      <c r="K780" t="s">
        <v>74</v>
      </c>
      <c r="L780" t="s">
        <v>74</v>
      </c>
      <c r="M780" t="s">
        <v>78</v>
      </c>
      <c r="N780" t="s">
        <v>79</v>
      </c>
      <c r="O780" t="s">
        <v>74</v>
      </c>
      <c r="P780" t="s">
        <v>74</v>
      </c>
      <c r="Q780" t="s">
        <v>74</v>
      </c>
      <c r="R780" t="s">
        <v>74</v>
      </c>
      <c r="S780" t="s">
        <v>74</v>
      </c>
      <c r="T780" t="s">
        <v>14183</v>
      </c>
      <c r="U780" t="s">
        <v>74</v>
      </c>
      <c r="V780" t="s">
        <v>14184</v>
      </c>
      <c r="W780" t="s">
        <v>14185</v>
      </c>
      <c r="X780" t="s">
        <v>14186</v>
      </c>
      <c r="Y780" t="s">
        <v>14187</v>
      </c>
      <c r="Z780" t="s">
        <v>14188</v>
      </c>
      <c r="AA780" t="s">
        <v>74</v>
      </c>
      <c r="AB780" t="s">
        <v>74</v>
      </c>
      <c r="AC780" t="s">
        <v>74</v>
      </c>
      <c r="AD780" t="s">
        <v>74</v>
      </c>
      <c r="AE780" t="s">
        <v>74</v>
      </c>
      <c r="AF780" t="s">
        <v>74</v>
      </c>
      <c r="AG780">
        <v>24</v>
      </c>
      <c r="AH780">
        <v>1</v>
      </c>
      <c r="AI780">
        <v>1</v>
      </c>
      <c r="AJ780">
        <v>0</v>
      </c>
      <c r="AK780">
        <v>7</v>
      </c>
      <c r="AL780" t="s">
        <v>1184</v>
      </c>
      <c r="AM780" t="s">
        <v>1185</v>
      </c>
      <c r="AN780" t="s">
        <v>1186</v>
      </c>
      <c r="AO780" t="s">
        <v>14189</v>
      </c>
      <c r="AP780" t="s">
        <v>14190</v>
      </c>
      <c r="AQ780" t="s">
        <v>74</v>
      </c>
      <c r="AR780" t="s">
        <v>14191</v>
      </c>
      <c r="AS780" t="s">
        <v>14192</v>
      </c>
      <c r="AT780" t="s">
        <v>13544</v>
      </c>
      <c r="AU780">
        <v>2009</v>
      </c>
      <c r="AV780">
        <v>22</v>
      </c>
      <c r="AW780">
        <v>7</v>
      </c>
      <c r="AX780" t="s">
        <v>74</v>
      </c>
      <c r="AY780" t="s">
        <v>74</v>
      </c>
      <c r="AZ780" t="s">
        <v>74</v>
      </c>
      <c r="BA780" t="s">
        <v>74</v>
      </c>
      <c r="BB780">
        <v>899</v>
      </c>
      <c r="BC780">
        <v>925</v>
      </c>
      <c r="BD780" t="s">
        <v>74</v>
      </c>
      <c r="BE780" t="s">
        <v>14193</v>
      </c>
      <c r="BF780" t="str">
        <f>HYPERLINK("http://dx.doi.org/10.1002/dac.1006","http://dx.doi.org/10.1002/dac.1006")</f>
        <v>http://dx.doi.org/10.1002/dac.1006</v>
      </c>
      <c r="BG780" t="s">
        <v>74</v>
      </c>
      <c r="BH780" t="s">
        <v>74</v>
      </c>
      <c r="BI780">
        <v>27</v>
      </c>
      <c r="BJ780" t="s">
        <v>14194</v>
      </c>
      <c r="BK780" t="s">
        <v>98</v>
      </c>
      <c r="BL780" t="s">
        <v>14195</v>
      </c>
      <c r="BM780" t="s">
        <v>14196</v>
      </c>
      <c r="BN780" t="s">
        <v>74</v>
      </c>
      <c r="BO780" t="s">
        <v>74</v>
      </c>
      <c r="BP780" t="s">
        <v>74</v>
      </c>
      <c r="BQ780" t="s">
        <v>74</v>
      </c>
      <c r="BR780" t="s">
        <v>101</v>
      </c>
      <c r="BS780" t="s">
        <v>14197</v>
      </c>
      <c r="BT780" t="str">
        <f>HYPERLINK("https%3A%2F%2Fwww.webofscience.com%2Fwos%2Fwoscc%2Ffull-record%2FWOS:000268521000007","View Full Record in Web of Science")</f>
        <v>View Full Record in Web of Science</v>
      </c>
    </row>
    <row r="781" spans="1:72" x14ac:dyDescent="0.15">
      <c r="A781" t="s">
        <v>72</v>
      </c>
      <c r="B781" t="s">
        <v>14198</v>
      </c>
      <c r="C781" t="s">
        <v>74</v>
      </c>
      <c r="D781" t="s">
        <v>74</v>
      </c>
      <c r="E781" t="s">
        <v>74</v>
      </c>
      <c r="F781" t="s">
        <v>14199</v>
      </c>
      <c r="G781" t="s">
        <v>74</v>
      </c>
      <c r="H781" t="s">
        <v>74</v>
      </c>
      <c r="I781" t="s">
        <v>14200</v>
      </c>
      <c r="J781" t="s">
        <v>14201</v>
      </c>
      <c r="K781" t="s">
        <v>74</v>
      </c>
      <c r="L781" t="s">
        <v>74</v>
      </c>
      <c r="M781" t="s">
        <v>78</v>
      </c>
      <c r="N781" t="s">
        <v>79</v>
      </c>
      <c r="O781" t="s">
        <v>74</v>
      </c>
      <c r="P781" t="s">
        <v>74</v>
      </c>
      <c r="Q781" t="s">
        <v>74</v>
      </c>
      <c r="R781" t="s">
        <v>74</v>
      </c>
      <c r="S781" t="s">
        <v>74</v>
      </c>
      <c r="T781" t="s">
        <v>14202</v>
      </c>
      <c r="U781" t="s">
        <v>14203</v>
      </c>
      <c r="V781" t="s">
        <v>14204</v>
      </c>
      <c r="W781" t="s">
        <v>14205</v>
      </c>
      <c r="X781" t="s">
        <v>1390</v>
      </c>
      <c r="Y781" t="s">
        <v>14206</v>
      </c>
      <c r="Z781" t="s">
        <v>14207</v>
      </c>
      <c r="AA781" t="s">
        <v>74</v>
      </c>
      <c r="AB781" t="s">
        <v>14208</v>
      </c>
      <c r="AC781" t="s">
        <v>14209</v>
      </c>
      <c r="AD781" t="s">
        <v>14210</v>
      </c>
      <c r="AE781" t="s">
        <v>14211</v>
      </c>
      <c r="AF781" t="s">
        <v>74</v>
      </c>
      <c r="AG781">
        <v>23</v>
      </c>
      <c r="AH781">
        <v>9</v>
      </c>
      <c r="AI781">
        <v>13</v>
      </c>
      <c r="AJ781">
        <v>0</v>
      </c>
      <c r="AK781">
        <v>9</v>
      </c>
      <c r="AL781" t="s">
        <v>305</v>
      </c>
      <c r="AM781" t="s">
        <v>281</v>
      </c>
      <c r="AN781" t="s">
        <v>306</v>
      </c>
      <c r="AO781" t="s">
        <v>14212</v>
      </c>
      <c r="AP781" t="s">
        <v>14213</v>
      </c>
      <c r="AQ781" t="s">
        <v>74</v>
      </c>
      <c r="AR781" t="s">
        <v>14214</v>
      </c>
      <c r="AS781" t="s">
        <v>14215</v>
      </c>
      <c r="AT781" t="s">
        <v>13544</v>
      </c>
      <c r="AU781">
        <v>2009</v>
      </c>
      <c r="AV781">
        <v>64</v>
      </c>
      <c r="AW781">
        <v>4</v>
      </c>
      <c r="AX781" t="s">
        <v>74</v>
      </c>
      <c r="AY781" t="s">
        <v>74</v>
      </c>
      <c r="AZ781" t="s">
        <v>74</v>
      </c>
      <c r="BA781" t="s">
        <v>74</v>
      </c>
      <c r="BB781">
        <v>381</v>
      </c>
      <c r="BC781">
        <v>386</v>
      </c>
      <c r="BD781" t="s">
        <v>74</v>
      </c>
      <c r="BE781" t="s">
        <v>14216</v>
      </c>
      <c r="BF781" t="str">
        <f>HYPERLINK("http://dx.doi.org/10.1016/j.isprsjprs.2009.01.005","http://dx.doi.org/10.1016/j.isprsjprs.2009.01.005")</f>
        <v>http://dx.doi.org/10.1016/j.isprsjprs.2009.01.005</v>
      </c>
      <c r="BG781" t="s">
        <v>74</v>
      </c>
      <c r="BH781" t="s">
        <v>74</v>
      </c>
      <c r="BI781">
        <v>6</v>
      </c>
      <c r="BJ781" t="s">
        <v>14217</v>
      </c>
      <c r="BK781" t="s">
        <v>98</v>
      </c>
      <c r="BL781" t="s">
        <v>14218</v>
      </c>
      <c r="BM781" t="s">
        <v>14219</v>
      </c>
      <c r="BN781" t="s">
        <v>74</v>
      </c>
      <c r="BO781" t="s">
        <v>74</v>
      </c>
      <c r="BP781" t="s">
        <v>74</v>
      </c>
      <c r="BQ781" t="s">
        <v>74</v>
      </c>
      <c r="BR781" t="s">
        <v>101</v>
      </c>
      <c r="BS781" t="s">
        <v>14220</v>
      </c>
      <c r="BT781" t="str">
        <f>HYPERLINK("https%3A%2F%2Fwww.webofscience.com%2Fwos%2Fwoscc%2Ffull-record%2FWOS:000268650200005","View Full Record in Web of Science")</f>
        <v>View Full Record in Web of Science</v>
      </c>
    </row>
    <row r="782" spans="1:72" x14ac:dyDescent="0.15">
      <c r="A782" t="s">
        <v>72</v>
      </c>
      <c r="B782" t="s">
        <v>14221</v>
      </c>
      <c r="C782" t="s">
        <v>74</v>
      </c>
      <c r="D782" t="s">
        <v>74</v>
      </c>
      <c r="E782" t="s">
        <v>74</v>
      </c>
      <c r="F782" t="s">
        <v>14222</v>
      </c>
      <c r="G782" t="s">
        <v>74</v>
      </c>
      <c r="H782" t="s">
        <v>74</v>
      </c>
      <c r="I782" t="s">
        <v>14223</v>
      </c>
      <c r="J782" t="s">
        <v>5445</v>
      </c>
      <c r="K782" t="s">
        <v>74</v>
      </c>
      <c r="L782" t="s">
        <v>74</v>
      </c>
      <c r="M782" t="s">
        <v>78</v>
      </c>
      <c r="N782" t="s">
        <v>79</v>
      </c>
      <c r="O782" t="s">
        <v>74</v>
      </c>
      <c r="P782" t="s">
        <v>74</v>
      </c>
      <c r="Q782" t="s">
        <v>74</v>
      </c>
      <c r="R782" t="s">
        <v>74</v>
      </c>
      <c r="S782" t="s">
        <v>74</v>
      </c>
      <c r="T782" t="s">
        <v>14224</v>
      </c>
      <c r="U782" t="s">
        <v>14225</v>
      </c>
      <c r="V782" t="s">
        <v>14226</v>
      </c>
      <c r="W782" t="s">
        <v>14227</v>
      </c>
      <c r="X782" t="s">
        <v>14228</v>
      </c>
      <c r="Y782" t="s">
        <v>14229</v>
      </c>
      <c r="Z782" t="s">
        <v>8423</v>
      </c>
      <c r="AA782" t="s">
        <v>74</v>
      </c>
      <c r="AB782" t="s">
        <v>74</v>
      </c>
      <c r="AC782" t="s">
        <v>14230</v>
      </c>
      <c r="AD782" t="s">
        <v>14231</v>
      </c>
      <c r="AE782" t="s">
        <v>14232</v>
      </c>
      <c r="AF782" t="s">
        <v>74</v>
      </c>
      <c r="AG782">
        <v>48</v>
      </c>
      <c r="AH782">
        <v>110</v>
      </c>
      <c r="AI782">
        <v>124</v>
      </c>
      <c r="AJ782">
        <v>1</v>
      </c>
      <c r="AK782">
        <v>54</v>
      </c>
      <c r="AL782" t="s">
        <v>1184</v>
      </c>
      <c r="AM782" t="s">
        <v>1185</v>
      </c>
      <c r="AN782" t="s">
        <v>1186</v>
      </c>
      <c r="AO782" t="s">
        <v>5457</v>
      </c>
      <c r="AP782" t="s">
        <v>5458</v>
      </c>
      <c r="AQ782" t="s">
        <v>74</v>
      </c>
      <c r="AR782" t="s">
        <v>5459</v>
      </c>
      <c r="AS782" t="s">
        <v>5460</v>
      </c>
      <c r="AT782" t="s">
        <v>13544</v>
      </c>
      <c r="AU782">
        <v>2009</v>
      </c>
      <c r="AV782">
        <v>78</v>
      </c>
      <c r="AW782">
        <v>4</v>
      </c>
      <c r="AX782" t="s">
        <v>74</v>
      </c>
      <c r="AY782" t="s">
        <v>74</v>
      </c>
      <c r="AZ782" t="s">
        <v>74</v>
      </c>
      <c r="BA782" t="s">
        <v>74</v>
      </c>
      <c r="BB782">
        <v>798</v>
      </c>
      <c r="BC782">
        <v>806</v>
      </c>
      <c r="BD782" t="s">
        <v>74</v>
      </c>
      <c r="BE782" t="s">
        <v>14233</v>
      </c>
      <c r="BF782" t="str">
        <f>HYPERLINK("http://dx.doi.org/10.1111/j.1365-2656.2009.01542.x","http://dx.doi.org/10.1111/j.1365-2656.2009.01542.x")</f>
        <v>http://dx.doi.org/10.1111/j.1365-2656.2009.01542.x</v>
      </c>
      <c r="BG782" t="s">
        <v>74</v>
      </c>
      <c r="BH782" t="s">
        <v>74</v>
      </c>
      <c r="BI782">
        <v>9</v>
      </c>
      <c r="BJ782" t="s">
        <v>97</v>
      </c>
      <c r="BK782" t="s">
        <v>98</v>
      </c>
      <c r="BL782" t="s">
        <v>99</v>
      </c>
      <c r="BM782" t="s">
        <v>14234</v>
      </c>
      <c r="BN782">
        <v>19302318</v>
      </c>
      <c r="BO782" t="s">
        <v>263</v>
      </c>
      <c r="BP782" t="s">
        <v>74</v>
      </c>
      <c r="BQ782" t="s">
        <v>74</v>
      </c>
      <c r="BR782" t="s">
        <v>101</v>
      </c>
      <c r="BS782" t="s">
        <v>14235</v>
      </c>
      <c r="BT782" t="str">
        <f>HYPERLINK("https%3A%2F%2Fwww.webofscience.com%2Fwos%2Fwoscc%2Ffull-record%2FWOS:000266707500012","View Full Record in Web of Science")</f>
        <v>View Full Record in Web of Science</v>
      </c>
    </row>
    <row r="783" spans="1:72" x14ac:dyDescent="0.15">
      <c r="A783" t="s">
        <v>72</v>
      </c>
      <c r="B783" t="s">
        <v>14236</v>
      </c>
      <c r="C783" t="s">
        <v>74</v>
      </c>
      <c r="D783" t="s">
        <v>74</v>
      </c>
      <c r="E783" t="s">
        <v>74</v>
      </c>
      <c r="F783" t="s">
        <v>14237</v>
      </c>
      <c r="G783" t="s">
        <v>74</v>
      </c>
      <c r="H783" t="s">
        <v>74</v>
      </c>
      <c r="I783" t="s">
        <v>14238</v>
      </c>
      <c r="J783" t="s">
        <v>2328</v>
      </c>
      <c r="K783" t="s">
        <v>74</v>
      </c>
      <c r="L783" t="s">
        <v>74</v>
      </c>
      <c r="M783" t="s">
        <v>78</v>
      </c>
      <c r="N783" t="s">
        <v>523</v>
      </c>
      <c r="O783" t="s">
        <v>74</v>
      </c>
      <c r="P783" t="s">
        <v>74</v>
      </c>
      <c r="Q783" t="s">
        <v>74</v>
      </c>
      <c r="R783" t="s">
        <v>74</v>
      </c>
      <c r="S783" t="s">
        <v>74</v>
      </c>
      <c r="T783" t="s">
        <v>74</v>
      </c>
      <c r="U783" t="s">
        <v>74</v>
      </c>
      <c r="V783" t="s">
        <v>74</v>
      </c>
      <c r="W783" t="s">
        <v>14239</v>
      </c>
      <c r="X783" t="s">
        <v>14240</v>
      </c>
      <c r="Y783" t="s">
        <v>14241</v>
      </c>
      <c r="Z783" t="s">
        <v>14242</v>
      </c>
      <c r="AA783" t="s">
        <v>14243</v>
      </c>
      <c r="AB783" t="s">
        <v>14244</v>
      </c>
      <c r="AC783" t="s">
        <v>14245</v>
      </c>
      <c r="AD783" t="s">
        <v>14246</v>
      </c>
      <c r="AE783" t="s">
        <v>74</v>
      </c>
      <c r="AF783" t="s">
        <v>74</v>
      </c>
      <c r="AG783">
        <v>19</v>
      </c>
      <c r="AH783">
        <v>12</v>
      </c>
      <c r="AI783">
        <v>12</v>
      </c>
      <c r="AJ783">
        <v>0</v>
      </c>
      <c r="AK783">
        <v>6</v>
      </c>
      <c r="AL783" t="s">
        <v>1894</v>
      </c>
      <c r="AM783" t="s">
        <v>1895</v>
      </c>
      <c r="AN783" t="s">
        <v>1896</v>
      </c>
      <c r="AO783" t="s">
        <v>2341</v>
      </c>
      <c r="AP783" t="s">
        <v>2342</v>
      </c>
      <c r="AQ783" t="s">
        <v>74</v>
      </c>
      <c r="AR783" t="s">
        <v>2343</v>
      </c>
      <c r="AS783" t="s">
        <v>2344</v>
      </c>
      <c r="AT783" t="s">
        <v>13544</v>
      </c>
      <c r="AU783">
        <v>2009</v>
      </c>
      <c r="AV783">
        <v>71</v>
      </c>
      <c r="AW783" t="s">
        <v>14247</v>
      </c>
      <c r="AX783" t="s">
        <v>74</v>
      </c>
      <c r="AY783" t="s">
        <v>74</v>
      </c>
      <c r="AZ783" t="s">
        <v>1546</v>
      </c>
      <c r="BA783" t="s">
        <v>74</v>
      </c>
      <c r="BB783">
        <v>1011</v>
      </c>
      <c r="BC783">
        <v>1013</v>
      </c>
      <c r="BD783" t="s">
        <v>74</v>
      </c>
      <c r="BE783" t="s">
        <v>14248</v>
      </c>
      <c r="BF783" t="str">
        <f>HYPERLINK("http://dx.doi.org/10.1016/j.jastp.2008.09.019","http://dx.doi.org/10.1016/j.jastp.2008.09.019")</f>
        <v>http://dx.doi.org/10.1016/j.jastp.2008.09.019</v>
      </c>
      <c r="BG783" t="s">
        <v>74</v>
      </c>
      <c r="BH783" t="s">
        <v>74</v>
      </c>
      <c r="BI783">
        <v>3</v>
      </c>
      <c r="BJ783" t="s">
        <v>2347</v>
      </c>
      <c r="BK783" t="s">
        <v>98</v>
      </c>
      <c r="BL783" t="s">
        <v>2347</v>
      </c>
      <c r="BM783" t="s">
        <v>14249</v>
      </c>
      <c r="BN783" t="s">
        <v>74</v>
      </c>
      <c r="BO783" t="s">
        <v>1381</v>
      </c>
      <c r="BP783" t="s">
        <v>74</v>
      </c>
      <c r="BQ783" t="s">
        <v>74</v>
      </c>
      <c r="BR783" t="s">
        <v>101</v>
      </c>
      <c r="BS783" t="s">
        <v>14250</v>
      </c>
      <c r="BT783" t="str">
        <f>HYPERLINK("https%3A%2F%2Fwww.webofscience.com%2Fwos%2Fwoscc%2Ffull-record%2FWOS:000268602100001","View Full Record in Web of Science")</f>
        <v>View Full Record in Web of Science</v>
      </c>
    </row>
    <row r="784" spans="1:72" x14ac:dyDescent="0.15">
      <c r="A784" t="s">
        <v>72</v>
      </c>
      <c r="B784" t="s">
        <v>14251</v>
      </c>
      <c r="C784" t="s">
        <v>74</v>
      </c>
      <c r="D784" t="s">
        <v>74</v>
      </c>
      <c r="E784" t="s">
        <v>74</v>
      </c>
      <c r="F784" t="s">
        <v>14252</v>
      </c>
      <c r="G784" t="s">
        <v>74</v>
      </c>
      <c r="H784" t="s">
        <v>74</v>
      </c>
      <c r="I784" t="s">
        <v>14253</v>
      </c>
      <c r="J784" t="s">
        <v>2328</v>
      </c>
      <c r="K784" t="s">
        <v>74</v>
      </c>
      <c r="L784" t="s">
        <v>74</v>
      </c>
      <c r="M784" t="s">
        <v>78</v>
      </c>
      <c r="N784" t="s">
        <v>1965</v>
      </c>
      <c r="O784" t="s">
        <v>14254</v>
      </c>
      <c r="P784" t="s">
        <v>14255</v>
      </c>
      <c r="Q784" t="s">
        <v>14256</v>
      </c>
      <c r="R784" t="s">
        <v>74</v>
      </c>
      <c r="S784" t="s">
        <v>14257</v>
      </c>
      <c r="T784" t="s">
        <v>14258</v>
      </c>
      <c r="U784" t="s">
        <v>14259</v>
      </c>
      <c r="V784" t="s">
        <v>14260</v>
      </c>
      <c r="W784" t="s">
        <v>14261</v>
      </c>
      <c r="X784" t="s">
        <v>14262</v>
      </c>
      <c r="Y784" t="s">
        <v>14263</v>
      </c>
      <c r="Z784" t="s">
        <v>14264</v>
      </c>
      <c r="AA784" t="s">
        <v>14265</v>
      </c>
      <c r="AB784" t="s">
        <v>14266</v>
      </c>
      <c r="AC784" t="s">
        <v>572</v>
      </c>
      <c r="AD784" t="s">
        <v>573</v>
      </c>
      <c r="AE784" t="s">
        <v>74</v>
      </c>
      <c r="AF784" t="s">
        <v>74</v>
      </c>
      <c r="AG784">
        <v>47</v>
      </c>
      <c r="AH784">
        <v>10</v>
      </c>
      <c r="AI784">
        <v>11</v>
      </c>
      <c r="AJ784">
        <v>0</v>
      </c>
      <c r="AK784">
        <v>5</v>
      </c>
      <c r="AL784" t="s">
        <v>1894</v>
      </c>
      <c r="AM784" t="s">
        <v>1895</v>
      </c>
      <c r="AN784" t="s">
        <v>1896</v>
      </c>
      <c r="AO784" t="s">
        <v>2341</v>
      </c>
      <c r="AP784" t="s">
        <v>2342</v>
      </c>
      <c r="AQ784" t="s">
        <v>74</v>
      </c>
      <c r="AR784" t="s">
        <v>2343</v>
      </c>
      <c r="AS784" t="s">
        <v>2344</v>
      </c>
      <c r="AT784" t="s">
        <v>13544</v>
      </c>
      <c r="AU784">
        <v>2009</v>
      </c>
      <c r="AV784">
        <v>71</v>
      </c>
      <c r="AW784" t="s">
        <v>14247</v>
      </c>
      <c r="AX784" t="s">
        <v>74</v>
      </c>
      <c r="AY784" t="s">
        <v>74</v>
      </c>
      <c r="AZ784" t="s">
        <v>1546</v>
      </c>
      <c r="BA784" t="s">
        <v>74</v>
      </c>
      <c r="BB784">
        <v>1059</v>
      </c>
      <c r="BC784">
        <v>1072</v>
      </c>
      <c r="BD784" t="s">
        <v>74</v>
      </c>
      <c r="BE784" t="s">
        <v>14267</v>
      </c>
      <c r="BF784" t="str">
        <f>HYPERLINK("http://dx.doi.org/10.1016/j.jastp.2008.04.016","http://dx.doi.org/10.1016/j.jastp.2008.04.016")</f>
        <v>http://dx.doi.org/10.1016/j.jastp.2008.04.016</v>
      </c>
      <c r="BG784" t="s">
        <v>74</v>
      </c>
      <c r="BH784" t="s">
        <v>74</v>
      </c>
      <c r="BI784">
        <v>14</v>
      </c>
      <c r="BJ784" t="s">
        <v>2347</v>
      </c>
      <c r="BK784" t="s">
        <v>1986</v>
      </c>
      <c r="BL784" t="s">
        <v>2347</v>
      </c>
      <c r="BM784" t="s">
        <v>14249</v>
      </c>
      <c r="BN784" t="s">
        <v>74</v>
      </c>
      <c r="BO784" t="s">
        <v>74</v>
      </c>
      <c r="BP784" t="s">
        <v>74</v>
      </c>
      <c r="BQ784" t="s">
        <v>74</v>
      </c>
      <c r="BR784" t="s">
        <v>101</v>
      </c>
      <c r="BS784" t="s">
        <v>14268</v>
      </c>
      <c r="BT784" t="str">
        <f>HYPERLINK("https%3A%2F%2Fwww.webofscience.com%2Fwos%2Fwoscc%2Ffull-record%2FWOS:000268602100006","View Full Record in Web of Science")</f>
        <v>View Full Record in Web of Science</v>
      </c>
    </row>
    <row r="785" spans="1:72" x14ac:dyDescent="0.15">
      <c r="A785" t="s">
        <v>72</v>
      </c>
      <c r="B785" t="s">
        <v>14269</v>
      </c>
      <c r="C785" t="s">
        <v>74</v>
      </c>
      <c r="D785" t="s">
        <v>74</v>
      </c>
      <c r="E785" t="s">
        <v>74</v>
      </c>
      <c r="F785" t="s">
        <v>14270</v>
      </c>
      <c r="G785" t="s">
        <v>74</v>
      </c>
      <c r="H785" t="s">
        <v>74</v>
      </c>
      <c r="I785" t="s">
        <v>14271</v>
      </c>
      <c r="J785" t="s">
        <v>2328</v>
      </c>
      <c r="K785" t="s">
        <v>74</v>
      </c>
      <c r="L785" t="s">
        <v>74</v>
      </c>
      <c r="M785" t="s">
        <v>78</v>
      </c>
      <c r="N785" t="s">
        <v>1965</v>
      </c>
      <c r="O785" t="s">
        <v>14254</v>
      </c>
      <c r="P785" t="s">
        <v>14255</v>
      </c>
      <c r="Q785" t="s">
        <v>14256</v>
      </c>
      <c r="R785" t="s">
        <v>74</v>
      </c>
      <c r="S785" t="s">
        <v>14257</v>
      </c>
      <c r="T785" t="s">
        <v>14272</v>
      </c>
      <c r="U785" t="s">
        <v>14273</v>
      </c>
      <c r="V785" t="s">
        <v>14274</v>
      </c>
      <c r="W785" t="s">
        <v>14275</v>
      </c>
      <c r="X785" t="s">
        <v>14276</v>
      </c>
      <c r="Y785" t="s">
        <v>14277</v>
      </c>
      <c r="Z785" t="s">
        <v>14278</v>
      </c>
      <c r="AA785" t="s">
        <v>4277</v>
      </c>
      <c r="AB785" t="s">
        <v>4278</v>
      </c>
      <c r="AC785" t="s">
        <v>9552</v>
      </c>
      <c r="AD785" t="s">
        <v>730</v>
      </c>
      <c r="AE785" t="s">
        <v>74</v>
      </c>
      <c r="AF785" t="s">
        <v>74</v>
      </c>
      <c r="AG785">
        <v>44</v>
      </c>
      <c r="AH785">
        <v>18</v>
      </c>
      <c r="AI785">
        <v>19</v>
      </c>
      <c r="AJ785">
        <v>0</v>
      </c>
      <c r="AK785">
        <v>3</v>
      </c>
      <c r="AL785" t="s">
        <v>1894</v>
      </c>
      <c r="AM785" t="s">
        <v>1895</v>
      </c>
      <c r="AN785" t="s">
        <v>1896</v>
      </c>
      <c r="AO785" t="s">
        <v>2341</v>
      </c>
      <c r="AP785" t="s">
        <v>2342</v>
      </c>
      <c r="AQ785" t="s">
        <v>74</v>
      </c>
      <c r="AR785" t="s">
        <v>2343</v>
      </c>
      <c r="AS785" t="s">
        <v>2344</v>
      </c>
      <c r="AT785" t="s">
        <v>13544</v>
      </c>
      <c r="AU785">
        <v>2009</v>
      </c>
      <c r="AV785">
        <v>71</v>
      </c>
      <c r="AW785" t="s">
        <v>14247</v>
      </c>
      <c r="AX785" t="s">
        <v>74</v>
      </c>
      <c r="AY785" t="s">
        <v>74</v>
      </c>
      <c r="AZ785" t="s">
        <v>1546</v>
      </c>
      <c r="BA785" t="s">
        <v>74</v>
      </c>
      <c r="BB785">
        <v>1073</v>
      </c>
      <c r="BC785">
        <v>1081</v>
      </c>
      <c r="BD785" t="s">
        <v>74</v>
      </c>
      <c r="BE785" t="s">
        <v>14279</v>
      </c>
      <c r="BF785" t="str">
        <f>HYPERLINK("http://dx.doi.org/10.1016/j.jastp.2008.11.009","http://dx.doi.org/10.1016/j.jastp.2008.11.009")</f>
        <v>http://dx.doi.org/10.1016/j.jastp.2008.11.009</v>
      </c>
      <c r="BG785" t="s">
        <v>74</v>
      </c>
      <c r="BH785" t="s">
        <v>74</v>
      </c>
      <c r="BI785">
        <v>9</v>
      </c>
      <c r="BJ785" t="s">
        <v>2347</v>
      </c>
      <c r="BK785" t="s">
        <v>1986</v>
      </c>
      <c r="BL785" t="s">
        <v>2347</v>
      </c>
      <c r="BM785" t="s">
        <v>14249</v>
      </c>
      <c r="BN785" t="s">
        <v>74</v>
      </c>
      <c r="BO785" t="s">
        <v>74</v>
      </c>
      <c r="BP785" t="s">
        <v>74</v>
      </c>
      <c r="BQ785" t="s">
        <v>74</v>
      </c>
      <c r="BR785" t="s">
        <v>101</v>
      </c>
      <c r="BS785" t="s">
        <v>14280</v>
      </c>
      <c r="BT785" t="str">
        <f>HYPERLINK("https%3A%2F%2Fwww.webofscience.com%2Fwos%2Fwoscc%2Ffull-record%2FWOS:000268602100007","View Full Record in Web of Science")</f>
        <v>View Full Record in Web of Science</v>
      </c>
    </row>
    <row r="786" spans="1:72" x14ac:dyDescent="0.15">
      <c r="A786" t="s">
        <v>72</v>
      </c>
      <c r="B786" t="s">
        <v>14281</v>
      </c>
      <c r="C786" t="s">
        <v>74</v>
      </c>
      <c r="D786" t="s">
        <v>74</v>
      </c>
      <c r="E786" t="s">
        <v>74</v>
      </c>
      <c r="F786" t="s">
        <v>14282</v>
      </c>
      <c r="G786" t="s">
        <v>74</v>
      </c>
      <c r="H786" t="s">
        <v>74</v>
      </c>
      <c r="I786" t="s">
        <v>14283</v>
      </c>
      <c r="J786" t="s">
        <v>2328</v>
      </c>
      <c r="K786" t="s">
        <v>74</v>
      </c>
      <c r="L786" t="s">
        <v>74</v>
      </c>
      <c r="M786" t="s">
        <v>78</v>
      </c>
      <c r="N786" t="s">
        <v>1965</v>
      </c>
      <c r="O786" t="s">
        <v>14254</v>
      </c>
      <c r="P786" t="s">
        <v>14255</v>
      </c>
      <c r="Q786" t="s">
        <v>14256</v>
      </c>
      <c r="R786" t="s">
        <v>74</v>
      </c>
      <c r="S786" t="s">
        <v>14257</v>
      </c>
      <c r="T786" t="s">
        <v>14284</v>
      </c>
      <c r="U786" t="s">
        <v>14285</v>
      </c>
      <c r="V786" t="s">
        <v>14286</v>
      </c>
      <c r="W786" t="s">
        <v>14287</v>
      </c>
      <c r="X786" t="s">
        <v>725</v>
      </c>
      <c r="Y786" t="s">
        <v>14288</v>
      </c>
      <c r="Z786" t="s">
        <v>14289</v>
      </c>
      <c r="AA786" t="s">
        <v>13252</v>
      </c>
      <c r="AB786" t="s">
        <v>13253</v>
      </c>
      <c r="AC786" t="s">
        <v>14290</v>
      </c>
      <c r="AD786" t="s">
        <v>14291</v>
      </c>
      <c r="AE786" t="s">
        <v>74</v>
      </c>
      <c r="AF786" t="s">
        <v>74</v>
      </c>
      <c r="AG786">
        <v>52</v>
      </c>
      <c r="AH786">
        <v>12</v>
      </c>
      <c r="AI786">
        <v>12</v>
      </c>
      <c r="AJ786">
        <v>0</v>
      </c>
      <c r="AK786">
        <v>5</v>
      </c>
      <c r="AL786" t="s">
        <v>1894</v>
      </c>
      <c r="AM786" t="s">
        <v>1895</v>
      </c>
      <c r="AN786" t="s">
        <v>1896</v>
      </c>
      <c r="AO786" t="s">
        <v>2341</v>
      </c>
      <c r="AP786" t="s">
        <v>2342</v>
      </c>
      <c r="AQ786" t="s">
        <v>74</v>
      </c>
      <c r="AR786" t="s">
        <v>2343</v>
      </c>
      <c r="AS786" t="s">
        <v>2344</v>
      </c>
      <c r="AT786" t="s">
        <v>13544</v>
      </c>
      <c r="AU786">
        <v>2009</v>
      </c>
      <c r="AV786">
        <v>71</v>
      </c>
      <c r="AW786" t="s">
        <v>14247</v>
      </c>
      <c r="AX786" t="s">
        <v>74</v>
      </c>
      <c r="AY786" t="s">
        <v>74</v>
      </c>
      <c r="AZ786" t="s">
        <v>1546</v>
      </c>
      <c r="BA786" t="s">
        <v>74</v>
      </c>
      <c r="BB786">
        <v>1145</v>
      </c>
      <c r="BC786">
        <v>1156</v>
      </c>
      <c r="BD786" t="s">
        <v>74</v>
      </c>
      <c r="BE786" t="s">
        <v>14292</v>
      </c>
      <c r="BF786" t="str">
        <f>HYPERLINK("http://dx.doi.org/10.1016/j.jastp.2008.06.007","http://dx.doi.org/10.1016/j.jastp.2008.06.007")</f>
        <v>http://dx.doi.org/10.1016/j.jastp.2008.06.007</v>
      </c>
      <c r="BG786" t="s">
        <v>74</v>
      </c>
      <c r="BH786" t="s">
        <v>74</v>
      </c>
      <c r="BI786">
        <v>12</v>
      </c>
      <c r="BJ786" t="s">
        <v>2347</v>
      </c>
      <c r="BK786" t="s">
        <v>1986</v>
      </c>
      <c r="BL786" t="s">
        <v>2347</v>
      </c>
      <c r="BM786" t="s">
        <v>14249</v>
      </c>
      <c r="BN786" t="s">
        <v>74</v>
      </c>
      <c r="BO786" t="s">
        <v>74</v>
      </c>
      <c r="BP786" t="s">
        <v>74</v>
      </c>
      <c r="BQ786" t="s">
        <v>74</v>
      </c>
      <c r="BR786" t="s">
        <v>101</v>
      </c>
      <c r="BS786" t="s">
        <v>14293</v>
      </c>
      <c r="BT786" t="str">
        <f>HYPERLINK("https%3A%2F%2Fwww.webofscience.com%2Fwos%2Fwoscc%2Ffull-record%2FWOS:000268602100012","View Full Record in Web of Science")</f>
        <v>View Full Record in Web of Science</v>
      </c>
    </row>
    <row r="787" spans="1:72" x14ac:dyDescent="0.15">
      <c r="A787" t="s">
        <v>72</v>
      </c>
      <c r="B787" t="s">
        <v>14294</v>
      </c>
      <c r="C787" t="s">
        <v>74</v>
      </c>
      <c r="D787" t="s">
        <v>74</v>
      </c>
      <c r="E787" t="s">
        <v>74</v>
      </c>
      <c r="F787" t="s">
        <v>14295</v>
      </c>
      <c r="G787" t="s">
        <v>74</v>
      </c>
      <c r="H787" t="s">
        <v>74</v>
      </c>
      <c r="I787" t="s">
        <v>14296</v>
      </c>
      <c r="J787" t="s">
        <v>2328</v>
      </c>
      <c r="K787" t="s">
        <v>74</v>
      </c>
      <c r="L787" t="s">
        <v>74</v>
      </c>
      <c r="M787" t="s">
        <v>78</v>
      </c>
      <c r="N787" t="s">
        <v>1965</v>
      </c>
      <c r="O787" t="s">
        <v>14254</v>
      </c>
      <c r="P787" t="s">
        <v>14255</v>
      </c>
      <c r="Q787" t="s">
        <v>14256</v>
      </c>
      <c r="R787" t="s">
        <v>74</v>
      </c>
      <c r="S787" t="s">
        <v>14257</v>
      </c>
      <c r="T787" t="s">
        <v>14297</v>
      </c>
      <c r="U787" t="s">
        <v>14298</v>
      </c>
      <c r="V787" t="s">
        <v>14299</v>
      </c>
      <c r="W787" t="s">
        <v>14300</v>
      </c>
      <c r="X787" t="s">
        <v>14301</v>
      </c>
      <c r="Y787" t="s">
        <v>14302</v>
      </c>
      <c r="Z787" t="s">
        <v>14303</v>
      </c>
      <c r="AA787" t="s">
        <v>14304</v>
      </c>
      <c r="AB787" t="s">
        <v>14305</v>
      </c>
      <c r="AC787" t="s">
        <v>572</v>
      </c>
      <c r="AD787" t="s">
        <v>573</v>
      </c>
      <c r="AE787" t="s">
        <v>74</v>
      </c>
      <c r="AF787" t="s">
        <v>74</v>
      </c>
      <c r="AG787">
        <v>71</v>
      </c>
      <c r="AH787">
        <v>163</v>
      </c>
      <c r="AI787">
        <v>167</v>
      </c>
      <c r="AJ787">
        <v>0</v>
      </c>
      <c r="AK787">
        <v>24</v>
      </c>
      <c r="AL787" t="s">
        <v>1894</v>
      </c>
      <c r="AM787" t="s">
        <v>1895</v>
      </c>
      <c r="AN787" t="s">
        <v>1896</v>
      </c>
      <c r="AO787" t="s">
        <v>2341</v>
      </c>
      <c r="AP787" t="s">
        <v>2342</v>
      </c>
      <c r="AQ787" t="s">
        <v>74</v>
      </c>
      <c r="AR787" t="s">
        <v>2343</v>
      </c>
      <c r="AS787" t="s">
        <v>2344</v>
      </c>
      <c r="AT787" t="s">
        <v>13544</v>
      </c>
      <c r="AU787">
        <v>2009</v>
      </c>
      <c r="AV787">
        <v>71</v>
      </c>
      <c r="AW787" t="s">
        <v>14247</v>
      </c>
      <c r="AX787" t="s">
        <v>74</v>
      </c>
      <c r="AY787" t="s">
        <v>74</v>
      </c>
      <c r="AZ787" t="s">
        <v>1546</v>
      </c>
      <c r="BA787" t="s">
        <v>74</v>
      </c>
      <c r="BB787">
        <v>1176</v>
      </c>
      <c r="BC787">
        <v>1189</v>
      </c>
      <c r="BD787" t="s">
        <v>74</v>
      </c>
      <c r="BE787" t="s">
        <v>14306</v>
      </c>
      <c r="BF787" t="str">
        <f>HYPERLINK("http://dx.doi.org/10.1016/j.jastp.2008.07.005","http://dx.doi.org/10.1016/j.jastp.2008.07.005")</f>
        <v>http://dx.doi.org/10.1016/j.jastp.2008.07.005</v>
      </c>
      <c r="BG787" t="s">
        <v>74</v>
      </c>
      <c r="BH787" t="s">
        <v>74</v>
      </c>
      <c r="BI787">
        <v>14</v>
      </c>
      <c r="BJ787" t="s">
        <v>2347</v>
      </c>
      <c r="BK787" t="s">
        <v>1986</v>
      </c>
      <c r="BL787" t="s">
        <v>2347</v>
      </c>
      <c r="BM787" t="s">
        <v>14249</v>
      </c>
      <c r="BN787" t="s">
        <v>74</v>
      </c>
      <c r="BO787" t="s">
        <v>74</v>
      </c>
      <c r="BP787" t="s">
        <v>74</v>
      </c>
      <c r="BQ787" t="s">
        <v>74</v>
      </c>
      <c r="BR787" t="s">
        <v>101</v>
      </c>
      <c r="BS787" t="s">
        <v>14307</v>
      </c>
      <c r="BT787" t="str">
        <f>HYPERLINK("https%3A%2F%2Fwww.webofscience.com%2Fwos%2Fwoscc%2Ffull-record%2FWOS:000268602100014","View Full Record in Web of Science")</f>
        <v>View Full Record in Web of Science</v>
      </c>
    </row>
    <row r="788" spans="1:72" x14ac:dyDescent="0.15">
      <c r="A788" t="s">
        <v>72</v>
      </c>
      <c r="B788" t="s">
        <v>14308</v>
      </c>
      <c r="C788" t="s">
        <v>74</v>
      </c>
      <c r="D788" t="s">
        <v>74</v>
      </c>
      <c r="E788" t="s">
        <v>74</v>
      </c>
      <c r="F788" t="s">
        <v>14309</v>
      </c>
      <c r="G788" t="s">
        <v>74</v>
      </c>
      <c r="H788" t="s">
        <v>74</v>
      </c>
      <c r="I788" t="s">
        <v>14310</v>
      </c>
      <c r="J788" t="s">
        <v>2386</v>
      </c>
      <c r="K788" t="s">
        <v>74</v>
      </c>
      <c r="L788" t="s">
        <v>74</v>
      </c>
      <c r="M788" t="s">
        <v>78</v>
      </c>
      <c r="N788" t="s">
        <v>79</v>
      </c>
      <c r="O788" t="s">
        <v>74</v>
      </c>
      <c r="P788" t="s">
        <v>74</v>
      </c>
      <c r="Q788" t="s">
        <v>74</v>
      </c>
      <c r="R788" t="s">
        <v>74</v>
      </c>
      <c r="S788" t="s">
        <v>74</v>
      </c>
      <c r="T788" t="s">
        <v>74</v>
      </c>
      <c r="U788" t="s">
        <v>14311</v>
      </c>
      <c r="V788" t="s">
        <v>14312</v>
      </c>
      <c r="W788" t="s">
        <v>14313</v>
      </c>
      <c r="X788" t="s">
        <v>14314</v>
      </c>
      <c r="Y788" t="s">
        <v>14315</v>
      </c>
      <c r="Z788" t="s">
        <v>14316</v>
      </c>
      <c r="AA788" t="s">
        <v>14317</v>
      </c>
      <c r="AB788" t="s">
        <v>14318</v>
      </c>
      <c r="AC788" t="s">
        <v>14319</v>
      </c>
      <c r="AD788" t="s">
        <v>573</v>
      </c>
      <c r="AE788" t="s">
        <v>74</v>
      </c>
      <c r="AF788" t="s">
        <v>74</v>
      </c>
      <c r="AG788">
        <v>74</v>
      </c>
      <c r="AH788">
        <v>83</v>
      </c>
      <c r="AI788">
        <v>88</v>
      </c>
      <c r="AJ788">
        <v>1</v>
      </c>
      <c r="AK788">
        <v>22</v>
      </c>
      <c r="AL788" t="s">
        <v>2397</v>
      </c>
      <c r="AM788" t="s">
        <v>2398</v>
      </c>
      <c r="AN788" t="s">
        <v>6709</v>
      </c>
      <c r="AO788" t="s">
        <v>2400</v>
      </c>
      <c r="AP788" t="s">
        <v>2401</v>
      </c>
      <c r="AQ788" t="s">
        <v>74</v>
      </c>
      <c r="AR788" t="s">
        <v>2402</v>
      </c>
      <c r="AS788" t="s">
        <v>2403</v>
      </c>
      <c r="AT788" t="s">
        <v>13544</v>
      </c>
      <c r="AU788">
        <v>2009</v>
      </c>
      <c r="AV788">
        <v>22</v>
      </c>
      <c r="AW788">
        <v>13</v>
      </c>
      <c r="AX788" t="s">
        <v>74</v>
      </c>
      <c r="AY788" t="s">
        <v>74</v>
      </c>
      <c r="AZ788" t="s">
        <v>74</v>
      </c>
      <c r="BA788" t="s">
        <v>74</v>
      </c>
      <c r="BB788">
        <v>3661</v>
      </c>
      <c r="BC788">
        <v>3688</v>
      </c>
      <c r="BD788" t="s">
        <v>74</v>
      </c>
      <c r="BE788" t="s">
        <v>14320</v>
      </c>
      <c r="BF788" t="str">
        <f>HYPERLINK("http://dx.doi.org/10.1175/2009JCLI2621.1","http://dx.doi.org/10.1175/2009JCLI2621.1")</f>
        <v>http://dx.doi.org/10.1175/2009JCLI2621.1</v>
      </c>
      <c r="BG788" t="s">
        <v>74</v>
      </c>
      <c r="BH788" t="s">
        <v>74</v>
      </c>
      <c r="BI788">
        <v>28</v>
      </c>
      <c r="BJ788" t="s">
        <v>413</v>
      </c>
      <c r="BK788" t="s">
        <v>98</v>
      </c>
      <c r="BL788" t="s">
        <v>413</v>
      </c>
      <c r="BM788" t="s">
        <v>14321</v>
      </c>
      <c r="BN788" t="s">
        <v>74</v>
      </c>
      <c r="BO788" t="s">
        <v>14322</v>
      </c>
      <c r="BP788" t="s">
        <v>74</v>
      </c>
      <c r="BQ788" t="s">
        <v>74</v>
      </c>
      <c r="BR788" t="s">
        <v>101</v>
      </c>
      <c r="BS788" t="s">
        <v>14323</v>
      </c>
      <c r="BT788" t="str">
        <f>HYPERLINK("https%3A%2F%2Fwww.webofscience.com%2Fwos%2Fwoscc%2Ffull-record%2FWOS:000268127300009","View Full Record in Web of Science")</f>
        <v>View Full Record in Web of Science</v>
      </c>
    </row>
    <row r="789" spans="1:72" x14ac:dyDescent="0.15">
      <c r="A789" t="s">
        <v>72</v>
      </c>
      <c r="B789" t="s">
        <v>4111</v>
      </c>
      <c r="C789" t="s">
        <v>74</v>
      </c>
      <c r="D789" t="s">
        <v>74</v>
      </c>
      <c r="E789" t="s">
        <v>74</v>
      </c>
      <c r="F789" t="s">
        <v>4112</v>
      </c>
      <c r="G789" t="s">
        <v>74</v>
      </c>
      <c r="H789" t="s">
        <v>74</v>
      </c>
      <c r="I789" t="s">
        <v>14324</v>
      </c>
      <c r="J789" t="s">
        <v>2386</v>
      </c>
      <c r="K789" t="s">
        <v>74</v>
      </c>
      <c r="L789" t="s">
        <v>74</v>
      </c>
      <c r="M789" t="s">
        <v>78</v>
      </c>
      <c r="N789" t="s">
        <v>79</v>
      </c>
      <c r="O789" t="s">
        <v>74</v>
      </c>
      <c r="P789" t="s">
        <v>74</v>
      </c>
      <c r="Q789" t="s">
        <v>74</v>
      </c>
      <c r="R789" t="s">
        <v>74</v>
      </c>
      <c r="S789" t="s">
        <v>74</v>
      </c>
      <c r="T789" t="s">
        <v>74</v>
      </c>
      <c r="U789" t="s">
        <v>14325</v>
      </c>
      <c r="V789" t="s">
        <v>14326</v>
      </c>
      <c r="W789" t="s">
        <v>4115</v>
      </c>
      <c r="X789" t="s">
        <v>4116</v>
      </c>
      <c r="Y789" t="s">
        <v>4117</v>
      </c>
      <c r="Z789" t="s">
        <v>4118</v>
      </c>
      <c r="AA789" t="s">
        <v>4119</v>
      </c>
      <c r="AB789" t="s">
        <v>14327</v>
      </c>
      <c r="AC789" t="s">
        <v>14328</v>
      </c>
      <c r="AD789" t="s">
        <v>14329</v>
      </c>
      <c r="AE789" t="s">
        <v>14330</v>
      </c>
      <c r="AF789" t="s">
        <v>74</v>
      </c>
      <c r="AG789">
        <v>55</v>
      </c>
      <c r="AH789">
        <v>31</v>
      </c>
      <c r="AI789">
        <v>32</v>
      </c>
      <c r="AJ789">
        <v>0</v>
      </c>
      <c r="AK789">
        <v>11</v>
      </c>
      <c r="AL789" t="s">
        <v>2397</v>
      </c>
      <c r="AM789" t="s">
        <v>2398</v>
      </c>
      <c r="AN789" t="s">
        <v>2399</v>
      </c>
      <c r="AO789" t="s">
        <v>2400</v>
      </c>
      <c r="AP789" t="s">
        <v>2401</v>
      </c>
      <c r="AQ789" t="s">
        <v>74</v>
      </c>
      <c r="AR789" t="s">
        <v>2402</v>
      </c>
      <c r="AS789" t="s">
        <v>2403</v>
      </c>
      <c r="AT789" t="s">
        <v>13544</v>
      </c>
      <c r="AU789">
        <v>2009</v>
      </c>
      <c r="AV789">
        <v>22</v>
      </c>
      <c r="AW789">
        <v>13</v>
      </c>
      <c r="AX789" t="s">
        <v>74</v>
      </c>
      <c r="AY789" t="s">
        <v>74</v>
      </c>
      <c r="AZ789" t="s">
        <v>74</v>
      </c>
      <c r="BA789" t="s">
        <v>74</v>
      </c>
      <c r="BB789">
        <v>3751</v>
      </c>
      <c r="BC789">
        <v>3768</v>
      </c>
      <c r="BD789" t="s">
        <v>74</v>
      </c>
      <c r="BE789" t="s">
        <v>14331</v>
      </c>
      <c r="BF789" t="str">
        <f>HYPERLINK("http://dx.doi.org/10.1175/2009JCLI2788.1","http://dx.doi.org/10.1175/2009JCLI2788.1")</f>
        <v>http://dx.doi.org/10.1175/2009JCLI2788.1</v>
      </c>
      <c r="BG789" t="s">
        <v>74</v>
      </c>
      <c r="BH789" t="s">
        <v>74</v>
      </c>
      <c r="BI789">
        <v>18</v>
      </c>
      <c r="BJ789" t="s">
        <v>413</v>
      </c>
      <c r="BK789" t="s">
        <v>98</v>
      </c>
      <c r="BL789" t="s">
        <v>413</v>
      </c>
      <c r="BM789" t="s">
        <v>14321</v>
      </c>
      <c r="BN789" t="s">
        <v>74</v>
      </c>
      <c r="BO789" t="s">
        <v>4550</v>
      </c>
      <c r="BP789" t="s">
        <v>74</v>
      </c>
      <c r="BQ789" t="s">
        <v>74</v>
      </c>
      <c r="BR789" t="s">
        <v>101</v>
      </c>
      <c r="BS789" t="s">
        <v>14332</v>
      </c>
      <c r="BT789" t="str">
        <f>HYPERLINK("https%3A%2F%2Fwww.webofscience.com%2Fwos%2Fwoscc%2Ffull-record%2FWOS:000268127300014","View Full Record in Web of Science")</f>
        <v>View Full Record in Web of Science</v>
      </c>
    </row>
    <row r="790" spans="1:72" x14ac:dyDescent="0.15">
      <c r="A790" t="s">
        <v>72</v>
      </c>
      <c r="B790" t="s">
        <v>14333</v>
      </c>
      <c r="C790" t="s">
        <v>74</v>
      </c>
      <c r="D790" t="s">
        <v>74</v>
      </c>
      <c r="E790" t="s">
        <v>74</v>
      </c>
      <c r="F790" t="s">
        <v>14334</v>
      </c>
      <c r="G790" t="s">
        <v>74</v>
      </c>
      <c r="H790" t="s">
        <v>74</v>
      </c>
      <c r="I790" t="s">
        <v>14335</v>
      </c>
      <c r="J790" t="s">
        <v>7930</v>
      </c>
      <c r="K790" t="s">
        <v>74</v>
      </c>
      <c r="L790" t="s">
        <v>74</v>
      </c>
      <c r="M790" t="s">
        <v>78</v>
      </c>
      <c r="N790" t="s">
        <v>79</v>
      </c>
      <c r="O790" t="s">
        <v>74</v>
      </c>
      <c r="P790" t="s">
        <v>74</v>
      </c>
      <c r="Q790" t="s">
        <v>74</v>
      </c>
      <c r="R790" t="s">
        <v>74</v>
      </c>
      <c r="S790" t="s">
        <v>74</v>
      </c>
      <c r="T790" t="s">
        <v>74</v>
      </c>
      <c r="U790" t="s">
        <v>14336</v>
      </c>
      <c r="V790" t="s">
        <v>14337</v>
      </c>
      <c r="W790" t="s">
        <v>14338</v>
      </c>
      <c r="X790" t="s">
        <v>14339</v>
      </c>
      <c r="Y790" t="s">
        <v>14340</v>
      </c>
      <c r="Z790" t="s">
        <v>14341</v>
      </c>
      <c r="AA790" t="s">
        <v>14342</v>
      </c>
      <c r="AB790" t="s">
        <v>14343</v>
      </c>
      <c r="AC790" t="s">
        <v>14344</v>
      </c>
      <c r="AD790" t="s">
        <v>14345</v>
      </c>
      <c r="AE790" t="s">
        <v>14346</v>
      </c>
      <c r="AF790" t="s">
        <v>74</v>
      </c>
      <c r="AG790">
        <v>13</v>
      </c>
      <c r="AH790">
        <v>32</v>
      </c>
      <c r="AI790">
        <v>38</v>
      </c>
      <c r="AJ790">
        <v>0</v>
      </c>
      <c r="AK790">
        <v>14</v>
      </c>
      <c r="AL790" t="s">
        <v>887</v>
      </c>
      <c r="AM790" t="s">
        <v>227</v>
      </c>
      <c r="AN790" t="s">
        <v>888</v>
      </c>
      <c r="AO790" t="s">
        <v>7942</v>
      </c>
      <c r="AP790" t="s">
        <v>7943</v>
      </c>
      <c r="AQ790" t="s">
        <v>74</v>
      </c>
      <c r="AR790" t="s">
        <v>7944</v>
      </c>
      <c r="AS790" t="s">
        <v>7945</v>
      </c>
      <c r="AT790" t="s">
        <v>13544</v>
      </c>
      <c r="AU790">
        <v>2009</v>
      </c>
      <c r="AV790">
        <v>72</v>
      </c>
      <c r="AW790">
        <v>7</v>
      </c>
      <c r="AX790" t="s">
        <v>74</v>
      </c>
      <c r="AY790" t="s">
        <v>74</v>
      </c>
      <c r="AZ790" t="s">
        <v>74</v>
      </c>
      <c r="BA790" t="s">
        <v>74</v>
      </c>
      <c r="BB790">
        <v>1357</v>
      </c>
      <c r="BC790">
        <v>1360</v>
      </c>
      <c r="BD790" t="s">
        <v>74</v>
      </c>
      <c r="BE790" t="s">
        <v>14347</v>
      </c>
      <c r="BF790" t="str">
        <f>HYPERLINK("http://dx.doi.org/10.1021/np900162t","http://dx.doi.org/10.1021/np900162t")</f>
        <v>http://dx.doi.org/10.1021/np900162t</v>
      </c>
      <c r="BG790" t="s">
        <v>74</v>
      </c>
      <c r="BH790" t="s">
        <v>74</v>
      </c>
      <c r="BI790">
        <v>4</v>
      </c>
      <c r="BJ790" t="s">
        <v>7947</v>
      </c>
      <c r="BK790" t="s">
        <v>896</v>
      </c>
      <c r="BL790" t="s">
        <v>7948</v>
      </c>
      <c r="BM790" t="s">
        <v>14348</v>
      </c>
      <c r="BN790">
        <v>19432441</v>
      </c>
      <c r="BO790" t="s">
        <v>74</v>
      </c>
      <c r="BP790" t="s">
        <v>74</v>
      </c>
      <c r="BQ790" t="s">
        <v>74</v>
      </c>
      <c r="BR790" t="s">
        <v>101</v>
      </c>
      <c r="BS790" t="s">
        <v>14349</v>
      </c>
      <c r="BT790" t="str">
        <f>HYPERLINK("https%3A%2F%2Fwww.webofscience.com%2Fwos%2Fwoscc%2Ffull-record%2FWOS:000268664500029","View Full Record in Web of Science")</f>
        <v>View Full Record in Web of Science</v>
      </c>
    </row>
    <row r="791" spans="1:72" x14ac:dyDescent="0.15">
      <c r="A791" t="s">
        <v>72</v>
      </c>
      <c r="B791" t="s">
        <v>14350</v>
      </c>
      <c r="C791" t="s">
        <v>74</v>
      </c>
      <c r="D791" t="s">
        <v>74</v>
      </c>
      <c r="E791" t="s">
        <v>74</v>
      </c>
      <c r="F791" t="s">
        <v>14351</v>
      </c>
      <c r="G791" t="s">
        <v>74</v>
      </c>
      <c r="H791" t="s">
        <v>74</v>
      </c>
      <c r="I791" t="s">
        <v>14352</v>
      </c>
      <c r="J791" t="s">
        <v>5651</v>
      </c>
      <c r="K791" t="s">
        <v>74</v>
      </c>
      <c r="L791" t="s">
        <v>74</v>
      </c>
      <c r="M791" t="s">
        <v>78</v>
      </c>
      <c r="N791" t="s">
        <v>1965</v>
      </c>
      <c r="O791" t="s">
        <v>14353</v>
      </c>
      <c r="P791" t="s">
        <v>14354</v>
      </c>
      <c r="Q791" t="s">
        <v>14355</v>
      </c>
      <c r="R791" t="s">
        <v>74</v>
      </c>
      <c r="S791" t="s">
        <v>74</v>
      </c>
      <c r="T791" t="s">
        <v>14356</v>
      </c>
      <c r="U791" t="s">
        <v>14357</v>
      </c>
      <c r="V791" t="s">
        <v>14358</v>
      </c>
      <c r="W791" t="s">
        <v>14359</v>
      </c>
      <c r="X791" t="s">
        <v>14360</v>
      </c>
      <c r="Y791" t="s">
        <v>14361</v>
      </c>
      <c r="Z791" t="s">
        <v>14362</v>
      </c>
      <c r="AA791" t="s">
        <v>14363</v>
      </c>
      <c r="AB791" t="s">
        <v>14364</v>
      </c>
      <c r="AC791" t="s">
        <v>74</v>
      </c>
      <c r="AD791" t="s">
        <v>74</v>
      </c>
      <c r="AE791" t="s">
        <v>74</v>
      </c>
      <c r="AF791" t="s">
        <v>74</v>
      </c>
      <c r="AG791">
        <v>84</v>
      </c>
      <c r="AH791">
        <v>50</v>
      </c>
      <c r="AI791">
        <v>60</v>
      </c>
      <c r="AJ791">
        <v>0</v>
      </c>
      <c r="AK791">
        <v>16</v>
      </c>
      <c r="AL791" t="s">
        <v>2171</v>
      </c>
      <c r="AM791" t="s">
        <v>1895</v>
      </c>
      <c r="AN791" t="s">
        <v>2172</v>
      </c>
      <c r="AO791" t="s">
        <v>5664</v>
      </c>
      <c r="AP791" t="s">
        <v>5665</v>
      </c>
      <c r="AQ791" t="s">
        <v>74</v>
      </c>
      <c r="AR791" t="s">
        <v>5666</v>
      </c>
      <c r="AS791" t="s">
        <v>5667</v>
      </c>
      <c r="AT791" t="s">
        <v>13544</v>
      </c>
      <c r="AU791">
        <v>2009</v>
      </c>
      <c r="AV791">
        <v>50</v>
      </c>
      <c r="AW791">
        <v>7</v>
      </c>
      <c r="AX791" t="s">
        <v>74</v>
      </c>
      <c r="AY791" t="s">
        <v>74</v>
      </c>
      <c r="AZ791" t="s">
        <v>74</v>
      </c>
      <c r="BA791" t="s">
        <v>74</v>
      </c>
      <c r="BB791">
        <v>1359</v>
      </c>
      <c r="BC791">
        <v>1375</v>
      </c>
      <c r="BD791" t="s">
        <v>74</v>
      </c>
      <c r="BE791" t="s">
        <v>14365</v>
      </c>
      <c r="BF791" t="str">
        <f>HYPERLINK("http://dx.doi.org/10.1093/petrology/egn082","http://dx.doi.org/10.1093/petrology/egn082")</f>
        <v>http://dx.doi.org/10.1093/petrology/egn082</v>
      </c>
      <c r="BG791" t="s">
        <v>74</v>
      </c>
      <c r="BH791" t="s">
        <v>74</v>
      </c>
      <c r="BI791">
        <v>17</v>
      </c>
      <c r="BJ791" t="s">
        <v>261</v>
      </c>
      <c r="BK791" t="s">
        <v>1986</v>
      </c>
      <c r="BL791" t="s">
        <v>261</v>
      </c>
      <c r="BM791" t="s">
        <v>14366</v>
      </c>
      <c r="BN791" t="s">
        <v>74</v>
      </c>
      <c r="BO791" t="s">
        <v>263</v>
      </c>
      <c r="BP791" t="s">
        <v>74</v>
      </c>
      <c r="BQ791" t="s">
        <v>74</v>
      </c>
      <c r="BR791" t="s">
        <v>101</v>
      </c>
      <c r="BS791" t="s">
        <v>14367</v>
      </c>
      <c r="BT791" t="str">
        <f>HYPERLINK("https%3A%2F%2Fwww.webofscience.com%2Fwos%2Fwoscc%2Ffull-record%2FWOS:000268116100008","View Full Record in Web of Science")</f>
        <v>View Full Record in Web of Science</v>
      </c>
    </row>
    <row r="792" spans="1:72" x14ac:dyDescent="0.15">
      <c r="A792" t="s">
        <v>72</v>
      </c>
      <c r="B792" t="s">
        <v>14368</v>
      </c>
      <c r="C792" t="s">
        <v>74</v>
      </c>
      <c r="D792" t="s">
        <v>74</v>
      </c>
      <c r="E792" t="s">
        <v>74</v>
      </c>
      <c r="F792" t="s">
        <v>14369</v>
      </c>
      <c r="G792" t="s">
        <v>74</v>
      </c>
      <c r="H792" t="s">
        <v>74</v>
      </c>
      <c r="I792" t="s">
        <v>14370</v>
      </c>
      <c r="J792" t="s">
        <v>2553</v>
      </c>
      <c r="K792" t="s">
        <v>74</v>
      </c>
      <c r="L792" t="s">
        <v>74</v>
      </c>
      <c r="M792" t="s">
        <v>78</v>
      </c>
      <c r="N792" t="s">
        <v>79</v>
      </c>
      <c r="O792" t="s">
        <v>74</v>
      </c>
      <c r="P792" t="s">
        <v>74</v>
      </c>
      <c r="Q792" t="s">
        <v>74</v>
      </c>
      <c r="R792" t="s">
        <v>74</v>
      </c>
      <c r="S792" t="s">
        <v>74</v>
      </c>
      <c r="T792" t="s">
        <v>74</v>
      </c>
      <c r="U792" t="s">
        <v>14371</v>
      </c>
      <c r="V792" t="s">
        <v>14372</v>
      </c>
      <c r="W792" t="s">
        <v>14373</v>
      </c>
      <c r="X792" t="s">
        <v>14374</v>
      </c>
      <c r="Y792" t="s">
        <v>14375</v>
      </c>
      <c r="Z792" t="s">
        <v>14376</v>
      </c>
      <c r="AA792" t="s">
        <v>14377</v>
      </c>
      <c r="AB792" t="s">
        <v>14378</v>
      </c>
      <c r="AC792" t="s">
        <v>14379</v>
      </c>
      <c r="AD792" t="s">
        <v>14380</v>
      </c>
      <c r="AE792" t="s">
        <v>14381</v>
      </c>
      <c r="AF792" t="s">
        <v>74</v>
      </c>
      <c r="AG792">
        <v>56</v>
      </c>
      <c r="AH792">
        <v>24</v>
      </c>
      <c r="AI792">
        <v>25</v>
      </c>
      <c r="AJ792">
        <v>0</v>
      </c>
      <c r="AK792">
        <v>3</v>
      </c>
      <c r="AL792" t="s">
        <v>2397</v>
      </c>
      <c r="AM792" t="s">
        <v>2398</v>
      </c>
      <c r="AN792" t="s">
        <v>2399</v>
      </c>
      <c r="AO792" t="s">
        <v>2565</v>
      </c>
      <c r="AP792" t="s">
        <v>2566</v>
      </c>
      <c r="AQ792" t="s">
        <v>74</v>
      </c>
      <c r="AR792" t="s">
        <v>2567</v>
      </c>
      <c r="AS792" t="s">
        <v>2568</v>
      </c>
      <c r="AT792" t="s">
        <v>13544</v>
      </c>
      <c r="AU792">
        <v>2009</v>
      </c>
      <c r="AV792">
        <v>39</v>
      </c>
      <c r="AW792">
        <v>7</v>
      </c>
      <c r="AX792" t="s">
        <v>74</v>
      </c>
      <c r="AY792" t="s">
        <v>74</v>
      </c>
      <c r="AZ792" t="s">
        <v>74</v>
      </c>
      <c r="BA792" t="s">
        <v>74</v>
      </c>
      <c r="BB792">
        <v>1634</v>
      </c>
      <c r="BC792">
        <v>1651</v>
      </c>
      <c r="BD792" t="s">
        <v>74</v>
      </c>
      <c r="BE792" t="s">
        <v>14382</v>
      </c>
      <c r="BF792" t="str">
        <f>HYPERLINK("http://dx.doi.org/10.1175/2009JPO4120.1","http://dx.doi.org/10.1175/2009JPO4120.1")</f>
        <v>http://dx.doi.org/10.1175/2009JPO4120.1</v>
      </c>
      <c r="BG792" t="s">
        <v>74</v>
      </c>
      <c r="BH792" t="s">
        <v>74</v>
      </c>
      <c r="BI792">
        <v>18</v>
      </c>
      <c r="BJ792" t="s">
        <v>806</v>
      </c>
      <c r="BK792" t="s">
        <v>98</v>
      </c>
      <c r="BL792" t="s">
        <v>806</v>
      </c>
      <c r="BM792" t="s">
        <v>14383</v>
      </c>
      <c r="BN792" t="s">
        <v>74</v>
      </c>
      <c r="BO792" t="s">
        <v>263</v>
      </c>
      <c r="BP792" t="s">
        <v>74</v>
      </c>
      <c r="BQ792" t="s">
        <v>74</v>
      </c>
      <c r="BR792" t="s">
        <v>101</v>
      </c>
      <c r="BS792" t="s">
        <v>14384</v>
      </c>
      <c r="BT792" t="str">
        <f>HYPERLINK("https%3A%2F%2Fwww.webofscience.com%2Fwos%2Fwoscc%2Ffull-record%2FWOS:000268147000006","View Full Record in Web of Science")</f>
        <v>View Full Record in Web of Science</v>
      </c>
    </row>
    <row r="793" spans="1:72" x14ac:dyDescent="0.15">
      <c r="A793" t="s">
        <v>72</v>
      </c>
      <c r="B793" t="s">
        <v>14385</v>
      </c>
      <c r="C793" t="s">
        <v>74</v>
      </c>
      <c r="D793" t="s">
        <v>74</v>
      </c>
      <c r="E793" t="s">
        <v>74</v>
      </c>
      <c r="F793" t="s">
        <v>14386</v>
      </c>
      <c r="G793" t="s">
        <v>74</v>
      </c>
      <c r="H793" t="s">
        <v>74</v>
      </c>
      <c r="I793" t="s">
        <v>14387</v>
      </c>
      <c r="J793" t="s">
        <v>2553</v>
      </c>
      <c r="K793" t="s">
        <v>74</v>
      </c>
      <c r="L793" t="s">
        <v>74</v>
      </c>
      <c r="M793" t="s">
        <v>78</v>
      </c>
      <c r="N793" t="s">
        <v>79</v>
      </c>
      <c r="O793" t="s">
        <v>74</v>
      </c>
      <c r="P793" t="s">
        <v>74</v>
      </c>
      <c r="Q793" t="s">
        <v>74</v>
      </c>
      <c r="R793" t="s">
        <v>74</v>
      </c>
      <c r="S793" t="s">
        <v>74</v>
      </c>
      <c r="T793" t="s">
        <v>74</v>
      </c>
      <c r="U793" t="s">
        <v>14388</v>
      </c>
      <c r="V793" t="s">
        <v>14389</v>
      </c>
      <c r="W793" t="s">
        <v>14390</v>
      </c>
      <c r="X793" t="s">
        <v>14391</v>
      </c>
      <c r="Y793" t="s">
        <v>14392</v>
      </c>
      <c r="Z793" t="s">
        <v>14393</v>
      </c>
      <c r="AA793" t="s">
        <v>74</v>
      </c>
      <c r="AB793" t="s">
        <v>14394</v>
      </c>
      <c r="AC793" t="s">
        <v>14395</v>
      </c>
      <c r="AD793" t="s">
        <v>14396</v>
      </c>
      <c r="AE793" t="s">
        <v>14397</v>
      </c>
      <c r="AF793" t="s">
        <v>74</v>
      </c>
      <c r="AG793">
        <v>90</v>
      </c>
      <c r="AH793">
        <v>169</v>
      </c>
      <c r="AI793">
        <v>194</v>
      </c>
      <c r="AJ793">
        <v>0</v>
      </c>
      <c r="AK793">
        <v>44</v>
      </c>
      <c r="AL793" t="s">
        <v>2397</v>
      </c>
      <c r="AM793" t="s">
        <v>2398</v>
      </c>
      <c r="AN793" t="s">
        <v>2399</v>
      </c>
      <c r="AO793" t="s">
        <v>2565</v>
      </c>
      <c r="AP793" t="s">
        <v>2566</v>
      </c>
      <c r="AQ793" t="s">
        <v>74</v>
      </c>
      <c r="AR793" t="s">
        <v>2567</v>
      </c>
      <c r="AS793" t="s">
        <v>2568</v>
      </c>
      <c r="AT793" t="s">
        <v>13544</v>
      </c>
      <c r="AU793">
        <v>2009</v>
      </c>
      <c r="AV793">
        <v>39</v>
      </c>
      <c r="AW793">
        <v>7</v>
      </c>
      <c r="AX793" t="s">
        <v>74</v>
      </c>
      <c r="AY793" t="s">
        <v>74</v>
      </c>
      <c r="AZ793" t="s">
        <v>74</v>
      </c>
      <c r="BA793" t="s">
        <v>74</v>
      </c>
      <c r="BB793">
        <v>1756</v>
      </c>
      <c r="BC793">
        <v>1775</v>
      </c>
      <c r="BD793" t="s">
        <v>74</v>
      </c>
      <c r="BE793" t="s">
        <v>14398</v>
      </c>
      <c r="BF793" t="str">
        <f>HYPERLINK("http://dx.doi.org/10.1175/2009JPO4085.1","http://dx.doi.org/10.1175/2009JPO4085.1")</f>
        <v>http://dx.doi.org/10.1175/2009JPO4085.1</v>
      </c>
      <c r="BG793" t="s">
        <v>74</v>
      </c>
      <c r="BH793" t="s">
        <v>74</v>
      </c>
      <c r="BI793">
        <v>20</v>
      </c>
      <c r="BJ793" t="s">
        <v>806</v>
      </c>
      <c r="BK793" t="s">
        <v>98</v>
      </c>
      <c r="BL793" t="s">
        <v>806</v>
      </c>
      <c r="BM793" t="s">
        <v>14383</v>
      </c>
      <c r="BN793" t="s">
        <v>74</v>
      </c>
      <c r="BO793" t="s">
        <v>4550</v>
      </c>
      <c r="BP793" t="s">
        <v>74</v>
      </c>
      <c r="BQ793" t="s">
        <v>74</v>
      </c>
      <c r="BR793" t="s">
        <v>101</v>
      </c>
      <c r="BS793" t="s">
        <v>14399</v>
      </c>
      <c r="BT793" t="str">
        <f>HYPERLINK("https%3A%2F%2Fwww.webofscience.com%2Fwos%2Fwoscc%2Ffull-record%2FWOS:000268147000014","View Full Record in Web of Science")</f>
        <v>View Full Record in Web of Science</v>
      </c>
    </row>
    <row r="794" spans="1:72" x14ac:dyDescent="0.15">
      <c r="A794" t="s">
        <v>72</v>
      </c>
      <c r="B794" t="s">
        <v>14400</v>
      </c>
      <c r="C794" t="s">
        <v>74</v>
      </c>
      <c r="D794" t="s">
        <v>74</v>
      </c>
      <c r="E794" t="s">
        <v>74</v>
      </c>
      <c r="F794" t="s">
        <v>14401</v>
      </c>
      <c r="G794" t="s">
        <v>74</v>
      </c>
      <c r="H794" t="s">
        <v>74</v>
      </c>
      <c r="I794" t="s">
        <v>14402</v>
      </c>
      <c r="J794" t="s">
        <v>7989</v>
      </c>
      <c r="K794" t="s">
        <v>74</v>
      </c>
      <c r="L794" t="s">
        <v>74</v>
      </c>
      <c r="M794" t="s">
        <v>78</v>
      </c>
      <c r="N794" t="s">
        <v>79</v>
      </c>
      <c r="O794" t="s">
        <v>74</v>
      </c>
      <c r="P794" t="s">
        <v>74</v>
      </c>
      <c r="Q794" t="s">
        <v>74</v>
      </c>
      <c r="R794" t="s">
        <v>74</v>
      </c>
      <c r="S794" t="s">
        <v>74</v>
      </c>
      <c r="T794" t="s">
        <v>74</v>
      </c>
      <c r="U794" t="s">
        <v>14403</v>
      </c>
      <c r="V794" t="s">
        <v>14404</v>
      </c>
      <c r="W794" t="s">
        <v>14405</v>
      </c>
      <c r="X794" t="s">
        <v>1309</v>
      </c>
      <c r="Y794" t="s">
        <v>14406</v>
      </c>
      <c r="Z794" t="s">
        <v>14407</v>
      </c>
      <c r="AA794" t="s">
        <v>7599</v>
      </c>
      <c r="AB794" t="s">
        <v>14408</v>
      </c>
      <c r="AC794" t="s">
        <v>14409</v>
      </c>
      <c r="AD794" t="s">
        <v>14410</v>
      </c>
      <c r="AE794" t="s">
        <v>14411</v>
      </c>
      <c r="AF794" t="s">
        <v>74</v>
      </c>
      <c r="AG794">
        <v>41</v>
      </c>
      <c r="AH794">
        <v>11</v>
      </c>
      <c r="AI794">
        <v>13</v>
      </c>
      <c r="AJ794">
        <v>0</v>
      </c>
      <c r="AK794">
        <v>2</v>
      </c>
      <c r="AL794" t="s">
        <v>2171</v>
      </c>
      <c r="AM794" t="s">
        <v>1895</v>
      </c>
      <c r="AN794" t="s">
        <v>2172</v>
      </c>
      <c r="AO794" t="s">
        <v>8001</v>
      </c>
      <c r="AP794" t="s">
        <v>8002</v>
      </c>
      <c r="AQ794" t="s">
        <v>74</v>
      </c>
      <c r="AR794" t="s">
        <v>8003</v>
      </c>
      <c r="AS794" t="s">
        <v>8004</v>
      </c>
      <c r="AT794" t="s">
        <v>13544</v>
      </c>
      <c r="AU794">
        <v>2009</v>
      </c>
      <c r="AV794">
        <v>31</v>
      </c>
      <c r="AW794">
        <v>7</v>
      </c>
      <c r="AX794" t="s">
        <v>74</v>
      </c>
      <c r="AY794" t="s">
        <v>74</v>
      </c>
      <c r="AZ794" t="s">
        <v>74</v>
      </c>
      <c r="BA794" t="s">
        <v>74</v>
      </c>
      <c r="BB794">
        <v>777</v>
      </c>
      <c r="BC794">
        <v>785</v>
      </c>
      <c r="BD794" t="s">
        <v>74</v>
      </c>
      <c r="BE794" t="s">
        <v>14412</v>
      </c>
      <c r="BF794" t="str">
        <f>HYPERLINK("http://dx.doi.org/10.1093/plankt/fbp026","http://dx.doi.org/10.1093/plankt/fbp026")</f>
        <v>http://dx.doi.org/10.1093/plankt/fbp026</v>
      </c>
      <c r="BG794" t="s">
        <v>74</v>
      </c>
      <c r="BH794" t="s">
        <v>74</v>
      </c>
      <c r="BI794">
        <v>9</v>
      </c>
      <c r="BJ794" t="s">
        <v>5741</v>
      </c>
      <c r="BK794" t="s">
        <v>98</v>
      </c>
      <c r="BL794" t="s">
        <v>5741</v>
      </c>
      <c r="BM794" t="s">
        <v>14413</v>
      </c>
      <c r="BN794" t="s">
        <v>74</v>
      </c>
      <c r="BO794" t="s">
        <v>263</v>
      </c>
      <c r="BP794" t="s">
        <v>74</v>
      </c>
      <c r="BQ794" t="s">
        <v>74</v>
      </c>
      <c r="BR794" t="s">
        <v>101</v>
      </c>
      <c r="BS794" t="s">
        <v>14414</v>
      </c>
      <c r="BT794" t="str">
        <f>HYPERLINK("https%3A%2F%2Fwww.webofscience.com%2Fwos%2Fwoscc%2Ffull-record%2FWOS:000266695700007","View Full Record in Web of Science")</f>
        <v>View Full Record in Web of Science</v>
      </c>
    </row>
    <row r="795" spans="1:72" x14ac:dyDescent="0.15">
      <c r="A795" t="s">
        <v>72</v>
      </c>
      <c r="B795" t="s">
        <v>14415</v>
      </c>
      <c r="C795" t="s">
        <v>74</v>
      </c>
      <c r="D795" t="s">
        <v>74</v>
      </c>
      <c r="E795" t="s">
        <v>74</v>
      </c>
      <c r="F795" t="s">
        <v>14416</v>
      </c>
      <c r="G795" t="s">
        <v>74</v>
      </c>
      <c r="H795" t="s">
        <v>74</v>
      </c>
      <c r="I795" t="s">
        <v>14417</v>
      </c>
      <c r="J795" t="s">
        <v>2628</v>
      </c>
      <c r="K795" t="s">
        <v>74</v>
      </c>
      <c r="L795" t="s">
        <v>74</v>
      </c>
      <c r="M795" t="s">
        <v>78</v>
      </c>
      <c r="N795" t="s">
        <v>79</v>
      </c>
      <c r="O795" t="s">
        <v>74</v>
      </c>
      <c r="P795" t="s">
        <v>74</v>
      </c>
      <c r="Q795" t="s">
        <v>74</v>
      </c>
      <c r="R795" t="s">
        <v>74</v>
      </c>
      <c r="S795" t="s">
        <v>74</v>
      </c>
      <c r="T795" t="s">
        <v>74</v>
      </c>
      <c r="U795" t="s">
        <v>14418</v>
      </c>
      <c r="V795" t="s">
        <v>14419</v>
      </c>
      <c r="W795" t="s">
        <v>14420</v>
      </c>
      <c r="X795" t="s">
        <v>14421</v>
      </c>
      <c r="Y795" t="s">
        <v>14422</v>
      </c>
      <c r="Z795" t="s">
        <v>14423</v>
      </c>
      <c r="AA795" t="s">
        <v>14424</v>
      </c>
      <c r="AB795" t="s">
        <v>14425</v>
      </c>
      <c r="AC795" t="s">
        <v>9552</v>
      </c>
      <c r="AD795" t="s">
        <v>730</v>
      </c>
      <c r="AE795" t="s">
        <v>74</v>
      </c>
      <c r="AF795" t="s">
        <v>74</v>
      </c>
      <c r="AG795">
        <v>50</v>
      </c>
      <c r="AH795">
        <v>50</v>
      </c>
      <c r="AI795">
        <v>50</v>
      </c>
      <c r="AJ795">
        <v>0</v>
      </c>
      <c r="AK795">
        <v>7</v>
      </c>
      <c r="AL795" t="s">
        <v>2397</v>
      </c>
      <c r="AM795" t="s">
        <v>2398</v>
      </c>
      <c r="AN795" t="s">
        <v>2399</v>
      </c>
      <c r="AO795" t="s">
        <v>2638</v>
      </c>
      <c r="AP795" t="s">
        <v>2639</v>
      </c>
      <c r="AQ795" t="s">
        <v>74</v>
      </c>
      <c r="AR795" t="s">
        <v>2640</v>
      </c>
      <c r="AS795" t="s">
        <v>2641</v>
      </c>
      <c r="AT795" t="s">
        <v>13544</v>
      </c>
      <c r="AU795">
        <v>2009</v>
      </c>
      <c r="AV795">
        <v>66</v>
      </c>
      <c r="AW795">
        <v>7</v>
      </c>
      <c r="AX795" t="s">
        <v>74</v>
      </c>
      <c r="AY795" t="s">
        <v>74</v>
      </c>
      <c r="AZ795" t="s">
        <v>74</v>
      </c>
      <c r="BA795" t="s">
        <v>74</v>
      </c>
      <c r="BB795">
        <v>1997</v>
      </c>
      <c r="BC795">
        <v>2012</v>
      </c>
      <c r="BD795" t="s">
        <v>74</v>
      </c>
      <c r="BE795" t="s">
        <v>14426</v>
      </c>
      <c r="BF795" t="str">
        <f>HYPERLINK("http://dx.doi.org/10.1175/2009JAS2939.1","http://dx.doi.org/10.1175/2009JAS2939.1")</f>
        <v>http://dx.doi.org/10.1175/2009JAS2939.1</v>
      </c>
      <c r="BG795" t="s">
        <v>74</v>
      </c>
      <c r="BH795" t="s">
        <v>74</v>
      </c>
      <c r="BI795">
        <v>16</v>
      </c>
      <c r="BJ795" t="s">
        <v>413</v>
      </c>
      <c r="BK795" t="s">
        <v>98</v>
      </c>
      <c r="BL795" t="s">
        <v>413</v>
      </c>
      <c r="BM795" t="s">
        <v>14427</v>
      </c>
      <c r="BN795" t="s">
        <v>74</v>
      </c>
      <c r="BO795" t="s">
        <v>263</v>
      </c>
      <c r="BP795" t="s">
        <v>74</v>
      </c>
      <c r="BQ795" t="s">
        <v>74</v>
      </c>
      <c r="BR795" t="s">
        <v>101</v>
      </c>
      <c r="BS795" t="s">
        <v>14428</v>
      </c>
      <c r="BT795" t="str">
        <f>HYPERLINK("https%3A%2F%2Fwww.webofscience.com%2Fwos%2Fwoscc%2Ffull-record%2FWOS:000268129400008","View Full Record in Web of Science")</f>
        <v>View Full Record in Web of Science</v>
      </c>
    </row>
    <row r="796" spans="1:72" x14ac:dyDescent="0.15">
      <c r="A796" t="s">
        <v>72</v>
      </c>
      <c r="B796" t="s">
        <v>14429</v>
      </c>
      <c r="C796" t="s">
        <v>74</v>
      </c>
      <c r="D796" t="s">
        <v>74</v>
      </c>
      <c r="E796" t="s">
        <v>74</v>
      </c>
      <c r="F796" t="s">
        <v>14430</v>
      </c>
      <c r="G796" t="s">
        <v>74</v>
      </c>
      <c r="H796" t="s">
        <v>74</v>
      </c>
      <c r="I796" t="s">
        <v>14431</v>
      </c>
      <c r="J796" t="s">
        <v>14432</v>
      </c>
      <c r="K796" t="s">
        <v>74</v>
      </c>
      <c r="L796" t="s">
        <v>74</v>
      </c>
      <c r="M796" t="s">
        <v>78</v>
      </c>
      <c r="N796" t="s">
        <v>79</v>
      </c>
      <c r="O796" t="s">
        <v>74</v>
      </c>
      <c r="P796" t="s">
        <v>74</v>
      </c>
      <c r="Q796" t="s">
        <v>74</v>
      </c>
      <c r="R796" t="s">
        <v>74</v>
      </c>
      <c r="S796" t="s">
        <v>74</v>
      </c>
      <c r="T796" t="s">
        <v>74</v>
      </c>
      <c r="U796" t="s">
        <v>14433</v>
      </c>
      <c r="V796" t="s">
        <v>14434</v>
      </c>
      <c r="W796" t="s">
        <v>14435</v>
      </c>
      <c r="X796" t="s">
        <v>14436</v>
      </c>
      <c r="Y796" t="s">
        <v>14437</v>
      </c>
      <c r="Z796" t="s">
        <v>14438</v>
      </c>
      <c r="AA796" t="s">
        <v>14439</v>
      </c>
      <c r="AB796" t="s">
        <v>14440</v>
      </c>
      <c r="AC796" t="s">
        <v>14441</v>
      </c>
      <c r="AD796" t="s">
        <v>14441</v>
      </c>
      <c r="AE796" t="s">
        <v>14442</v>
      </c>
      <c r="AF796" t="s">
        <v>74</v>
      </c>
      <c r="AG796">
        <v>91</v>
      </c>
      <c r="AH796">
        <v>24</v>
      </c>
      <c r="AI796">
        <v>25</v>
      </c>
      <c r="AJ796">
        <v>0</v>
      </c>
      <c r="AK796">
        <v>2</v>
      </c>
      <c r="AL796" t="s">
        <v>14443</v>
      </c>
      <c r="AM796" t="s">
        <v>14444</v>
      </c>
      <c r="AN796" t="s">
        <v>14445</v>
      </c>
      <c r="AO796" t="s">
        <v>14446</v>
      </c>
      <c r="AP796" t="s">
        <v>14447</v>
      </c>
      <c r="AQ796" t="s">
        <v>74</v>
      </c>
      <c r="AR796" t="s">
        <v>14448</v>
      </c>
      <c r="AS796" t="s">
        <v>14449</v>
      </c>
      <c r="AT796" t="s">
        <v>13544</v>
      </c>
      <c r="AU796">
        <v>2009</v>
      </c>
      <c r="AV796">
        <v>166</v>
      </c>
      <c r="AW796" t="s">
        <v>74</v>
      </c>
      <c r="AX796">
        <v>4</v>
      </c>
      <c r="AY796" t="s">
        <v>74</v>
      </c>
      <c r="AZ796" t="s">
        <v>74</v>
      </c>
      <c r="BA796" t="s">
        <v>74</v>
      </c>
      <c r="BB796">
        <v>711</v>
      </c>
      <c r="BC796">
        <v>724</v>
      </c>
      <c r="BD796" t="s">
        <v>74</v>
      </c>
      <c r="BE796" t="s">
        <v>14450</v>
      </c>
      <c r="BF796" t="str">
        <f>HYPERLINK("http://dx.doi.org/10.1144/0016-76492008-098","http://dx.doi.org/10.1144/0016-76492008-098")</f>
        <v>http://dx.doi.org/10.1144/0016-76492008-098</v>
      </c>
      <c r="BG796" t="s">
        <v>74</v>
      </c>
      <c r="BH796" t="s">
        <v>74</v>
      </c>
      <c r="BI796">
        <v>14</v>
      </c>
      <c r="BJ796" t="s">
        <v>464</v>
      </c>
      <c r="BK796" t="s">
        <v>98</v>
      </c>
      <c r="BL796" t="s">
        <v>465</v>
      </c>
      <c r="BM796" t="s">
        <v>14451</v>
      </c>
      <c r="BN796" t="s">
        <v>74</v>
      </c>
      <c r="BO796" t="s">
        <v>74</v>
      </c>
      <c r="BP796" t="s">
        <v>74</v>
      </c>
      <c r="BQ796" t="s">
        <v>74</v>
      </c>
      <c r="BR796" t="s">
        <v>101</v>
      </c>
      <c r="BS796" t="s">
        <v>14452</v>
      </c>
      <c r="BT796" t="str">
        <f>HYPERLINK("https%3A%2F%2Fwww.webofscience.com%2Fwos%2Fwoscc%2Ffull-record%2FWOS:000267814700011","View Full Record in Web of Science")</f>
        <v>View Full Record in Web of Science</v>
      </c>
    </row>
    <row r="797" spans="1:72" x14ac:dyDescent="0.15">
      <c r="A797" t="s">
        <v>72</v>
      </c>
      <c r="B797" t="s">
        <v>14453</v>
      </c>
      <c r="C797" t="s">
        <v>74</v>
      </c>
      <c r="D797" t="s">
        <v>74</v>
      </c>
      <c r="E797" t="s">
        <v>74</v>
      </c>
      <c r="F797" t="s">
        <v>14454</v>
      </c>
      <c r="G797" t="s">
        <v>74</v>
      </c>
      <c r="H797" t="s">
        <v>74</v>
      </c>
      <c r="I797" t="s">
        <v>14455</v>
      </c>
      <c r="J797" t="s">
        <v>5770</v>
      </c>
      <c r="K797" t="s">
        <v>74</v>
      </c>
      <c r="L797" t="s">
        <v>74</v>
      </c>
      <c r="M797" t="s">
        <v>78</v>
      </c>
      <c r="N797" t="s">
        <v>79</v>
      </c>
      <c r="O797" t="s">
        <v>74</v>
      </c>
      <c r="P797" t="s">
        <v>74</v>
      </c>
      <c r="Q797" t="s">
        <v>74</v>
      </c>
      <c r="R797" t="s">
        <v>74</v>
      </c>
      <c r="S797" t="s">
        <v>74</v>
      </c>
      <c r="T797" t="s">
        <v>74</v>
      </c>
      <c r="U797" t="s">
        <v>14456</v>
      </c>
      <c r="V797" t="s">
        <v>14457</v>
      </c>
      <c r="W797" t="s">
        <v>14458</v>
      </c>
      <c r="X797" t="s">
        <v>14459</v>
      </c>
      <c r="Y797" t="s">
        <v>14460</v>
      </c>
      <c r="Z797" t="s">
        <v>14461</v>
      </c>
      <c r="AA797" t="s">
        <v>14462</v>
      </c>
      <c r="AB797" t="s">
        <v>14463</v>
      </c>
      <c r="AC797" t="s">
        <v>14464</v>
      </c>
      <c r="AD797" t="s">
        <v>14465</v>
      </c>
      <c r="AE797" t="s">
        <v>14466</v>
      </c>
      <c r="AF797" t="s">
        <v>74</v>
      </c>
      <c r="AG797">
        <v>27</v>
      </c>
      <c r="AH797">
        <v>27</v>
      </c>
      <c r="AI797">
        <v>27</v>
      </c>
      <c r="AJ797">
        <v>0</v>
      </c>
      <c r="AK797">
        <v>7</v>
      </c>
      <c r="AL797" t="s">
        <v>2588</v>
      </c>
      <c r="AM797" t="s">
        <v>2589</v>
      </c>
      <c r="AN797" t="s">
        <v>2590</v>
      </c>
      <c r="AO797" t="s">
        <v>5779</v>
      </c>
      <c r="AP797" t="s">
        <v>5780</v>
      </c>
      <c r="AQ797" t="s">
        <v>74</v>
      </c>
      <c r="AR797" t="s">
        <v>5781</v>
      </c>
      <c r="AS797" t="s">
        <v>5782</v>
      </c>
      <c r="AT797" t="s">
        <v>13544</v>
      </c>
      <c r="AU797">
        <v>2009</v>
      </c>
      <c r="AV797">
        <v>156</v>
      </c>
      <c r="AW797">
        <v>8</v>
      </c>
      <c r="AX797" t="s">
        <v>74</v>
      </c>
      <c r="AY797" t="s">
        <v>74</v>
      </c>
      <c r="AZ797" t="s">
        <v>74</v>
      </c>
      <c r="BA797" t="s">
        <v>74</v>
      </c>
      <c r="BB797">
        <v>1559</v>
      </c>
      <c r="BC797">
        <v>1572</v>
      </c>
      <c r="BD797" t="s">
        <v>74</v>
      </c>
      <c r="BE797" t="s">
        <v>14467</v>
      </c>
      <c r="BF797" t="str">
        <f>HYPERLINK("http://dx.doi.org/10.1007/s00227-009-1192-3","http://dx.doi.org/10.1007/s00227-009-1192-3")</f>
        <v>http://dx.doi.org/10.1007/s00227-009-1192-3</v>
      </c>
      <c r="BG797" t="s">
        <v>74</v>
      </c>
      <c r="BH797" t="s">
        <v>74</v>
      </c>
      <c r="BI797">
        <v>14</v>
      </c>
      <c r="BJ797" t="s">
        <v>1052</v>
      </c>
      <c r="BK797" t="s">
        <v>98</v>
      </c>
      <c r="BL797" t="s">
        <v>1052</v>
      </c>
      <c r="BM797" t="s">
        <v>14468</v>
      </c>
      <c r="BN797" t="s">
        <v>74</v>
      </c>
      <c r="BO797" t="s">
        <v>74</v>
      </c>
      <c r="BP797" t="s">
        <v>74</v>
      </c>
      <c r="BQ797" t="s">
        <v>74</v>
      </c>
      <c r="BR797" t="s">
        <v>101</v>
      </c>
      <c r="BS797" t="s">
        <v>14469</v>
      </c>
      <c r="BT797" t="str">
        <f>HYPERLINK("https%3A%2F%2Fwww.webofscience.com%2Fwos%2Fwoscc%2Ffull-record%2FWOS:000267041600004","View Full Record in Web of Science")</f>
        <v>View Full Record in Web of Science</v>
      </c>
    </row>
    <row r="798" spans="1:72" x14ac:dyDescent="0.15">
      <c r="A798" t="s">
        <v>72</v>
      </c>
      <c r="B798" t="s">
        <v>14470</v>
      </c>
      <c r="C798" t="s">
        <v>74</v>
      </c>
      <c r="D798" t="s">
        <v>74</v>
      </c>
      <c r="E798" t="s">
        <v>74</v>
      </c>
      <c r="F798" t="s">
        <v>14471</v>
      </c>
      <c r="G798" t="s">
        <v>74</v>
      </c>
      <c r="H798" t="s">
        <v>74</v>
      </c>
      <c r="I798" t="s">
        <v>14472</v>
      </c>
      <c r="J798" t="s">
        <v>5770</v>
      </c>
      <c r="K798" t="s">
        <v>74</v>
      </c>
      <c r="L798" t="s">
        <v>74</v>
      </c>
      <c r="M798" t="s">
        <v>78</v>
      </c>
      <c r="N798" t="s">
        <v>79</v>
      </c>
      <c r="O798" t="s">
        <v>74</v>
      </c>
      <c r="P798" t="s">
        <v>74</v>
      </c>
      <c r="Q798" t="s">
        <v>74</v>
      </c>
      <c r="R798" t="s">
        <v>74</v>
      </c>
      <c r="S798" t="s">
        <v>74</v>
      </c>
      <c r="T798" t="s">
        <v>74</v>
      </c>
      <c r="U798" t="s">
        <v>14473</v>
      </c>
      <c r="V798" t="s">
        <v>14474</v>
      </c>
      <c r="W798" t="s">
        <v>14475</v>
      </c>
      <c r="X798" t="s">
        <v>14476</v>
      </c>
      <c r="Y798" t="s">
        <v>14477</v>
      </c>
      <c r="Z798" t="s">
        <v>14478</v>
      </c>
      <c r="AA798" t="s">
        <v>14479</v>
      </c>
      <c r="AB798" t="s">
        <v>14480</v>
      </c>
      <c r="AC798" t="s">
        <v>14481</v>
      </c>
      <c r="AD798" t="s">
        <v>14482</v>
      </c>
      <c r="AE798" t="s">
        <v>14483</v>
      </c>
      <c r="AF798" t="s">
        <v>74</v>
      </c>
      <c r="AG798">
        <v>51</v>
      </c>
      <c r="AH798">
        <v>20</v>
      </c>
      <c r="AI798">
        <v>20</v>
      </c>
      <c r="AJ798">
        <v>0</v>
      </c>
      <c r="AK798">
        <v>10</v>
      </c>
      <c r="AL798" t="s">
        <v>2588</v>
      </c>
      <c r="AM798" t="s">
        <v>2589</v>
      </c>
      <c r="AN798" t="s">
        <v>2590</v>
      </c>
      <c r="AO798" t="s">
        <v>5779</v>
      </c>
      <c r="AP798" t="s">
        <v>5780</v>
      </c>
      <c r="AQ798" t="s">
        <v>74</v>
      </c>
      <c r="AR798" t="s">
        <v>5781</v>
      </c>
      <c r="AS798" t="s">
        <v>5782</v>
      </c>
      <c r="AT798" t="s">
        <v>13544</v>
      </c>
      <c r="AU798">
        <v>2009</v>
      </c>
      <c r="AV798">
        <v>156</v>
      </c>
      <c r="AW798">
        <v>8</v>
      </c>
      <c r="AX798" t="s">
        <v>74</v>
      </c>
      <c r="AY798" t="s">
        <v>74</v>
      </c>
      <c r="AZ798" t="s">
        <v>74</v>
      </c>
      <c r="BA798" t="s">
        <v>74</v>
      </c>
      <c r="BB798">
        <v>1633</v>
      </c>
      <c r="BC798">
        <v>1645</v>
      </c>
      <c r="BD798" t="s">
        <v>74</v>
      </c>
      <c r="BE798" t="s">
        <v>14484</v>
      </c>
      <c r="BF798" t="str">
        <f>HYPERLINK("http://dx.doi.org/10.1007/s00227-009-1199-9","http://dx.doi.org/10.1007/s00227-009-1199-9")</f>
        <v>http://dx.doi.org/10.1007/s00227-009-1199-9</v>
      </c>
      <c r="BG798" t="s">
        <v>74</v>
      </c>
      <c r="BH798" t="s">
        <v>74</v>
      </c>
      <c r="BI798">
        <v>13</v>
      </c>
      <c r="BJ798" t="s">
        <v>1052</v>
      </c>
      <c r="BK798" t="s">
        <v>98</v>
      </c>
      <c r="BL798" t="s">
        <v>1052</v>
      </c>
      <c r="BM798" t="s">
        <v>14468</v>
      </c>
      <c r="BN798" t="s">
        <v>74</v>
      </c>
      <c r="BO798" t="s">
        <v>7647</v>
      </c>
      <c r="BP798" t="s">
        <v>74</v>
      </c>
      <c r="BQ798" t="s">
        <v>74</v>
      </c>
      <c r="BR798" t="s">
        <v>101</v>
      </c>
      <c r="BS798" t="s">
        <v>14485</v>
      </c>
      <c r="BT798" t="str">
        <f>HYPERLINK("https%3A%2F%2Fwww.webofscience.com%2Fwos%2Fwoscc%2Ffull-record%2FWOS:000267041600010","View Full Record in Web of Science")</f>
        <v>View Full Record in Web of Science</v>
      </c>
    </row>
    <row r="799" spans="1:72" x14ac:dyDescent="0.15">
      <c r="A799" t="s">
        <v>72</v>
      </c>
      <c r="B799" t="s">
        <v>14486</v>
      </c>
      <c r="C799" t="s">
        <v>74</v>
      </c>
      <c r="D799" t="s">
        <v>74</v>
      </c>
      <c r="E799" t="s">
        <v>74</v>
      </c>
      <c r="F799" t="s">
        <v>14487</v>
      </c>
      <c r="G799" t="s">
        <v>74</v>
      </c>
      <c r="H799" t="s">
        <v>74</v>
      </c>
      <c r="I799" t="s">
        <v>14488</v>
      </c>
      <c r="J799" t="s">
        <v>5770</v>
      </c>
      <c r="K799" t="s">
        <v>74</v>
      </c>
      <c r="L799" t="s">
        <v>74</v>
      </c>
      <c r="M799" t="s">
        <v>78</v>
      </c>
      <c r="N799" t="s">
        <v>79</v>
      </c>
      <c r="O799" t="s">
        <v>74</v>
      </c>
      <c r="P799" t="s">
        <v>74</v>
      </c>
      <c r="Q799" t="s">
        <v>74</v>
      </c>
      <c r="R799" t="s">
        <v>74</v>
      </c>
      <c r="S799" t="s">
        <v>74</v>
      </c>
      <c r="T799" t="s">
        <v>74</v>
      </c>
      <c r="U799" t="s">
        <v>14489</v>
      </c>
      <c r="V799" t="s">
        <v>14490</v>
      </c>
      <c r="W799" t="s">
        <v>14491</v>
      </c>
      <c r="X799" t="s">
        <v>14492</v>
      </c>
      <c r="Y799" t="s">
        <v>14493</v>
      </c>
      <c r="Z799" t="s">
        <v>14494</v>
      </c>
      <c r="AA799" t="s">
        <v>14495</v>
      </c>
      <c r="AB799" t="s">
        <v>14496</v>
      </c>
      <c r="AC799" t="s">
        <v>74</v>
      </c>
      <c r="AD799" t="s">
        <v>74</v>
      </c>
      <c r="AE799" t="s">
        <v>74</v>
      </c>
      <c r="AF799" t="s">
        <v>74</v>
      </c>
      <c r="AG799">
        <v>57</v>
      </c>
      <c r="AH799">
        <v>17</v>
      </c>
      <c r="AI799">
        <v>17</v>
      </c>
      <c r="AJ799">
        <v>0</v>
      </c>
      <c r="AK799">
        <v>5</v>
      </c>
      <c r="AL799" t="s">
        <v>2588</v>
      </c>
      <c r="AM799" t="s">
        <v>2589</v>
      </c>
      <c r="AN799" t="s">
        <v>2590</v>
      </c>
      <c r="AO799" t="s">
        <v>5779</v>
      </c>
      <c r="AP799" t="s">
        <v>5780</v>
      </c>
      <c r="AQ799" t="s">
        <v>74</v>
      </c>
      <c r="AR799" t="s">
        <v>5781</v>
      </c>
      <c r="AS799" t="s">
        <v>5782</v>
      </c>
      <c r="AT799" t="s">
        <v>13544</v>
      </c>
      <c r="AU799">
        <v>2009</v>
      </c>
      <c r="AV799">
        <v>156</v>
      </c>
      <c r="AW799">
        <v>8</v>
      </c>
      <c r="AX799" t="s">
        <v>74</v>
      </c>
      <c r="AY799" t="s">
        <v>74</v>
      </c>
      <c r="AZ799" t="s">
        <v>74</v>
      </c>
      <c r="BA799" t="s">
        <v>74</v>
      </c>
      <c r="BB799">
        <v>1647</v>
      </c>
      <c r="BC799">
        <v>1657</v>
      </c>
      <c r="BD799" t="s">
        <v>74</v>
      </c>
      <c r="BE799" t="s">
        <v>14497</v>
      </c>
      <c r="BF799" t="str">
        <f>HYPERLINK("http://dx.doi.org/10.1007/s00227-009-1200-7","http://dx.doi.org/10.1007/s00227-009-1200-7")</f>
        <v>http://dx.doi.org/10.1007/s00227-009-1200-7</v>
      </c>
      <c r="BG799" t="s">
        <v>74</v>
      </c>
      <c r="BH799" t="s">
        <v>74</v>
      </c>
      <c r="BI799">
        <v>11</v>
      </c>
      <c r="BJ799" t="s">
        <v>1052</v>
      </c>
      <c r="BK799" t="s">
        <v>98</v>
      </c>
      <c r="BL799" t="s">
        <v>1052</v>
      </c>
      <c r="BM799" t="s">
        <v>14468</v>
      </c>
      <c r="BN799" t="s">
        <v>74</v>
      </c>
      <c r="BO799" t="s">
        <v>74</v>
      </c>
      <c r="BP799" t="s">
        <v>74</v>
      </c>
      <c r="BQ799" t="s">
        <v>74</v>
      </c>
      <c r="BR799" t="s">
        <v>101</v>
      </c>
      <c r="BS799" t="s">
        <v>14498</v>
      </c>
      <c r="BT799" t="str">
        <f>HYPERLINK("https%3A%2F%2Fwww.webofscience.com%2Fwos%2Fwoscc%2Ffull-record%2FWOS:000267041600011","View Full Record in Web of Science")</f>
        <v>View Full Record in Web of Science</v>
      </c>
    </row>
    <row r="800" spans="1:72" x14ac:dyDescent="0.15">
      <c r="A800" t="s">
        <v>72</v>
      </c>
      <c r="B800" t="s">
        <v>14499</v>
      </c>
      <c r="C800" t="s">
        <v>74</v>
      </c>
      <c r="D800" t="s">
        <v>74</v>
      </c>
      <c r="E800" t="s">
        <v>74</v>
      </c>
      <c r="F800" t="s">
        <v>14500</v>
      </c>
      <c r="G800" t="s">
        <v>74</v>
      </c>
      <c r="H800" t="s">
        <v>74</v>
      </c>
      <c r="I800" t="s">
        <v>14501</v>
      </c>
      <c r="J800" t="s">
        <v>8095</v>
      </c>
      <c r="K800" t="s">
        <v>74</v>
      </c>
      <c r="L800" t="s">
        <v>74</v>
      </c>
      <c r="M800" t="s">
        <v>78</v>
      </c>
      <c r="N800" t="s">
        <v>14502</v>
      </c>
      <c r="O800" t="s">
        <v>74</v>
      </c>
      <c r="P800" t="s">
        <v>74</v>
      </c>
      <c r="Q800" t="s">
        <v>74</v>
      </c>
      <c r="R800" t="s">
        <v>74</v>
      </c>
      <c r="S800" t="s">
        <v>74</v>
      </c>
      <c r="T800" t="s">
        <v>74</v>
      </c>
      <c r="U800" t="s">
        <v>74</v>
      </c>
      <c r="V800" t="s">
        <v>74</v>
      </c>
      <c r="W800" t="s">
        <v>14503</v>
      </c>
      <c r="X800" t="s">
        <v>14504</v>
      </c>
      <c r="Y800" t="s">
        <v>14505</v>
      </c>
      <c r="Z800" t="s">
        <v>14506</v>
      </c>
      <c r="AA800" t="s">
        <v>14507</v>
      </c>
      <c r="AB800" t="s">
        <v>14508</v>
      </c>
      <c r="AC800" t="s">
        <v>74</v>
      </c>
      <c r="AD800" t="s">
        <v>74</v>
      </c>
      <c r="AE800" t="s">
        <v>74</v>
      </c>
      <c r="AF800" t="s">
        <v>74</v>
      </c>
      <c r="AG800">
        <v>0</v>
      </c>
      <c r="AH800">
        <v>39</v>
      </c>
      <c r="AI800">
        <v>42</v>
      </c>
      <c r="AJ800">
        <v>0</v>
      </c>
      <c r="AK800">
        <v>19</v>
      </c>
      <c r="AL800" t="s">
        <v>2045</v>
      </c>
      <c r="AM800" t="s">
        <v>2046</v>
      </c>
      <c r="AN800" t="s">
        <v>2047</v>
      </c>
      <c r="AO800" t="s">
        <v>8106</v>
      </c>
      <c r="AP800" t="s">
        <v>74</v>
      </c>
      <c r="AQ800" t="s">
        <v>74</v>
      </c>
      <c r="AR800" t="s">
        <v>8107</v>
      </c>
      <c r="AS800" t="s">
        <v>8108</v>
      </c>
      <c r="AT800" t="s">
        <v>13544</v>
      </c>
      <c r="AU800">
        <v>2009</v>
      </c>
      <c r="AV800">
        <v>25</v>
      </c>
      <c r="AW800">
        <v>3</v>
      </c>
      <c r="AX800" t="s">
        <v>74</v>
      </c>
      <c r="AY800" t="s">
        <v>74</v>
      </c>
      <c r="AZ800" t="s">
        <v>74</v>
      </c>
      <c r="BA800" t="s">
        <v>74</v>
      </c>
      <c r="BB800">
        <v>725</v>
      </c>
      <c r="BC800">
        <v>736</v>
      </c>
      <c r="BD800" t="s">
        <v>74</v>
      </c>
      <c r="BE800" t="s">
        <v>14509</v>
      </c>
      <c r="BF800" t="str">
        <f>HYPERLINK("http://dx.doi.org/10.1111/j.1748-7692.2008.00279.x","http://dx.doi.org/10.1111/j.1748-7692.2008.00279.x")</f>
        <v>http://dx.doi.org/10.1111/j.1748-7692.2008.00279.x</v>
      </c>
      <c r="BG800" t="s">
        <v>74</v>
      </c>
      <c r="BH800" t="s">
        <v>74</v>
      </c>
      <c r="BI800">
        <v>12</v>
      </c>
      <c r="BJ800" t="s">
        <v>5520</v>
      </c>
      <c r="BK800" t="s">
        <v>98</v>
      </c>
      <c r="BL800" t="s">
        <v>5520</v>
      </c>
      <c r="BM800" t="s">
        <v>14510</v>
      </c>
      <c r="BN800" t="s">
        <v>74</v>
      </c>
      <c r="BO800" t="s">
        <v>263</v>
      </c>
      <c r="BP800" t="s">
        <v>74</v>
      </c>
      <c r="BQ800" t="s">
        <v>74</v>
      </c>
      <c r="BR800" t="s">
        <v>101</v>
      </c>
      <c r="BS800" t="s">
        <v>14511</v>
      </c>
      <c r="BT800" t="str">
        <f>HYPERLINK("https%3A%2F%2Fwww.webofscience.com%2Fwos%2Fwoscc%2Ffull-record%2FWOS:000268031000015","View Full Record in Web of Science")</f>
        <v>View Full Record in Web of Science</v>
      </c>
    </row>
    <row r="801" spans="1:72" x14ac:dyDescent="0.15">
      <c r="A801" t="s">
        <v>72</v>
      </c>
      <c r="B801" t="s">
        <v>14512</v>
      </c>
      <c r="C801" t="s">
        <v>74</v>
      </c>
      <c r="D801" t="s">
        <v>74</v>
      </c>
      <c r="E801" t="s">
        <v>74</v>
      </c>
      <c r="F801" t="s">
        <v>14513</v>
      </c>
      <c r="G801" t="s">
        <v>74</v>
      </c>
      <c r="H801" t="s">
        <v>74</v>
      </c>
      <c r="I801" t="s">
        <v>14514</v>
      </c>
      <c r="J801" t="s">
        <v>8145</v>
      </c>
      <c r="K801" t="s">
        <v>74</v>
      </c>
      <c r="L801" t="s">
        <v>74</v>
      </c>
      <c r="M801" t="s">
        <v>78</v>
      </c>
      <c r="N801" t="s">
        <v>79</v>
      </c>
      <c r="O801" t="s">
        <v>74</v>
      </c>
      <c r="P801" t="s">
        <v>74</v>
      </c>
      <c r="Q801" t="s">
        <v>74</v>
      </c>
      <c r="R801" t="s">
        <v>74</v>
      </c>
      <c r="S801" t="s">
        <v>74</v>
      </c>
      <c r="T801" t="s">
        <v>14515</v>
      </c>
      <c r="U801" t="s">
        <v>14516</v>
      </c>
      <c r="V801" t="s">
        <v>14517</v>
      </c>
      <c r="W801" t="s">
        <v>14518</v>
      </c>
      <c r="X801" t="s">
        <v>14519</v>
      </c>
      <c r="Y801" t="s">
        <v>14520</v>
      </c>
      <c r="Z801" t="s">
        <v>14521</v>
      </c>
      <c r="AA801" t="s">
        <v>504</v>
      </c>
      <c r="AB801" t="s">
        <v>505</v>
      </c>
      <c r="AC801" t="s">
        <v>14522</v>
      </c>
      <c r="AD801" t="s">
        <v>14523</v>
      </c>
      <c r="AE801" t="s">
        <v>14524</v>
      </c>
      <c r="AF801" t="s">
        <v>74</v>
      </c>
      <c r="AG801">
        <v>25</v>
      </c>
      <c r="AH801">
        <v>4</v>
      </c>
      <c r="AI801">
        <v>4</v>
      </c>
      <c r="AJ801">
        <v>1</v>
      </c>
      <c r="AK801">
        <v>13</v>
      </c>
      <c r="AL801" t="s">
        <v>1894</v>
      </c>
      <c r="AM801" t="s">
        <v>1895</v>
      </c>
      <c r="AN801" t="s">
        <v>1896</v>
      </c>
      <c r="AO801" t="s">
        <v>8156</v>
      </c>
      <c r="AP801" t="s">
        <v>8157</v>
      </c>
      <c r="AQ801" t="s">
        <v>74</v>
      </c>
      <c r="AR801" t="s">
        <v>8158</v>
      </c>
      <c r="AS801" t="s">
        <v>8159</v>
      </c>
      <c r="AT801" t="s">
        <v>13544</v>
      </c>
      <c r="AU801">
        <v>2009</v>
      </c>
      <c r="AV801">
        <v>58</v>
      </c>
      <c r="AW801">
        <v>7</v>
      </c>
      <c r="AX801" t="s">
        <v>74</v>
      </c>
      <c r="AY801" t="s">
        <v>74</v>
      </c>
      <c r="AZ801" t="s">
        <v>74</v>
      </c>
      <c r="BA801" t="s">
        <v>74</v>
      </c>
      <c r="BB801">
        <v>961</v>
      </c>
      <c r="BC801">
        <v>966</v>
      </c>
      <c r="BD801" t="s">
        <v>74</v>
      </c>
      <c r="BE801" t="s">
        <v>14525</v>
      </c>
      <c r="BF801" t="str">
        <f>HYPERLINK("http://dx.doi.org/10.1016/j.marpolbul.2009.03.010","http://dx.doi.org/10.1016/j.marpolbul.2009.03.010")</f>
        <v>http://dx.doi.org/10.1016/j.marpolbul.2009.03.010</v>
      </c>
      <c r="BG801" t="s">
        <v>74</v>
      </c>
      <c r="BH801" t="s">
        <v>74</v>
      </c>
      <c r="BI801">
        <v>6</v>
      </c>
      <c r="BJ801" t="s">
        <v>8161</v>
      </c>
      <c r="BK801" t="s">
        <v>98</v>
      </c>
      <c r="BL801" t="s">
        <v>648</v>
      </c>
      <c r="BM801" t="s">
        <v>14526</v>
      </c>
      <c r="BN801">
        <v>19362724</v>
      </c>
      <c r="BO801" t="s">
        <v>74</v>
      </c>
      <c r="BP801" t="s">
        <v>74</v>
      </c>
      <c r="BQ801" t="s">
        <v>74</v>
      </c>
      <c r="BR801" t="s">
        <v>101</v>
      </c>
      <c r="BS801" t="s">
        <v>14527</v>
      </c>
      <c r="BT801" t="str">
        <f>HYPERLINK("https%3A%2F%2Fwww.webofscience.com%2Fwos%2Fwoscc%2Ffull-record%2FWOS:000268422500013","View Full Record in Web of Science")</f>
        <v>View Full Record in Web of Science</v>
      </c>
    </row>
    <row r="802" spans="1:72" x14ac:dyDescent="0.15">
      <c r="A802" t="s">
        <v>72</v>
      </c>
      <c r="B802" t="s">
        <v>14528</v>
      </c>
      <c r="C802" t="s">
        <v>74</v>
      </c>
      <c r="D802" t="s">
        <v>74</v>
      </c>
      <c r="E802" t="s">
        <v>74</v>
      </c>
      <c r="F802" t="s">
        <v>14529</v>
      </c>
      <c r="G802" t="s">
        <v>74</v>
      </c>
      <c r="H802" t="s">
        <v>74</v>
      </c>
      <c r="I802" t="s">
        <v>14530</v>
      </c>
      <c r="J802" t="s">
        <v>14531</v>
      </c>
      <c r="K802" t="s">
        <v>74</v>
      </c>
      <c r="L802" t="s">
        <v>74</v>
      </c>
      <c r="M802" t="s">
        <v>78</v>
      </c>
      <c r="N802" t="s">
        <v>79</v>
      </c>
      <c r="O802" t="s">
        <v>74</v>
      </c>
      <c r="P802" t="s">
        <v>74</v>
      </c>
      <c r="Q802" t="s">
        <v>74</v>
      </c>
      <c r="R802" t="s">
        <v>74</v>
      </c>
      <c r="S802" t="s">
        <v>74</v>
      </c>
      <c r="T802" t="s">
        <v>14532</v>
      </c>
      <c r="U802" t="s">
        <v>14533</v>
      </c>
      <c r="V802" t="s">
        <v>14534</v>
      </c>
      <c r="W802" t="s">
        <v>14535</v>
      </c>
      <c r="X802" t="s">
        <v>14536</v>
      </c>
      <c r="Y802" t="s">
        <v>14537</v>
      </c>
      <c r="Z802" t="s">
        <v>14538</v>
      </c>
      <c r="AA802" t="s">
        <v>74</v>
      </c>
      <c r="AB802" t="s">
        <v>74</v>
      </c>
      <c r="AC802" t="s">
        <v>74</v>
      </c>
      <c r="AD802" t="s">
        <v>74</v>
      </c>
      <c r="AE802" t="s">
        <v>74</v>
      </c>
      <c r="AF802" t="s">
        <v>74</v>
      </c>
      <c r="AG802">
        <v>16</v>
      </c>
      <c r="AH802">
        <v>0</v>
      </c>
      <c r="AI802">
        <v>0</v>
      </c>
      <c r="AJ802">
        <v>3</v>
      </c>
      <c r="AK802">
        <v>5</v>
      </c>
      <c r="AL802" t="s">
        <v>14539</v>
      </c>
      <c r="AM802" t="s">
        <v>2225</v>
      </c>
      <c r="AN802" t="s">
        <v>14540</v>
      </c>
      <c r="AO802" t="s">
        <v>14541</v>
      </c>
      <c r="AP802" t="s">
        <v>74</v>
      </c>
      <c r="AQ802" t="s">
        <v>74</v>
      </c>
      <c r="AR802" t="s">
        <v>14531</v>
      </c>
      <c r="AS802" t="s">
        <v>14542</v>
      </c>
      <c r="AT802" t="s">
        <v>13544</v>
      </c>
      <c r="AU802">
        <v>2009</v>
      </c>
      <c r="AV802">
        <v>60</v>
      </c>
      <c r="AW802">
        <v>3</v>
      </c>
      <c r="AX802" t="s">
        <v>74</v>
      </c>
      <c r="AY802" t="s">
        <v>74</v>
      </c>
      <c r="AZ802" t="s">
        <v>74</v>
      </c>
      <c r="BA802" t="s">
        <v>74</v>
      </c>
      <c r="BB802">
        <v>295</v>
      </c>
      <c r="BC802">
        <v>308</v>
      </c>
      <c r="BD802" t="s">
        <v>74</v>
      </c>
      <c r="BE802" t="s">
        <v>74</v>
      </c>
      <c r="BF802" t="s">
        <v>74</v>
      </c>
      <c r="BG802" t="s">
        <v>74</v>
      </c>
      <c r="BH802" t="s">
        <v>74</v>
      </c>
      <c r="BI802">
        <v>14</v>
      </c>
      <c r="BJ802" t="s">
        <v>413</v>
      </c>
      <c r="BK802" t="s">
        <v>98</v>
      </c>
      <c r="BL802" t="s">
        <v>413</v>
      </c>
      <c r="BM802" t="s">
        <v>14543</v>
      </c>
      <c r="BN802" t="s">
        <v>74</v>
      </c>
      <c r="BO802" t="s">
        <v>74</v>
      </c>
      <c r="BP802" t="s">
        <v>74</v>
      </c>
      <c r="BQ802" t="s">
        <v>74</v>
      </c>
      <c r="BR802" t="s">
        <v>101</v>
      </c>
      <c r="BS802" t="s">
        <v>14544</v>
      </c>
      <c r="BT802" t="str">
        <f>HYPERLINK("https%3A%2F%2Fwww.webofscience.com%2Fwos%2Fwoscc%2Ffull-record%2FWOS:000269516900003","View Full Record in Web of Science")</f>
        <v>View Full Record in Web of Science</v>
      </c>
    </row>
    <row r="803" spans="1:72" x14ac:dyDescent="0.15">
      <c r="A803" t="s">
        <v>72</v>
      </c>
      <c r="B803" t="s">
        <v>14545</v>
      </c>
      <c r="C803" t="s">
        <v>74</v>
      </c>
      <c r="D803" t="s">
        <v>74</v>
      </c>
      <c r="E803" t="s">
        <v>74</v>
      </c>
      <c r="F803" t="s">
        <v>14546</v>
      </c>
      <c r="G803" t="s">
        <v>74</v>
      </c>
      <c r="H803" t="s">
        <v>74</v>
      </c>
      <c r="I803" t="s">
        <v>14547</v>
      </c>
      <c r="J803" t="s">
        <v>8199</v>
      </c>
      <c r="K803" t="s">
        <v>74</v>
      </c>
      <c r="L803" t="s">
        <v>74</v>
      </c>
      <c r="M803" t="s">
        <v>78</v>
      </c>
      <c r="N803" t="s">
        <v>79</v>
      </c>
      <c r="O803" t="s">
        <v>74</v>
      </c>
      <c r="P803" t="s">
        <v>74</v>
      </c>
      <c r="Q803" t="s">
        <v>74</v>
      </c>
      <c r="R803" t="s">
        <v>74</v>
      </c>
      <c r="S803" t="s">
        <v>74</v>
      </c>
      <c r="T803" t="s">
        <v>74</v>
      </c>
      <c r="U803" t="s">
        <v>14548</v>
      </c>
      <c r="V803" t="s">
        <v>14549</v>
      </c>
      <c r="W803" t="s">
        <v>14550</v>
      </c>
      <c r="X803" t="s">
        <v>14551</v>
      </c>
      <c r="Y803" t="s">
        <v>14552</v>
      </c>
      <c r="Z803" t="s">
        <v>14553</v>
      </c>
      <c r="AA803" t="s">
        <v>14554</v>
      </c>
      <c r="AB803" t="s">
        <v>14555</v>
      </c>
      <c r="AC803" t="s">
        <v>14556</v>
      </c>
      <c r="AD803" t="s">
        <v>14557</v>
      </c>
      <c r="AE803" t="s">
        <v>14558</v>
      </c>
      <c r="AF803" t="s">
        <v>74</v>
      </c>
      <c r="AG803">
        <v>50</v>
      </c>
      <c r="AH803">
        <v>32</v>
      </c>
      <c r="AI803">
        <v>33</v>
      </c>
      <c r="AJ803">
        <v>0</v>
      </c>
      <c r="AK803">
        <v>9</v>
      </c>
      <c r="AL803" t="s">
        <v>14559</v>
      </c>
      <c r="AM803" t="s">
        <v>14560</v>
      </c>
      <c r="AN803" t="s">
        <v>14561</v>
      </c>
      <c r="AO803" t="s">
        <v>8211</v>
      </c>
      <c r="AP803" t="s">
        <v>74</v>
      </c>
      <c r="AQ803" t="s">
        <v>74</v>
      </c>
      <c r="AR803" t="s">
        <v>8213</v>
      </c>
      <c r="AS803" t="s">
        <v>8214</v>
      </c>
      <c r="AT803" t="s">
        <v>13544</v>
      </c>
      <c r="AU803">
        <v>2009</v>
      </c>
      <c r="AV803">
        <v>44</v>
      </c>
      <c r="AW803">
        <v>7</v>
      </c>
      <c r="AX803" t="s">
        <v>74</v>
      </c>
      <c r="AY803" t="s">
        <v>74</v>
      </c>
      <c r="AZ803" t="s">
        <v>74</v>
      </c>
      <c r="BA803" t="s">
        <v>74</v>
      </c>
      <c r="BB803">
        <v>943</v>
      </c>
      <c r="BC803">
        <v>953</v>
      </c>
      <c r="BD803" t="s">
        <v>74</v>
      </c>
      <c r="BE803" t="s">
        <v>14562</v>
      </c>
      <c r="BF803" t="str">
        <f>HYPERLINK("http://dx.doi.org/10.1111/j.1945-5100.2009.tb00779.x","http://dx.doi.org/10.1111/j.1945-5100.2009.tb00779.x")</f>
        <v>http://dx.doi.org/10.1111/j.1945-5100.2009.tb00779.x</v>
      </c>
      <c r="BG803" t="s">
        <v>74</v>
      </c>
      <c r="BH803" t="s">
        <v>74</v>
      </c>
      <c r="BI803">
        <v>11</v>
      </c>
      <c r="BJ803" t="s">
        <v>261</v>
      </c>
      <c r="BK803" t="s">
        <v>98</v>
      </c>
      <c r="BL803" t="s">
        <v>261</v>
      </c>
      <c r="BM803" t="s">
        <v>14563</v>
      </c>
      <c r="BN803" t="s">
        <v>74</v>
      </c>
      <c r="BO803" t="s">
        <v>263</v>
      </c>
      <c r="BP803" t="s">
        <v>74</v>
      </c>
      <c r="BQ803" t="s">
        <v>74</v>
      </c>
      <c r="BR803" t="s">
        <v>101</v>
      </c>
      <c r="BS803" t="s">
        <v>14564</v>
      </c>
      <c r="BT803" t="str">
        <f>HYPERLINK("https%3A%2F%2Fwww.webofscience.com%2Fwos%2Fwoscc%2Ffull-record%2FWOS:000270488700001","View Full Record in Web of Science")</f>
        <v>View Full Record in Web of Science</v>
      </c>
    </row>
    <row r="804" spans="1:72" x14ac:dyDescent="0.15">
      <c r="A804" t="s">
        <v>72</v>
      </c>
      <c r="B804" t="s">
        <v>14565</v>
      </c>
      <c r="C804" t="s">
        <v>74</v>
      </c>
      <c r="D804" t="s">
        <v>74</v>
      </c>
      <c r="E804" t="s">
        <v>74</v>
      </c>
      <c r="F804" t="s">
        <v>14566</v>
      </c>
      <c r="G804" t="s">
        <v>74</v>
      </c>
      <c r="H804" t="s">
        <v>74</v>
      </c>
      <c r="I804" t="s">
        <v>14567</v>
      </c>
      <c r="J804" t="s">
        <v>8199</v>
      </c>
      <c r="K804" t="s">
        <v>74</v>
      </c>
      <c r="L804" t="s">
        <v>74</v>
      </c>
      <c r="M804" t="s">
        <v>78</v>
      </c>
      <c r="N804" t="s">
        <v>52</v>
      </c>
      <c r="O804" t="s">
        <v>14568</v>
      </c>
      <c r="P804" t="s">
        <v>14569</v>
      </c>
      <c r="Q804" t="s">
        <v>14570</v>
      </c>
      <c r="R804" t="s">
        <v>74</v>
      </c>
      <c r="S804" t="s">
        <v>74</v>
      </c>
      <c r="T804" t="s">
        <v>74</v>
      </c>
      <c r="U804" t="s">
        <v>14571</v>
      </c>
      <c r="V804" t="s">
        <v>74</v>
      </c>
      <c r="W804" t="s">
        <v>14572</v>
      </c>
      <c r="X804" t="s">
        <v>14573</v>
      </c>
      <c r="Y804" t="s">
        <v>74</v>
      </c>
      <c r="Z804" t="s">
        <v>14574</v>
      </c>
      <c r="AA804" t="s">
        <v>14575</v>
      </c>
      <c r="AB804" t="s">
        <v>74</v>
      </c>
      <c r="AC804" t="s">
        <v>74</v>
      </c>
      <c r="AD804" t="s">
        <v>74</v>
      </c>
      <c r="AE804" t="s">
        <v>74</v>
      </c>
      <c r="AF804" t="s">
        <v>74</v>
      </c>
      <c r="AG804">
        <v>5</v>
      </c>
      <c r="AH804">
        <v>0</v>
      </c>
      <c r="AI804">
        <v>0</v>
      </c>
      <c r="AJ804">
        <v>0</v>
      </c>
      <c r="AK804">
        <v>0</v>
      </c>
      <c r="AL804" t="s">
        <v>14559</v>
      </c>
      <c r="AM804" t="s">
        <v>14560</v>
      </c>
      <c r="AN804" t="s">
        <v>14561</v>
      </c>
      <c r="AO804" t="s">
        <v>8211</v>
      </c>
      <c r="AP804" t="s">
        <v>74</v>
      </c>
      <c r="AQ804" t="s">
        <v>74</v>
      </c>
      <c r="AR804" t="s">
        <v>8213</v>
      </c>
      <c r="AS804" t="s">
        <v>8214</v>
      </c>
      <c r="AT804" t="s">
        <v>13544</v>
      </c>
      <c r="AU804">
        <v>2009</v>
      </c>
      <c r="AV804">
        <v>44</v>
      </c>
      <c r="AW804" t="s">
        <v>74</v>
      </c>
      <c r="AX804" t="s">
        <v>74</v>
      </c>
      <c r="AY804" t="s">
        <v>74</v>
      </c>
      <c r="AZ804" t="s">
        <v>74</v>
      </c>
      <c r="BA804" t="s">
        <v>74</v>
      </c>
      <c r="BB804" t="s">
        <v>14576</v>
      </c>
      <c r="BC804" t="s">
        <v>14576</v>
      </c>
      <c r="BD804" t="s">
        <v>74</v>
      </c>
      <c r="BE804" t="s">
        <v>74</v>
      </c>
      <c r="BF804" t="s">
        <v>74</v>
      </c>
      <c r="BG804" t="s">
        <v>74</v>
      </c>
      <c r="BH804" t="s">
        <v>74</v>
      </c>
      <c r="BI804">
        <v>1</v>
      </c>
      <c r="BJ804" t="s">
        <v>261</v>
      </c>
      <c r="BK804" t="s">
        <v>98</v>
      </c>
      <c r="BL804" t="s">
        <v>261</v>
      </c>
      <c r="BM804" t="s">
        <v>14577</v>
      </c>
      <c r="BN804" t="s">
        <v>74</v>
      </c>
      <c r="BO804" t="s">
        <v>74</v>
      </c>
      <c r="BP804" t="s">
        <v>74</v>
      </c>
      <c r="BQ804" t="s">
        <v>74</v>
      </c>
      <c r="BR804" t="s">
        <v>101</v>
      </c>
      <c r="BS804" t="s">
        <v>14578</v>
      </c>
      <c r="BT804" t="str">
        <f>HYPERLINK("https%3A%2F%2Fwww.webofscience.com%2Fwos%2Fwoscc%2Ffull-record%2FWOS:000267314500005","View Full Record in Web of Science")</f>
        <v>View Full Record in Web of Science</v>
      </c>
    </row>
    <row r="805" spans="1:72" x14ac:dyDescent="0.15">
      <c r="A805" t="s">
        <v>72</v>
      </c>
      <c r="B805" t="s">
        <v>14579</v>
      </c>
      <c r="C805" t="s">
        <v>74</v>
      </c>
      <c r="D805" t="s">
        <v>74</v>
      </c>
      <c r="E805" t="s">
        <v>74</v>
      </c>
      <c r="F805" t="s">
        <v>14580</v>
      </c>
      <c r="G805" t="s">
        <v>74</v>
      </c>
      <c r="H805" t="s">
        <v>74</v>
      </c>
      <c r="I805" t="s">
        <v>14581</v>
      </c>
      <c r="J805" t="s">
        <v>8199</v>
      </c>
      <c r="K805" t="s">
        <v>74</v>
      </c>
      <c r="L805" t="s">
        <v>74</v>
      </c>
      <c r="M805" t="s">
        <v>78</v>
      </c>
      <c r="N805" t="s">
        <v>52</v>
      </c>
      <c r="O805" t="s">
        <v>14568</v>
      </c>
      <c r="P805" t="s">
        <v>14569</v>
      </c>
      <c r="Q805" t="s">
        <v>14570</v>
      </c>
      <c r="R805" t="s">
        <v>74</v>
      </c>
      <c r="S805" t="s">
        <v>74</v>
      </c>
      <c r="T805" t="s">
        <v>74</v>
      </c>
      <c r="U805" t="s">
        <v>14582</v>
      </c>
      <c r="V805" t="s">
        <v>74</v>
      </c>
      <c r="W805" t="s">
        <v>14583</v>
      </c>
      <c r="X805" t="s">
        <v>14584</v>
      </c>
      <c r="Y805" t="s">
        <v>74</v>
      </c>
      <c r="Z805" t="s">
        <v>8208</v>
      </c>
      <c r="AA805" t="s">
        <v>74</v>
      </c>
      <c r="AB805" t="s">
        <v>14585</v>
      </c>
      <c r="AC805" t="s">
        <v>74</v>
      </c>
      <c r="AD805" t="s">
        <v>74</v>
      </c>
      <c r="AE805" t="s">
        <v>74</v>
      </c>
      <c r="AF805" t="s">
        <v>74</v>
      </c>
      <c r="AG805">
        <v>16</v>
      </c>
      <c r="AH805">
        <v>1</v>
      </c>
      <c r="AI805">
        <v>1</v>
      </c>
      <c r="AJ805">
        <v>0</v>
      </c>
      <c r="AK805">
        <v>3</v>
      </c>
      <c r="AL805" t="s">
        <v>3033</v>
      </c>
      <c r="AM805" t="s">
        <v>1185</v>
      </c>
      <c r="AN805" t="s">
        <v>1186</v>
      </c>
      <c r="AO805" t="s">
        <v>8211</v>
      </c>
      <c r="AP805" t="s">
        <v>8212</v>
      </c>
      <c r="AQ805" t="s">
        <v>74</v>
      </c>
      <c r="AR805" t="s">
        <v>8213</v>
      </c>
      <c r="AS805" t="s">
        <v>8214</v>
      </c>
      <c r="AT805" t="s">
        <v>13544</v>
      </c>
      <c r="AU805">
        <v>2009</v>
      </c>
      <c r="AV805">
        <v>44</v>
      </c>
      <c r="AW805" t="s">
        <v>74</v>
      </c>
      <c r="AX805" t="s">
        <v>74</v>
      </c>
      <c r="AY805" t="s">
        <v>14586</v>
      </c>
      <c r="AZ805" t="s">
        <v>74</v>
      </c>
      <c r="BA805" t="s">
        <v>74</v>
      </c>
      <c r="BB805" t="s">
        <v>14587</v>
      </c>
      <c r="BC805" t="s">
        <v>14587</v>
      </c>
      <c r="BD805" t="s">
        <v>74</v>
      </c>
      <c r="BE805" t="s">
        <v>74</v>
      </c>
      <c r="BF805" t="s">
        <v>74</v>
      </c>
      <c r="BG805" t="s">
        <v>74</v>
      </c>
      <c r="BH805" t="s">
        <v>74</v>
      </c>
      <c r="BI805">
        <v>1</v>
      </c>
      <c r="BJ805" t="s">
        <v>261</v>
      </c>
      <c r="BK805" t="s">
        <v>1986</v>
      </c>
      <c r="BL805" t="s">
        <v>261</v>
      </c>
      <c r="BM805" t="s">
        <v>14577</v>
      </c>
      <c r="BN805" t="s">
        <v>74</v>
      </c>
      <c r="BO805" t="s">
        <v>74</v>
      </c>
      <c r="BP805" t="s">
        <v>74</v>
      </c>
      <c r="BQ805" t="s">
        <v>74</v>
      </c>
      <c r="BR805" t="s">
        <v>101</v>
      </c>
      <c r="BS805" t="s">
        <v>14588</v>
      </c>
      <c r="BT805" t="str">
        <f>HYPERLINK("https%3A%2F%2Fwww.webofscience.com%2Fwos%2Fwoscc%2Ffull-record%2FWOS:000267314500101","View Full Record in Web of Science")</f>
        <v>View Full Record in Web of Science</v>
      </c>
    </row>
    <row r="806" spans="1:72" x14ac:dyDescent="0.15">
      <c r="A806" t="s">
        <v>72</v>
      </c>
      <c r="B806" t="s">
        <v>14589</v>
      </c>
      <c r="C806" t="s">
        <v>74</v>
      </c>
      <c r="D806" t="s">
        <v>74</v>
      </c>
      <c r="E806" t="s">
        <v>74</v>
      </c>
      <c r="F806" t="s">
        <v>14590</v>
      </c>
      <c r="G806" t="s">
        <v>74</v>
      </c>
      <c r="H806" t="s">
        <v>74</v>
      </c>
      <c r="I806" t="s">
        <v>14591</v>
      </c>
      <c r="J806" t="s">
        <v>8199</v>
      </c>
      <c r="K806" t="s">
        <v>74</v>
      </c>
      <c r="L806" t="s">
        <v>74</v>
      </c>
      <c r="M806" t="s">
        <v>78</v>
      </c>
      <c r="N806" t="s">
        <v>52</v>
      </c>
      <c r="O806" t="s">
        <v>14568</v>
      </c>
      <c r="P806" t="s">
        <v>14569</v>
      </c>
      <c r="Q806" t="s">
        <v>14570</v>
      </c>
      <c r="R806" t="s">
        <v>74</v>
      </c>
      <c r="S806" t="s">
        <v>74</v>
      </c>
      <c r="T806" t="s">
        <v>74</v>
      </c>
      <c r="U806" t="s">
        <v>14592</v>
      </c>
      <c r="V806" t="s">
        <v>74</v>
      </c>
      <c r="W806" t="s">
        <v>14593</v>
      </c>
      <c r="X806" t="s">
        <v>14594</v>
      </c>
      <c r="Y806" t="s">
        <v>74</v>
      </c>
      <c r="Z806" t="s">
        <v>14595</v>
      </c>
      <c r="AA806" t="s">
        <v>14596</v>
      </c>
      <c r="AB806" t="s">
        <v>14597</v>
      </c>
      <c r="AC806" t="s">
        <v>14598</v>
      </c>
      <c r="AD806" t="s">
        <v>14599</v>
      </c>
      <c r="AE806" t="s">
        <v>74</v>
      </c>
      <c r="AF806" t="s">
        <v>74</v>
      </c>
      <c r="AG806">
        <v>5</v>
      </c>
      <c r="AH806">
        <v>0</v>
      </c>
      <c r="AI806">
        <v>0</v>
      </c>
      <c r="AJ806">
        <v>0</v>
      </c>
      <c r="AK806">
        <v>1</v>
      </c>
      <c r="AL806" t="s">
        <v>14559</v>
      </c>
      <c r="AM806" t="s">
        <v>14560</v>
      </c>
      <c r="AN806" t="s">
        <v>14561</v>
      </c>
      <c r="AO806" t="s">
        <v>8211</v>
      </c>
      <c r="AP806" t="s">
        <v>74</v>
      </c>
      <c r="AQ806" t="s">
        <v>74</v>
      </c>
      <c r="AR806" t="s">
        <v>8213</v>
      </c>
      <c r="AS806" t="s">
        <v>8214</v>
      </c>
      <c r="AT806" t="s">
        <v>13544</v>
      </c>
      <c r="AU806">
        <v>2009</v>
      </c>
      <c r="AV806">
        <v>44</v>
      </c>
      <c r="AW806" t="s">
        <v>74</v>
      </c>
      <c r="AX806" t="s">
        <v>74</v>
      </c>
      <c r="AY806" t="s">
        <v>74</v>
      </c>
      <c r="AZ806" t="s">
        <v>74</v>
      </c>
      <c r="BA806" t="s">
        <v>74</v>
      </c>
      <c r="BB806" t="s">
        <v>14600</v>
      </c>
      <c r="BC806" t="s">
        <v>14600</v>
      </c>
      <c r="BD806" t="s">
        <v>74</v>
      </c>
      <c r="BE806" t="s">
        <v>74</v>
      </c>
      <c r="BF806" t="s">
        <v>74</v>
      </c>
      <c r="BG806" t="s">
        <v>74</v>
      </c>
      <c r="BH806" t="s">
        <v>74</v>
      </c>
      <c r="BI806">
        <v>1</v>
      </c>
      <c r="BJ806" t="s">
        <v>261</v>
      </c>
      <c r="BK806" t="s">
        <v>98</v>
      </c>
      <c r="BL806" t="s">
        <v>261</v>
      </c>
      <c r="BM806" t="s">
        <v>14577</v>
      </c>
      <c r="BN806" t="s">
        <v>74</v>
      </c>
      <c r="BO806" t="s">
        <v>74</v>
      </c>
      <c r="BP806" t="s">
        <v>74</v>
      </c>
      <c r="BQ806" t="s">
        <v>74</v>
      </c>
      <c r="BR806" t="s">
        <v>101</v>
      </c>
      <c r="BS806" t="s">
        <v>14601</v>
      </c>
      <c r="BT806" t="str">
        <f>HYPERLINK("https%3A%2F%2Fwww.webofscience.com%2Fwos%2Fwoscc%2Ffull-record%2FWOS:000267314500144","View Full Record in Web of Science")</f>
        <v>View Full Record in Web of Science</v>
      </c>
    </row>
    <row r="807" spans="1:72" x14ac:dyDescent="0.15">
      <c r="A807" t="s">
        <v>72</v>
      </c>
      <c r="B807" t="s">
        <v>14602</v>
      </c>
      <c r="C807" t="s">
        <v>74</v>
      </c>
      <c r="D807" t="s">
        <v>74</v>
      </c>
      <c r="E807" t="s">
        <v>74</v>
      </c>
      <c r="F807" t="s">
        <v>14603</v>
      </c>
      <c r="G807" t="s">
        <v>74</v>
      </c>
      <c r="H807" t="s">
        <v>74</v>
      </c>
      <c r="I807" t="s">
        <v>14604</v>
      </c>
      <c r="J807" t="s">
        <v>8199</v>
      </c>
      <c r="K807" t="s">
        <v>74</v>
      </c>
      <c r="L807" t="s">
        <v>74</v>
      </c>
      <c r="M807" t="s">
        <v>78</v>
      </c>
      <c r="N807" t="s">
        <v>52</v>
      </c>
      <c r="O807" t="s">
        <v>14568</v>
      </c>
      <c r="P807" t="s">
        <v>14569</v>
      </c>
      <c r="Q807" t="s">
        <v>14570</v>
      </c>
      <c r="R807" t="s">
        <v>74</v>
      </c>
      <c r="S807" t="s">
        <v>74</v>
      </c>
      <c r="T807" t="s">
        <v>74</v>
      </c>
      <c r="U807" t="s">
        <v>74</v>
      </c>
      <c r="V807" t="s">
        <v>74</v>
      </c>
      <c r="W807" t="s">
        <v>14605</v>
      </c>
      <c r="X807" t="s">
        <v>14606</v>
      </c>
      <c r="Y807" t="s">
        <v>74</v>
      </c>
      <c r="Z807" t="s">
        <v>14607</v>
      </c>
      <c r="AA807" t="s">
        <v>14608</v>
      </c>
      <c r="AB807" t="s">
        <v>14609</v>
      </c>
      <c r="AC807" t="s">
        <v>74</v>
      </c>
      <c r="AD807" t="s">
        <v>74</v>
      </c>
      <c r="AE807" t="s">
        <v>74</v>
      </c>
      <c r="AF807" t="s">
        <v>74</v>
      </c>
      <c r="AG807">
        <v>4</v>
      </c>
      <c r="AH807">
        <v>2</v>
      </c>
      <c r="AI807">
        <v>2</v>
      </c>
      <c r="AJ807">
        <v>0</v>
      </c>
      <c r="AK807">
        <v>1</v>
      </c>
      <c r="AL807" t="s">
        <v>1184</v>
      </c>
      <c r="AM807" t="s">
        <v>1185</v>
      </c>
      <c r="AN807" t="s">
        <v>1186</v>
      </c>
      <c r="AO807" t="s">
        <v>8211</v>
      </c>
      <c r="AP807" t="s">
        <v>8212</v>
      </c>
      <c r="AQ807" t="s">
        <v>74</v>
      </c>
      <c r="AR807" t="s">
        <v>8213</v>
      </c>
      <c r="AS807" t="s">
        <v>8214</v>
      </c>
      <c r="AT807" t="s">
        <v>13544</v>
      </c>
      <c r="AU807">
        <v>2009</v>
      </c>
      <c r="AV807">
        <v>44</v>
      </c>
      <c r="AW807" t="s">
        <v>74</v>
      </c>
      <c r="AX807" t="s">
        <v>74</v>
      </c>
      <c r="AY807" t="s">
        <v>14586</v>
      </c>
      <c r="AZ807" t="s">
        <v>74</v>
      </c>
      <c r="BA807" t="s">
        <v>74</v>
      </c>
      <c r="BB807" t="s">
        <v>14610</v>
      </c>
      <c r="BC807" t="s">
        <v>14610</v>
      </c>
      <c r="BD807" t="s">
        <v>74</v>
      </c>
      <c r="BE807" t="s">
        <v>74</v>
      </c>
      <c r="BF807" t="s">
        <v>74</v>
      </c>
      <c r="BG807" t="s">
        <v>74</v>
      </c>
      <c r="BH807" t="s">
        <v>74</v>
      </c>
      <c r="BI807">
        <v>1</v>
      </c>
      <c r="BJ807" t="s">
        <v>261</v>
      </c>
      <c r="BK807" t="s">
        <v>1986</v>
      </c>
      <c r="BL807" t="s">
        <v>261</v>
      </c>
      <c r="BM807" t="s">
        <v>14577</v>
      </c>
      <c r="BN807" t="s">
        <v>74</v>
      </c>
      <c r="BO807" t="s">
        <v>74</v>
      </c>
      <c r="BP807" t="s">
        <v>74</v>
      </c>
      <c r="BQ807" t="s">
        <v>74</v>
      </c>
      <c r="BR807" t="s">
        <v>101</v>
      </c>
      <c r="BS807" t="s">
        <v>14611</v>
      </c>
      <c r="BT807" t="str">
        <f>HYPERLINK("https%3A%2F%2Fwww.webofscience.com%2Fwos%2Fwoscc%2Ffull-record%2FWOS:000267314500168","View Full Record in Web of Science")</f>
        <v>View Full Record in Web of Science</v>
      </c>
    </row>
    <row r="808" spans="1:72" x14ac:dyDescent="0.15">
      <c r="A808" t="s">
        <v>72</v>
      </c>
      <c r="B808" t="s">
        <v>14612</v>
      </c>
      <c r="C808" t="s">
        <v>74</v>
      </c>
      <c r="D808" t="s">
        <v>74</v>
      </c>
      <c r="E808" t="s">
        <v>74</v>
      </c>
      <c r="F808" t="s">
        <v>14613</v>
      </c>
      <c r="G808" t="s">
        <v>74</v>
      </c>
      <c r="H808" t="s">
        <v>74</v>
      </c>
      <c r="I808" t="s">
        <v>14614</v>
      </c>
      <c r="J808" t="s">
        <v>8199</v>
      </c>
      <c r="K808" t="s">
        <v>74</v>
      </c>
      <c r="L808" t="s">
        <v>74</v>
      </c>
      <c r="M808" t="s">
        <v>78</v>
      </c>
      <c r="N808" t="s">
        <v>52</v>
      </c>
      <c r="O808" t="s">
        <v>14568</v>
      </c>
      <c r="P808" t="s">
        <v>14569</v>
      </c>
      <c r="Q808" t="s">
        <v>14570</v>
      </c>
      <c r="R808" t="s">
        <v>74</v>
      </c>
      <c r="S808" t="s">
        <v>74</v>
      </c>
      <c r="T808" t="s">
        <v>74</v>
      </c>
      <c r="U808" t="s">
        <v>14615</v>
      </c>
      <c r="V808" t="s">
        <v>74</v>
      </c>
      <c r="W808" t="s">
        <v>14616</v>
      </c>
      <c r="X808" t="s">
        <v>14617</v>
      </c>
      <c r="Y808" t="s">
        <v>74</v>
      </c>
      <c r="Z808" t="s">
        <v>14618</v>
      </c>
      <c r="AA808" t="s">
        <v>74</v>
      </c>
      <c r="AB808" t="s">
        <v>74</v>
      </c>
      <c r="AC808" t="s">
        <v>74</v>
      </c>
      <c r="AD808" t="s">
        <v>74</v>
      </c>
      <c r="AE808" t="s">
        <v>74</v>
      </c>
      <c r="AF808" t="s">
        <v>74</v>
      </c>
      <c r="AG808">
        <v>6</v>
      </c>
      <c r="AH808">
        <v>0</v>
      </c>
      <c r="AI808">
        <v>0</v>
      </c>
      <c r="AJ808">
        <v>0</v>
      </c>
      <c r="AK808">
        <v>1</v>
      </c>
      <c r="AL808" t="s">
        <v>1184</v>
      </c>
      <c r="AM808" t="s">
        <v>1185</v>
      </c>
      <c r="AN808" t="s">
        <v>1186</v>
      </c>
      <c r="AO808" t="s">
        <v>8211</v>
      </c>
      <c r="AP808" t="s">
        <v>8212</v>
      </c>
      <c r="AQ808" t="s">
        <v>74</v>
      </c>
      <c r="AR808" t="s">
        <v>8213</v>
      </c>
      <c r="AS808" t="s">
        <v>8214</v>
      </c>
      <c r="AT808" t="s">
        <v>13544</v>
      </c>
      <c r="AU808">
        <v>2009</v>
      </c>
      <c r="AV808">
        <v>44</v>
      </c>
      <c r="AW808" t="s">
        <v>74</v>
      </c>
      <c r="AX808" t="s">
        <v>74</v>
      </c>
      <c r="AY808" t="s">
        <v>14586</v>
      </c>
      <c r="AZ808" t="s">
        <v>74</v>
      </c>
      <c r="BA808" t="s">
        <v>74</v>
      </c>
      <c r="BB808" t="s">
        <v>14619</v>
      </c>
      <c r="BC808" t="s">
        <v>14619</v>
      </c>
      <c r="BD808" t="s">
        <v>74</v>
      </c>
      <c r="BE808" t="s">
        <v>74</v>
      </c>
      <c r="BF808" t="s">
        <v>74</v>
      </c>
      <c r="BG808" t="s">
        <v>74</v>
      </c>
      <c r="BH808" t="s">
        <v>74</v>
      </c>
      <c r="BI808">
        <v>1</v>
      </c>
      <c r="BJ808" t="s">
        <v>261</v>
      </c>
      <c r="BK808" t="s">
        <v>1986</v>
      </c>
      <c r="BL808" t="s">
        <v>261</v>
      </c>
      <c r="BM808" t="s">
        <v>14577</v>
      </c>
      <c r="BN808" t="s">
        <v>74</v>
      </c>
      <c r="BO808" t="s">
        <v>74</v>
      </c>
      <c r="BP808" t="s">
        <v>74</v>
      </c>
      <c r="BQ808" t="s">
        <v>74</v>
      </c>
      <c r="BR808" t="s">
        <v>101</v>
      </c>
      <c r="BS808" t="s">
        <v>14620</v>
      </c>
      <c r="BT808" t="str">
        <f>HYPERLINK("https%3A%2F%2Fwww.webofscience.com%2Fwos%2Fwoscc%2Ffull-record%2FWOS:000267314500210","View Full Record in Web of Science")</f>
        <v>View Full Record in Web of Science</v>
      </c>
    </row>
    <row r="809" spans="1:72" x14ac:dyDescent="0.15">
      <c r="A809" t="s">
        <v>72</v>
      </c>
      <c r="B809" t="s">
        <v>14621</v>
      </c>
      <c r="C809" t="s">
        <v>74</v>
      </c>
      <c r="D809" t="s">
        <v>74</v>
      </c>
      <c r="E809" t="s">
        <v>74</v>
      </c>
      <c r="F809" t="s">
        <v>14622</v>
      </c>
      <c r="G809" t="s">
        <v>74</v>
      </c>
      <c r="H809" t="s">
        <v>74</v>
      </c>
      <c r="I809" t="s">
        <v>14623</v>
      </c>
      <c r="J809" t="s">
        <v>8199</v>
      </c>
      <c r="K809" t="s">
        <v>74</v>
      </c>
      <c r="L809" t="s">
        <v>74</v>
      </c>
      <c r="M809" t="s">
        <v>78</v>
      </c>
      <c r="N809" t="s">
        <v>52</v>
      </c>
      <c r="O809" t="s">
        <v>14568</v>
      </c>
      <c r="P809" t="s">
        <v>14569</v>
      </c>
      <c r="Q809" t="s">
        <v>14570</v>
      </c>
      <c r="R809" t="s">
        <v>74</v>
      </c>
      <c r="S809" t="s">
        <v>74</v>
      </c>
      <c r="T809" t="s">
        <v>74</v>
      </c>
      <c r="U809" t="s">
        <v>14624</v>
      </c>
      <c r="V809" t="s">
        <v>74</v>
      </c>
      <c r="W809" t="s">
        <v>14625</v>
      </c>
      <c r="X809" t="s">
        <v>14626</v>
      </c>
      <c r="Y809" t="s">
        <v>74</v>
      </c>
      <c r="Z809" t="s">
        <v>14627</v>
      </c>
      <c r="AA809" t="s">
        <v>74</v>
      </c>
      <c r="AB809" t="s">
        <v>74</v>
      </c>
      <c r="AC809" t="s">
        <v>74</v>
      </c>
      <c r="AD809" t="s">
        <v>74</v>
      </c>
      <c r="AE809" t="s">
        <v>74</v>
      </c>
      <c r="AF809" t="s">
        <v>74</v>
      </c>
      <c r="AG809">
        <v>8</v>
      </c>
      <c r="AH809">
        <v>3</v>
      </c>
      <c r="AI809">
        <v>3</v>
      </c>
      <c r="AJ809">
        <v>0</v>
      </c>
      <c r="AK809">
        <v>1</v>
      </c>
      <c r="AL809" t="s">
        <v>14559</v>
      </c>
      <c r="AM809" t="s">
        <v>14560</v>
      </c>
      <c r="AN809" t="s">
        <v>14561</v>
      </c>
      <c r="AO809" t="s">
        <v>8211</v>
      </c>
      <c r="AP809" t="s">
        <v>74</v>
      </c>
      <c r="AQ809" t="s">
        <v>74</v>
      </c>
      <c r="AR809" t="s">
        <v>8213</v>
      </c>
      <c r="AS809" t="s">
        <v>8214</v>
      </c>
      <c r="AT809" t="s">
        <v>13544</v>
      </c>
      <c r="AU809">
        <v>2009</v>
      </c>
      <c r="AV809">
        <v>44</v>
      </c>
      <c r="AW809" t="s">
        <v>74</v>
      </c>
      <c r="AX809" t="s">
        <v>74</v>
      </c>
      <c r="AY809" t="s">
        <v>74</v>
      </c>
      <c r="AZ809" t="s">
        <v>74</v>
      </c>
      <c r="BA809" t="s">
        <v>74</v>
      </c>
      <c r="BB809" t="s">
        <v>14628</v>
      </c>
      <c r="BC809" t="s">
        <v>14628</v>
      </c>
      <c r="BD809" t="s">
        <v>74</v>
      </c>
      <c r="BE809" t="s">
        <v>74</v>
      </c>
      <c r="BF809" t="s">
        <v>74</v>
      </c>
      <c r="BG809" t="s">
        <v>74</v>
      </c>
      <c r="BH809" t="s">
        <v>74</v>
      </c>
      <c r="BI809">
        <v>1</v>
      </c>
      <c r="BJ809" t="s">
        <v>261</v>
      </c>
      <c r="BK809" t="s">
        <v>98</v>
      </c>
      <c r="BL809" t="s">
        <v>261</v>
      </c>
      <c r="BM809" t="s">
        <v>14577</v>
      </c>
      <c r="BN809" t="s">
        <v>74</v>
      </c>
      <c r="BO809" t="s">
        <v>74</v>
      </c>
      <c r="BP809" t="s">
        <v>74</v>
      </c>
      <c r="BQ809" t="s">
        <v>74</v>
      </c>
      <c r="BR809" t="s">
        <v>101</v>
      </c>
      <c r="BS809" t="s">
        <v>14629</v>
      </c>
      <c r="BT809" t="str">
        <f>HYPERLINK("https%3A%2F%2Fwww.webofscience.com%2Fwos%2Fwoscc%2Ffull-record%2FWOS:000267314500290","View Full Record in Web of Science")</f>
        <v>View Full Record in Web of Science</v>
      </c>
    </row>
    <row r="810" spans="1:72" x14ac:dyDescent="0.15">
      <c r="A810" t="s">
        <v>72</v>
      </c>
      <c r="B810" t="s">
        <v>14630</v>
      </c>
      <c r="C810" t="s">
        <v>74</v>
      </c>
      <c r="D810" t="s">
        <v>74</v>
      </c>
      <c r="E810" t="s">
        <v>74</v>
      </c>
      <c r="F810" t="s">
        <v>14631</v>
      </c>
      <c r="G810" t="s">
        <v>74</v>
      </c>
      <c r="H810" t="s">
        <v>74</v>
      </c>
      <c r="I810" t="s">
        <v>14632</v>
      </c>
      <c r="J810" t="s">
        <v>8199</v>
      </c>
      <c r="K810" t="s">
        <v>74</v>
      </c>
      <c r="L810" t="s">
        <v>74</v>
      </c>
      <c r="M810" t="s">
        <v>78</v>
      </c>
      <c r="N810" t="s">
        <v>52</v>
      </c>
      <c r="O810" t="s">
        <v>14568</v>
      </c>
      <c r="P810" t="s">
        <v>14569</v>
      </c>
      <c r="Q810" t="s">
        <v>14570</v>
      </c>
      <c r="R810" t="s">
        <v>74</v>
      </c>
      <c r="S810" t="s">
        <v>74</v>
      </c>
      <c r="T810" t="s">
        <v>74</v>
      </c>
      <c r="U810" t="s">
        <v>74</v>
      </c>
      <c r="V810" t="s">
        <v>74</v>
      </c>
      <c r="W810" t="s">
        <v>14633</v>
      </c>
      <c r="X810" t="s">
        <v>14634</v>
      </c>
      <c r="Y810" t="s">
        <v>74</v>
      </c>
      <c r="Z810" t="s">
        <v>14635</v>
      </c>
      <c r="AA810" t="s">
        <v>74</v>
      </c>
      <c r="AB810" t="s">
        <v>74</v>
      </c>
      <c r="AC810" t="s">
        <v>74</v>
      </c>
      <c r="AD810" t="s">
        <v>74</v>
      </c>
      <c r="AE810" t="s">
        <v>74</v>
      </c>
      <c r="AF810" t="s">
        <v>74</v>
      </c>
      <c r="AG810">
        <v>7</v>
      </c>
      <c r="AH810">
        <v>0</v>
      </c>
      <c r="AI810">
        <v>0</v>
      </c>
      <c r="AJ810">
        <v>0</v>
      </c>
      <c r="AK810">
        <v>0</v>
      </c>
      <c r="AL810" t="s">
        <v>14559</v>
      </c>
      <c r="AM810" t="s">
        <v>14560</v>
      </c>
      <c r="AN810" t="s">
        <v>14561</v>
      </c>
      <c r="AO810" t="s">
        <v>8211</v>
      </c>
      <c r="AP810" t="s">
        <v>74</v>
      </c>
      <c r="AQ810" t="s">
        <v>74</v>
      </c>
      <c r="AR810" t="s">
        <v>8213</v>
      </c>
      <c r="AS810" t="s">
        <v>8214</v>
      </c>
      <c r="AT810" t="s">
        <v>13544</v>
      </c>
      <c r="AU810">
        <v>2009</v>
      </c>
      <c r="AV810">
        <v>44</v>
      </c>
      <c r="AW810" t="s">
        <v>74</v>
      </c>
      <c r="AX810" t="s">
        <v>74</v>
      </c>
      <c r="AY810" t="s">
        <v>74</v>
      </c>
      <c r="AZ810" t="s">
        <v>74</v>
      </c>
      <c r="BA810" t="s">
        <v>74</v>
      </c>
      <c r="BB810" t="s">
        <v>14636</v>
      </c>
      <c r="BC810" t="s">
        <v>14636</v>
      </c>
      <c r="BD810" t="s">
        <v>74</v>
      </c>
      <c r="BE810" t="s">
        <v>74</v>
      </c>
      <c r="BF810" t="s">
        <v>74</v>
      </c>
      <c r="BG810" t="s">
        <v>74</v>
      </c>
      <c r="BH810" t="s">
        <v>74</v>
      </c>
      <c r="BI810">
        <v>1</v>
      </c>
      <c r="BJ810" t="s">
        <v>261</v>
      </c>
      <c r="BK810" t="s">
        <v>98</v>
      </c>
      <c r="BL810" t="s">
        <v>261</v>
      </c>
      <c r="BM810" t="s">
        <v>14577</v>
      </c>
      <c r="BN810" t="s">
        <v>74</v>
      </c>
      <c r="BO810" t="s">
        <v>74</v>
      </c>
      <c r="BP810" t="s">
        <v>74</v>
      </c>
      <c r="BQ810" t="s">
        <v>74</v>
      </c>
      <c r="BR810" t="s">
        <v>101</v>
      </c>
      <c r="BS810" t="s">
        <v>14637</v>
      </c>
      <c r="BT810" t="str">
        <f>HYPERLINK("https%3A%2F%2Fwww.webofscience.com%2Fwos%2Fwoscc%2Ffull-record%2FWOS:000267314500425","View Full Record in Web of Science")</f>
        <v>View Full Record in Web of Science</v>
      </c>
    </row>
    <row r="811" spans="1:72" x14ac:dyDescent="0.15">
      <c r="A811" t="s">
        <v>72</v>
      </c>
      <c r="B811" t="s">
        <v>14638</v>
      </c>
      <c r="C811" t="s">
        <v>74</v>
      </c>
      <c r="D811" t="s">
        <v>74</v>
      </c>
      <c r="E811" t="s">
        <v>74</v>
      </c>
      <c r="F811" t="s">
        <v>14639</v>
      </c>
      <c r="G811" t="s">
        <v>74</v>
      </c>
      <c r="H811" t="s">
        <v>74</v>
      </c>
      <c r="I811" t="s">
        <v>14640</v>
      </c>
      <c r="J811" t="s">
        <v>14641</v>
      </c>
      <c r="K811" t="s">
        <v>74</v>
      </c>
      <c r="L811" t="s">
        <v>74</v>
      </c>
      <c r="M811" t="s">
        <v>78</v>
      </c>
      <c r="N811" t="s">
        <v>52</v>
      </c>
      <c r="O811" t="s">
        <v>74</v>
      </c>
      <c r="P811" t="s">
        <v>74</v>
      </c>
      <c r="Q811" t="s">
        <v>74</v>
      </c>
      <c r="R811" t="s">
        <v>74</v>
      </c>
      <c r="S811" t="s">
        <v>74</v>
      </c>
      <c r="T811" t="s">
        <v>74</v>
      </c>
      <c r="U811" t="s">
        <v>14642</v>
      </c>
      <c r="V811" t="s">
        <v>74</v>
      </c>
      <c r="W811" t="s">
        <v>14643</v>
      </c>
      <c r="X811" t="s">
        <v>14644</v>
      </c>
      <c r="Y811" t="s">
        <v>14645</v>
      </c>
      <c r="Z811" t="s">
        <v>74</v>
      </c>
      <c r="AA811" t="s">
        <v>74</v>
      </c>
      <c r="AB811" t="s">
        <v>74</v>
      </c>
      <c r="AC811" t="s">
        <v>14646</v>
      </c>
      <c r="AD811" t="s">
        <v>14647</v>
      </c>
      <c r="AE811" t="s">
        <v>14648</v>
      </c>
      <c r="AF811" t="s">
        <v>74</v>
      </c>
      <c r="AG811">
        <v>8</v>
      </c>
      <c r="AH811">
        <v>0</v>
      </c>
      <c r="AI811">
        <v>0</v>
      </c>
      <c r="AJ811">
        <v>0</v>
      </c>
      <c r="AK811">
        <v>3</v>
      </c>
      <c r="AL811" t="s">
        <v>1226</v>
      </c>
      <c r="AM811" t="s">
        <v>684</v>
      </c>
      <c r="AN811" t="s">
        <v>1227</v>
      </c>
      <c r="AO811" t="s">
        <v>14649</v>
      </c>
      <c r="AP811" t="s">
        <v>74</v>
      </c>
      <c r="AQ811" t="s">
        <v>74</v>
      </c>
      <c r="AR811" t="s">
        <v>14650</v>
      </c>
      <c r="AS811" t="s">
        <v>14651</v>
      </c>
      <c r="AT811" t="s">
        <v>13544</v>
      </c>
      <c r="AU811">
        <v>2009</v>
      </c>
      <c r="AV811">
        <v>15</v>
      </c>
      <c r="AW811" t="s">
        <v>74</v>
      </c>
      <c r="AX811" t="s">
        <v>74</v>
      </c>
      <c r="AY811">
        <v>2</v>
      </c>
      <c r="AZ811" t="s">
        <v>74</v>
      </c>
      <c r="BA811" t="s">
        <v>74</v>
      </c>
      <c r="BB811">
        <v>728</v>
      </c>
      <c r="BC811">
        <v>729</v>
      </c>
      <c r="BD811" t="s">
        <v>74</v>
      </c>
      <c r="BE811" t="s">
        <v>14652</v>
      </c>
      <c r="BF811" t="str">
        <f>HYPERLINK("http://dx.doi.org/10.1017/S143192760909610X","http://dx.doi.org/10.1017/S143192760909610X")</f>
        <v>http://dx.doi.org/10.1017/S143192760909610X</v>
      </c>
      <c r="BG811" t="s">
        <v>74</v>
      </c>
      <c r="BH811" t="s">
        <v>74</v>
      </c>
      <c r="BI811">
        <v>2</v>
      </c>
      <c r="BJ811" t="s">
        <v>14653</v>
      </c>
      <c r="BK811" t="s">
        <v>98</v>
      </c>
      <c r="BL811" t="s">
        <v>14654</v>
      </c>
      <c r="BM811" t="s">
        <v>14655</v>
      </c>
      <c r="BN811" t="s">
        <v>74</v>
      </c>
      <c r="BO811" t="s">
        <v>74</v>
      </c>
      <c r="BP811" t="s">
        <v>74</v>
      </c>
      <c r="BQ811" t="s">
        <v>74</v>
      </c>
      <c r="BR811" t="s">
        <v>101</v>
      </c>
      <c r="BS811" t="s">
        <v>14656</v>
      </c>
      <c r="BT811" t="str">
        <f>HYPERLINK("https%3A%2F%2Fwww.webofscience.com%2Fwos%2Fwoscc%2Ffull-record%2FWOS:000208119100361","View Full Record in Web of Science")</f>
        <v>View Full Record in Web of Science</v>
      </c>
    </row>
    <row r="812" spans="1:72" x14ac:dyDescent="0.15">
      <c r="A812" t="s">
        <v>72</v>
      </c>
      <c r="B812" t="s">
        <v>14657</v>
      </c>
      <c r="C812" t="s">
        <v>74</v>
      </c>
      <c r="D812" t="s">
        <v>74</v>
      </c>
      <c r="E812" t="s">
        <v>74</v>
      </c>
      <c r="F812" t="s">
        <v>14658</v>
      </c>
      <c r="G812" t="s">
        <v>74</v>
      </c>
      <c r="H812" t="s">
        <v>74</v>
      </c>
      <c r="I812" t="s">
        <v>14659</v>
      </c>
      <c r="J812" t="s">
        <v>2811</v>
      </c>
      <c r="K812" t="s">
        <v>74</v>
      </c>
      <c r="L812" t="s">
        <v>74</v>
      </c>
      <c r="M812" t="s">
        <v>78</v>
      </c>
      <c r="N812" t="s">
        <v>79</v>
      </c>
      <c r="O812" t="s">
        <v>74</v>
      </c>
      <c r="P812" t="s">
        <v>74</v>
      </c>
      <c r="Q812" t="s">
        <v>74</v>
      </c>
      <c r="R812" t="s">
        <v>74</v>
      </c>
      <c r="S812" t="s">
        <v>74</v>
      </c>
      <c r="T812" t="s">
        <v>14660</v>
      </c>
      <c r="U812" t="s">
        <v>14661</v>
      </c>
      <c r="V812" t="s">
        <v>14662</v>
      </c>
      <c r="W812" t="s">
        <v>14663</v>
      </c>
      <c r="X812" t="s">
        <v>14664</v>
      </c>
      <c r="Y812" t="s">
        <v>12139</v>
      </c>
      <c r="Z812" t="s">
        <v>12140</v>
      </c>
      <c r="AA812" t="s">
        <v>14665</v>
      </c>
      <c r="AB812" t="s">
        <v>14666</v>
      </c>
      <c r="AC812" t="s">
        <v>14667</v>
      </c>
      <c r="AD812" t="s">
        <v>14668</v>
      </c>
      <c r="AE812" t="s">
        <v>14669</v>
      </c>
      <c r="AF812" t="s">
        <v>74</v>
      </c>
      <c r="AG812">
        <v>100</v>
      </c>
      <c r="AH812">
        <v>40</v>
      </c>
      <c r="AI812">
        <v>45</v>
      </c>
      <c r="AJ812">
        <v>0</v>
      </c>
      <c r="AK812">
        <v>50</v>
      </c>
      <c r="AL812" t="s">
        <v>1184</v>
      </c>
      <c r="AM812" t="s">
        <v>1185</v>
      </c>
      <c r="AN812" t="s">
        <v>1186</v>
      </c>
      <c r="AO812" t="s">
        <v>2824</v>
      </c>
      <c r="AP812" t="s">
        <v>2825</v>
      </c>
      <c r="AQ812" t="s">
        <v>74</v>
      </c>
      <c r="AR812" t="s">
        <v>2826</v>
      </c>
      <c r="AS812" t="s">
        <v>2827</v>
      </c>
      <c r="AT812" t="s">
        <v>13544</v>
      </c>
      <c r="AU812">
        <v>2009</v>
      </c>
      <c r="AV812">
        <v>18</v>
      </c>
      <c r="AW812">
        <v>14</v>
      </c>
      <c r="AX812" t="s">
        <v>74</v>
      </c>
      <c r="AY812" t="s">
        <v>74</v>
      </c>
      <c r="AZ812" t="s">
        <v>74</v>
      </c>
      <c r="BA812" t="s">
        <v>74</v>
      </c>
      <c r="BB812">
        <v>2961</v>
      </c>
      <c r="BC812">
        <v>2978</v>
      </c>
      <c r="BD812" t="s">
        <v>74</v>
      </c>
      <c r="BE812" t="s">
        <v>14670</v>
      </c>
      <c r="BF812" t="str">
        <f>HYPERLINK("http://dx.doi.org/10.1111/j.1365-294X.2009.04246.x","http://dx.doi.org/10.1111/j.1365-294X.2009.04246.x")</f>
        <v>http://dx.doi.org/10.1111/j.1365-294X.2009.04246.x</v>
      </c>
      <c r="BG812" t="s">
        <v>74</v>
      </c>
      <c r="BH812" t="s">
        <v>74</v>
      </c>
      <c r="BI812">
        <v>18</v>
      </c>
      <c r="BJ812" t="s">
        <v>2829</v>
      </c>
      <c r="BK812" t="s">
        <v>98</v>
      </c>
      <c r="BL812" t="s">
        <v>2830</v>
      </c>
      <c r="BM812" t="s">
        <v>14671</v>
      </c>
      <c r="BN812">
        <v>19500256</v>
      </c>
      <c r="BO812" t="s">
        <v>1119</v>
      </c>
      <c r="BP812" t="s">
        <v>74</v>
      </c>
      <c r="BQ812" t="s">
        <v>74</v>
      </c>
      <c r="BR812" t="s">
        <v>101</v>
      </c>
      <c r="BS812" t="s">
        <v>14672</v>
      </c>
      <c r="BT812" t="str">
        <f>HYPERLINK("https%3A%2F%2Fwww.webofscience.com%2Fwos%2Fwoscc%2Ffull-record%2FWOS:000267540100007","View Full Record in Web of Science")</f>
        <v>View Full Record in Web of Science</v>
      </c>
    </row>
    <row r="813" spans="1:72" x14ac:dyDescent="0.15">
      <c r="A813" t="s">
        <v>72</v>
      </c>
      <c r="B813" t="s">
        <v>14673</v>
      </c>
      <c r="C813" t="s">
        <v>74</v>
      </c>
      <c r="D813" t="s">
        <v>74</v>
      </c>
      <c r="E813" t="s">
        <v>74</v>
      </c>
      <c r="F813" t="s">
        <v>14674</v>
      </c>
      <c r="G813" t="s">
        <v>74</v>
      </c>
      <c r="H813" t="s">
        <v>74</v>
      </c>
      <c r="I813" t="s">
        <v>14675</v>
      </c>
      <c r="J813" t="s">
        <v>5805</v>
      </c>
      <c r="K813" t="s">
        <v>74</v>
      </c>
      <c r="L813" t="s">
        <v>74</v>
      </c>
      <c r="M813" t="s">
        <v>78</v>
      </c>
      <c r="N813" t="s">
        <v>79</v>
      </c>
      <c r="O813" t="s">
        <v>74</v>
      </c>
      <c r="P813" t="s">
        <v>74</v>
      </c>
      <c r="Q813" t="s">
        <v>74</v>
      </c>
      <c r="R813" t="s">
        <v>74</v>
      </c>
      <c r="S813" t="s">
        <v>74</v>
      </c>
      <c r="T813" t="s">
        <v>14676</v>
      </c>
      <c r="U813" t="s">
        <v>74</v>
      </c>
      <c r="V813" t="s">
        <v>14677</v>
      </c>
      <c r="W813" t="s">
        <v>14678</v>
      </c>
      <c r="X813" t="s">
        <v>14679</v>
      </c>
      <c r="Y813" t="s">
        <v>14680</v>
      </c>
      <c r="Z813" t="s">
        <v>14681</v>
      </c>
      <c r="AA813" t="s">
        <v>14682</v>
      </c>
      <c r="AB813" t="s">
        <v>14683</v>
      </c>
      <c r="AC813" t="s">
        <v>14684</v>
      </c>
      <c r="AD813" t="s">
        <v>14685</v>
      </c>
      <c r="AE813" t="s">
        <v>14686</v>
      </c>
      <c r="AF813" t="s">
        <v>74</v>
      </c>
      <c r="AG813">
        <v>12</v>
      </c>
      <c r="AH813">
        <v>5</v>
      </c>
      <c r="AI813">
        <v>5</v>
      </c>
      <c r="AJ813">
        <v>0</v>
      </c>
      <c r="AK813">
        <v>8</v>
      </c>
      <c r="AL813" t="s">
        <v>1184</v>
      </c>
      <c r="AM813" t="s">
        <v>1185</v>
      </c>
      <c r="AN813" t="s">
        <v>1186</v>
      </c>
      <c r="AO813" t="s">
        <v>5817</v>
      </c>
      <c r="AP813" t="s">
        <v>5818</v>
      </c>
      <c r="AQ813" t="s">
        <v>74</v>
      </c>
      <c r="AR813" t="s">
        <v>5819</v>
      </c>
      <c r="AS813" t="s">
        <v>5820</v>
      </c>
      <c r="AT813" t="s">
        <v>13544</v>
      </c>
      <c r="AU813">
        <v>2009</v>
      </c>
      <c r="AV813">
        <v>9</v>
      </c>
      <c r="AW813">
        <v>4</v>
      </c>
      <c r="AX813" t="s">
        <v>74</v>
      </c>
      <c r="AY813" t="s">
        <v>74</v>
      </c>
      <c r="AZ813" t="s">
        <v>74</v>
      </c>
      <c r="BA813" t="s">
        <v>74</v>
      </c>
      <c r="BB813">
        <v>1239</v>
      </c>
      <c r="BC813">
        <v>1242</v>
      </c>
      <c r="BD813" t="s">
        <v>74</v>
      </c>
      <c r="BE813" t="s">
        <v>14687</v>
      </c>
      <c r="BF813" t="str">
        <f>HYPERLINK("http://dx.doi.org/10.1111/j.1755-0998.2009.02617.x","http://dx.doi.org/10.1111/j.1755-0998.2009.02617.x")</f>
        <v>http://dx.doi.org/10.1111/j.1755-0998.2009.02617.x</v>
      </c>
      <c r="BG813" t="s">
        <v>74</v>
      </c>
      <c r="BH813" t="s">
        <v>74</v>
      </c>
      <c r="BI813">
        <v>4</v>
      </c>
      <c r="BJ813" t="s">
        <v>2829</v>
      </c>
      <c r="BK813" t="s">
        <v>98</v>
      </c>
      <c r="BL813" t="s">
        <v>2830</v>
      </c>
      <c r="BM813" t="s">
        <v>14688</v>
      </c>
      <c r="BN813">
        <v>21564889</v>
      </c>
      <c r="BO813" t="s">
        <v>1381</v>
      </c>
      <c r="BP813" t="s">
        <v>74</v>
      </c>
      <c r="BQ813" t="s">
        <v>74</v>
      </c>
      <c r="BR813" t="s">
        <v>101</v>
      </c>
      <c r="BS813" t="s">
        <v>14689</v>
      </c>
      <c r="BT813" t="str">
        <f>HYPERLINK("https%3A%2F%2Fwww.webofscience.com%2Fwos%2Fwoscc%2Ffull-record%2FWOS:000268245500045","View Full Record in Web of Science")</f>
        <v>View Full Record in Web of Science</v>
      </c>
    </row>
    <row r="814" spans="1:72" x14ac:dyDescent="0.15">
      <c r="A814" t="s">
        <v>72</v>
      </c>
      <c r="B814" t="s">
        <v>14690</v>
      </c>
      <c r="C814" t="s">
        <v>74</v>
      </c>
      <c r="D814" t="s">
        <v>74</v>
      </c>
      <c r="E814" t="s">
        <v>74</v>
      </c>
      <c r="F814" t="s">
        <v>14691</v>
      </c>
      <c r="G814" t="s">
        <v>74</v>
      </c>
      <c r="H814" t="s">
        <v>74</v>
      </c>
      <c r="I814" t="s">
        <v>14692</v>
      </c>
      <c r="J814" t="s">
        <v>14693</v>
      </c>
      <c r="K814" t="s">
        <v>74</v>
      </c>
      <c r="L814" t="s">
        <v>74</v>
      </c>
      <c r="M814" t="s">
        <v>78</v>
      </c>
      <c r="N814" t="s">
        <v>79</v>
      </c>
      <c r="O814" t="s">
        <v>74</v>
      </c>
      <c r="P814" t="s">
        <v>74</v>
      </c>
      <c r="Q814" t="s">
        <v>74</v>
      </c>
      <c r="R814" t="s">
        <v>74</v>
      </c>
      <c r="S814" t="s">
        <v>74</v>
      </c>
      <c r="T814" t="s">
        <v>14694</v>
      </c>
      <c r="U814" t="s">
        <v>14695</v>
      </c>
      <c r="V814" t="s">
        <v>14696</v>
      </c>
      <c r="W814" t="s">
        <v>14697</v>
      </c>
      <c r="X814" t="s">
        <v>14698</v>
      </c>
      <c r="Y814" t="s">
        <v>14699</v>
      </c>
      <c r="Z814" t="s">
        <v>14700</v>
      </c>
      <c r="AA814" t="s">
        <v>14701</v>
      </c>
      <c r="AB814" t="s">
        <v>14702</v>
      </c>
      <c r="AC814" t="s">
        <v>14703</v>
      </c>
      <c r="AD814" t="s">
        <v>14704</v>
      </c>
      <c r="AE814" t="s">
        <v>14705</v>
      </c>
      <c r="AF814" t="s">
        <v>74</v>
      </c>
      <c r="AG814">
        <v>64</v>
      </c>
      <c r="AH814">
        <v>78</v>
      </c>
      <c r="AI814">
        <v>87</v>
      </c>
      <c r="AJ814">
        <v>1</v>
      </c>
      <c r="AK814">
        <v>33</v>
      </c>
      <c r="AL814" t="s">
        <v>9993</v>
      </c>
      <c r="AM814" t="s">
        <v>9994</v>
      </c>
      <c r="AN814" t="s">
        <v>9995</v>
      </c>
      <c r="AO814" t="s">
        <v>14706</v>
      </c>
      <c r="AP814" t="s">
        <v>14707</v>
      </c>
      <c r="AQ814" t="s">
        <v>74</v>
      </c>
      <c r="AR814" t="s">
        <v>14708</v>
      </c>
      <c r="AS814" t="s">
        <v>14709</v>
      </c>
      <c r="AT814" t="s">
        <v>13544</v>
      </c>
      <c r="AU814">
        <v>2009</v>
      </c>
      <c r="AV814">
        <v>52</v>
      </c>
      <c r="AW814">
        <v>1</v>
      </c>
      <c r="AX814" t="s">
        <v>74</v>
      </c>
      <c r="AY814" t="s">
        <v>74</v>
      </c>
      <c r="AZ814" t="s">
        <v>74</v>
      </c>
      <c r="BA814" t="s">
        <v>74</v>
      </c>
      <c r="BB814">
        <v>17</v>
      </c>
      <c r="BC814">
        <v>24</v>
      </c>
      <c r="BD814" t="s">
        <v>74</v>
      </c>
      <c r="BE814" t="s">
        <v>14710</v>
      </c>
      <c r="BF814" t="str">
        <f>HYPERLINK("http://dx.doi.org/10.1016/j.ympev.2009.03.027","http://dx.doi.org/10.1016/j.ympev.2009.03.027")</f>
        <v>http://dx.doi.org/10.1016/j.ympev.2009.03.027</v>
      </c>
      <c r="BG814" t="s">
        <v>74</v>
      </c>
      <c r="BH814" t="s">
        <v>74</v>
      </c>
      <c r="BI814">
        <v>8</v>
      </c>
      <c r="BJ814" t="s">
        <v>8236</v>
      </c>
      <c r="BK814" t="s">
        <v>98</v>
      </c>
      <c r="BL814" t="s">
        <v>8236</v>
      </c>
      <c r="BM814" t="s">
        <v>14711</v>
      </c>
      <c r="BN814">
        <v>19348951</v>
      </c>
      <c r="BO814" t="s">
        <v>74</v>
      </c>
      <c r="BP814" t="s">
        <v>74</v>
      </c>
      <c r="BQ814" t="s">
        <v>74</v>
      </c>
      <c r="BR814" t="s">
        <v>101</v>
      </c>
      <c r="BS814" t="s">
        <v>14712</v>
      </c>
      <c r="BT814" t="str">
        <f>HYPERLINK("https%3A%2F%2Fwww.webofscience.com%2Fwos%2Fwoscc%2Ffull-record%2FWOS:000266692800002","View Full Record in Web of Science")</f>
        <v>View Full Record in Web of Science</v>
      </c>
    </row>
    <row r="815" spans="1:72" x14ac:dyDescent="0.15">
      <c r="A815" t="s">
        <v>72</v>
      </c>
      <c r="B815" t="s">
        <v>14713</v>
      </c>
      <c r="C815" t="s">
        <v>74</v>
      </c>
      <c r="D815" t="s">
        <v>74</v>
      </c>
      <c r="E815" t="s">
        <v>74</v>
      </c>
      <c r="F815" t="s">
        <v>14714</v>
      </c>
      <c r="G815" t="s">
        <v>74</v>
      </c>
      <c r="H815" t="s">
        <v>74</v>
      </c>
      <c r="I815" t="s">
        <v>14715</v>
      </c>
      <c r="J815" t="s">
        <v>14693</v>
      </c>
      <c r="K815" t="s">
        <v>74</v>
      </c>
      <c r="L815" t="s">
        <v>74</v>
      </c>
      <c r="M815" t="s">
        <v>78</v>
      </c>
      <c r="N815" t="s">
        <v>79</v>
      </c>
      <c r="O815" t="s">
        <v>74</v>
      </c>
      <c r="P815" t="s">
        <v>74</v>
      </c>
      <c r="Q815" t="s">
        <v>74</v>
      </c>
      <c r="R815" t="s">
        <v>74</v>
      </c>
      <c r="S815" t="s">
        <v>74</v>
      </c>
      <c r="T815" t="s">
        <v>14716</v>
      </c>
      <c r="U815" t="s">
        <v>14717</v>
      </c>
      <c r="V815" t="s">
        <v>14718</v>
      </c>
      <c r="W815" t="s">
        <v>14719</v>
      </c>
      <c r="X815" t="s">
        <v>11935</v>
      </c>
      <c r="Y815" t="s">
        <v>14720</v>
      </c>
      <c r="Z815" t="s">
        <v>14721</v>
      </c>
      <c r="AA815" t="s">
        <v>74</v>
      </c>
      <c r="AB815" t="s">
        <v>14722</v>
      </c>
      <c r="AC815" t="s">
        <v>14723</v>
      </c>
      <c r="AD815" t="s">
        <v>14723</v>
      </c>
      <c r="AE815" t="s">
        <v>14724</v>
      </c>
      <c r="AF815" t="s">
        <v>74</v>
      </c>
      <c r="AG815">
        <v>73</v>
      </c>
      <c r="AH815">
        <v>28</v>
      </c>
      <c r="AI815">
        <v>33</v>
      </c>
      <c r="AJ815">
        <v>1</v>
      </c>
      <c r="AK815">
        <v>13</v>
      </c>
      <c r="AL815" t="s">
        <v>9993</v>
      </c>
      <c r="AM815" t="s">
        <v>9994</v>
      </c>
      <c r="AN815" t="s">
        <v>9995</v>
      </c>
      <c r="AO815" t="s">
        <v>14706</v>
      </c>
      <c r="AP815" t="s">
        <v>14707</v>
      </c>
      <c r="AQ815" t="s">
        <v>74</v>
      </c>
      <c r="AR815" t="s">
        <v>14708</v>
      </c>
      <c r="AS815" t="s">
        <v>14709</v>
      </c>
      <c r="AT815" t="s">
        <v>13544</v>
      </c>
      <c r="AU815">
        <v>2009</v>
      </c>
      <c r="AV815">
        <v>52</v>
      </c>
      <c r="AW815">
        <v>1</v>
      </c>
      <c r="AX815" t="s">
        <v>74</v>
      </c>
      <c r="AY815" t="s">
        <v>74</v>
      </c>
      <c r="AZ815" t="s">
        <v>74</v>
      </c>
      <c r="BA815" t="s">
        <v>74</v>
      </c>
      <c r="BB815">
        <v>25</v>
      </c>
      <c r="BC815">
        <v>33</v>
      </c>
      <c r="BD815" t="s">
        <v>74</v>
      </c>
      <c r="BE815" t="s">
        <v>14725</v>
      </c>
      <c r="BF815" t="str">
        <f>HYPERLINK("http://dx.doi.org/10.1016/j.ympev.2009.04.004","http://dx.doi.org/10.1016/j.ympev.2009.04.004")</f>
        <v>http://dx.doi.org/10.1016/j.ympev.2009.04.004</v>
      </c>
      <c r="BG815" t="s">
        <v>74</v>
      </c>
      <c r="BH815" t="s">
        <v>74</v>
      </c>
      <c r="BI815">
        <v>9</v>
      </c>
      <c r="BJ815" t="s">
        <v>8236</v>
      </c>
      <c r="BK815" t="s">
        <v>98</v>
      </c>
      <c r="BL815" t="s">
        <v>8236</v>
      </c>
      <c r="BM815" t="s">
        <v>14711</v>
      </c>
      <c r="BN815">
        <v>19364537</v>
      </c>
      <c r="BO815" t="s">
        <v>74</v>
      </c>
      <c r="BP815" t="s">
        <v>74</v>
      </c>
      <c r="BQ815" t="s">
        <v>74</v>
      </c>
      <c r="BR815" t="s">
        <v>101</v>
      </c>
      <c r="BS815" t="s">
        <v>14726</v>
      </c>
      <c r="BT815" t="str">
        <f>HYPERLINK("https%3A%2F%2Fwww.webofscience.com%2Fwos%2Fwoscc%2Ffull-record%2FWOS:000266692800003","View Full Record in Web of Science")</f>
        <v>View Full Record in Web of Science</v>
      </c>
    </row>
    <row r="816" spans="1:72" x14ac:dyDescent="0.15">
      <c r="A816" t="s">
        <v>72</v>
      </c>
      <c r="B816" t="s">
        <v>14727</v>
      </c>
      <c r="C816" t="s">
        <v>74</v>
      </c>
      <c r="D816" t="s">
        <v>74</v>
      </c>
      <c r="E816" t="s">
        <v>74</v>
      </c>
      <c r="F816" t="s">
        <v>14728</v>
      </c>
      <c r="G816" t="s">
        <v>74</v>
      </c>
      <c r="H816" t="s">
        <v>74</v>
      </c>
      <c r="I816" t="s">
        <v>14729</v>
      </c>
      <c r="J816" t="s">
        <v>2860</v>
      </c>
      <c r="K816" t="s">
        <v>74</v>
      </c>
      <c r="L816" t="s">
        <v>74</v>
      </c>
      <c r="M816" t="s">
        <v>78</v>
      </c>
      <c r="N816" t="s">
        <v>79</v>
      </c>
      <c r="O816" t="s">
        <v>74</v>
      </c>
      <c r="P816" t="s">
        <v>74</v>
      </c>
      <c r="Q816" t="s">
        <v>74</v>
      </c>
      <c r="R816" t="s">
        <v>74</v>
      </c>
      <c r="S816" t="s">
        <v>74</v>
      </c>
      <c r="T816" t="s">
        <v>74</v>
      </c>
      <c r="U816" t="s">
        <v>14730</v>
      </c>
      <c r="V816" t="s">
        <v>14731</v>
      </c>
      <c r="W816" t="s">
        <v>14732</v>
      </c>
      <c r="X816" t="s">
        <v>14733</v>
      </c>
      <c r="Y816" t="s">
        <v>14734</v>
      </c>
      <c r="Z816" t="s">
        <v>14735</v>
      </c>
      <c r="AA816" t="s">
        <v>14736</v>
      </c>
      <c r="AB816" t="s">
        <v>14737</v>
      </c>
      <c r="AC816" t="s">
        <v>14738</v>
      </c>
      <c r="AD816" t="s">
        <v>14739</v>
      </c>
      <c r="AE816" t="s">
        <v>14740</v>
      </c>
      <c r="AF816" t="s">
        <v>74</v>
      </c>
      <c r="AG816">
        <v>30</v>
      </c>
      <c r="AH816">
        <v>343</v>
      </c>
      <c r="AI816">
        <v>377</v>
      </c>
      <c r="AJ816">
        <v>6</v>
      </c>
      <c r="AK816">
        <v>168</v>
      </c>
      <c r="AL816" t="s">
        <v>2890</v>
      </c>
      <c r="AM816" t="s">
        <v>684</v>
      </c>
      <c r="AN816" t="s">
        <v>2891</v>
      </c>
      <c r="AO816" t="s">
        <v>2870</v>
      </c>
      <c r="AP816" t="s">
        <v>2871</v>
      </c>
      <c r="AQ816" t="s">
        <v>74</v>
      </c>
      <c r="AR816" t="s">
        <v>2872</v>
      </c>
      <c r="AS816" t="s">
        <v>2873</v>
      </c>
      <c r="AT816" t="s">
        <v>13544</v>
      </c>
      <c r="AU816">
        <v>2009</v>
      </c>
      <c r="AV816">
        <v>2</v>
      </c>
      <c r="AW816">
        <v>7</v>
      </c>
      <c r="AX816" t="s">
        <v>74</v>
      </c>
      <c r="AY816" t="s">
        <v>74</v>
      </c>
      <c r="AZ816" t="s">
        <v>74</v>
      </c>
      <c r="BA816" t="s">
        <v>74</v>
      </c>
      <c r="BB816">
        <v>500</v>
      </c>
      <c r="BC816">
        <v>504</v>
      </c>
      <c r="BD816" t="s">
        <v>74</v>
      </c>
      <c r="BE816" t="s">
        <v>14741</v>
      </c>
      <c r="BF816" t="str">
        <f>HYPERLINK("http://dx.doi.org/10.1038/ngeo557","http://dx.doi.org/10.1038/ngeo557")</f>
        <v>http://dx.doi.org/10.1038/ngeo557</v>
      </c>
      <c r="BG816" t="s">
        <v>74</v>
      </c>
      <c r="BH816" t="s">
        <v>74</v>
      </c>
      <c r="BI816">
        <v>5</v>
      </c>
      <c r="BJ816" t="s">
        <v>464</v>
      </c>
      <c r="BK816" t="s">
        <v>98</v>
      </c>
      <c r="BL816" t="s">
        <v>465</v>
      </c>
      <c r="BM816" t="s">
        <v>14742</v>
      </c>
      <c r="BN816" t="s">
        <v>74</v>
      </c>
      <c r="BO816" t="s">
        <v>1119</v>
      </c>
      <c r="BP816" t="s">
        <v>74</v>
      </c>
      <c r="BQ816" t="s">
        <v>74</v>
      </c>
      <c r="BR816" t="s">
        <v>101</v>
      </c>
      <c r="BS816" t="s">
        <v>14743</v>
      </c>
      <c r="BT816" t="str">
        <f>HYPERLINK("https%3A%2F%2Fwww.webofscience.com%2Fwos%2Fwoscc%2Ffull-record%2FWOS:000270061600020","View Full Record in Web of Science")</f>
        <v>View Full Record in Web of Science</v>
      </c>
    </row>
    <row r="817" spans="1:72" x14ac:dyDescent="0.15">
      <c r="A817" t="s">
        <v>72</v>
      </c>
      <c r="B817" t="s">
        <v>14744</v>
      </c>
      <c r="C817" t="s">
        <v>74</v>
      </c>
      <c r="D817" t="s">
        <v>74</v>
      </c>
      <c r="E817" t="s">
        <v>74</v>
      </c>
      <c r="F817" t="s">
        <v>14745</v>
      </c>
      <c r="G817" t="s">
        <v>74</v>
      </c>
      <c r="H817" t="s">
        <v>74</v>
      </c>
      <c r="I817" t="s">
        <v>14746</v>
      </c>
      <c r="J817" t="s">
        <v>2860</v>
      </c>
      <c r="K817" t="s">
        <v>74</v>
      </c>
      <c r="L817" t="s">
        <v>74</v>
      </c>
      <c r="M817" t="s">
        <v>78</v>
      </c>
      <c r="N817" t="s">
        <v>79</v>
      </c>
      <c r="O817" t="s">
        <v>74</v>
      </c>
      <c r="P817" t="s">
        <v>74</v>
      </c>
      <c r="Q817" t="s">
        <v>74</v>
      </c>
      <c r="R817" t="s">
        <v>74</v>
      </c>
      <c r="S817" t="s">
        <v>74</v>
      </c>
      <c r="T817" t="s">
        <v>74</v>
      </c>
      <c r="U817" t="s">
        <v>14747</v>
      </c>
      <c r="V817" t="s">
        <v>14748</v>
      </c>
      <c r="W817" t="s">
        <v>14749</v>
      </c>
      <c r="X817" t="s">
        <v>14750</v>
      </c>
      <c r="Y817" t="s">
        <v>14751</v>
      </c>
      <c r="Z817" t="s">
        <v>6686</v>
      </c>
      <c r="AA817" t="s">
        <v>14752</v>
      </c>
      <c r="AB817" t="s">
        <v>14753</v>
      </c>
      <c r="AC817" t="s">
        <v>14754</v>
      </c>
      <c r="AD817" t="s">
        <v>14755</v>
      </c>
      <c r="AE817" t="s">
        <v>14756</v>
      </c>
      <c r="AF817" t="s">
        <v>74</v>
      </c>
      <c r="AG817">
        <v>30</v>
      </c>
      <c r="AH817">
        <v>54</v>
      </c>
      <c r="AI817">
        <v>62</v>
      </c>
      <c r="AJ817">
        <v>1</v>
      </c>
      <c r="AK817">
        <v>41</v>
      </c>
      <c r="AL817" t="s">
        <v>2890</v>
      </c>
      <c r="AM817" t="s">
        <v>684</v>
      </c>
      <c r="AN817" t="s">
        <v>2891</v>
      </c>
      <c r="AO817" t="s">
        <v>2870</v>
      </c>
      <c r="AP817" t="s">
        <v>2871</v>
      </c>
      <c r="AQ817" t="s">
        <v>74</v>
      </c>
      <c r="AR817" t="s">
        <v>2872</v>
      </c>
      <c r="AS817" t="s">
        <v>2873</v>
      </c>
      <c r="AT817" t="s">
        <v>13544</v>
      </c>
      <c r="AU817">
        <v>2009</v>
      </c>
      <c r="AV817">
        <v>2</v>
      </c>
      <c r="AW817">
        <v>7</v>
      </c>
      <c r="AX817" t="s">
        <v>74</v>
      </c>
      <c r="AY817" t="s">
        <v>74</v>
      </c>
      <c r="AZ817" t="s">
        <v>74</v>
      </c>
      <c r="BA817" t="s">
        <v>74</v>
      </c>
      <c r="BB817">
        <v>505</v>
      </c>
      <c r="BC817">
        <v>508</v>
      </c>
      <c r="BD817" t="s">
        <v>74</v>
      </c>
      <c r="BE817" t="s">
        <v>14757</v>
      </c>
      <c r="BF817" t="str">
        <f>HYPERLINK("http://dx.doi.org/10.1038/ngeo549","http://dx.doi.org/10.1038/ngeo549")</f>
        <v>http://dx.doi.org/10.1038/ngeo549</v>
      </c>
      <c r="BG817" t="s">
        <v>74</v>
      </c>
      <c r="BH817" t="s">
        <v>74</v>
      </c>
      <c r="BI817">
        <v>4</v>
      </c>
      <c r="BJ817" t="s">
        <v>464</v>
      </c>
      <c r="BK817" t="s">
        <v>98</v>
      </c>
      <c r="BL817" t="s">
        <v>465</v>
      </c>
      <c r="BM817" t="s">
        <v>14742</v>
      </c>
      <c r="BN817" t="s">
        <v>74</v>
      </c>
      <c r="BO817" t="s">
        <v>74</v>
      </c>
      <c r="BP817" t="s">
        <v>74</v>
      </c>
      <c r="BQ817" t="s">
        <v>74</v>
      </c>
      <c r="BR817" t="s">
        <v>101</v>
      </c>
      <c r="BS817" t="s">
        <v>14758</v>
      </c>
      <c r="BT817" t="str">
        <f>HYPERLINK("https%3A%2F%2Fwww.webofscience.com%2Fwos%2Fwoscc%2Ffull-record%2FWOS:000270061600021","View Full Record in Web of Science")</f>
        <v>View Full Record in Web of Science</v>
      </c>
    </row>
    <row r="818" spans="1:72" x14ac:dyDescent="0.15">
      <c r="A818" t="s">
        <v>72</v>
      </c>
      <c r="B818" t="s">
        <v>14759</v>
      </c>
      <c r="C818" t="s">
        <v>74</v>
      </c>
      <c r="D818" t="s">
        <v>74</v>
      </c>
      <c r="E818" t="s">
        <v>74</v>
      </c>
      <c r="F818" t="s">
        <v>14760</v>
      </c>
      <c r="G818" t="s">
        <v>74</v>
      </c>
      <c r="H818" t="s">
        <v>74</v>
      </c>
      <c r="I818" t="s">
        <v>14761</v>
      </c>
      <c r="J818" t="s">
        <v>12698</v>
      </c>
      <c r="K818" t="s">
        <v>74</v>
      </c>
      <c r="L818" t="s">
        <v>74</v>
      </c>
      <c r="M818" t="s">
        <v>78</v>
      </c>
      <c r="N818" t="s">
        <v>79</v>
      </c>
      <c r="O818" t="s">
        <v>74</v>
      </c>
      <c r="P818" t="s">
        <v>74</v>
      </c>
      <c r="Q818" t="s">
        <v>74</v>
      </c>
      <c r="R818" t="s">
        <v>74</v>
      </c>
      <c r="S818" t="s">
        <v>74</v>
      </c>
      <c r="T818" t="s">
        <v>14762</v>
      </c>
      <c r="U818" t="s">
        <v>14763</v>
      </c>
      <c r="V818" t="s">
        <v>14764</v>
      </c>
      <c r="W818" t="s">
        <v>14765</v>
      </c>
      <c r="X818" t="s">
        <v>14766</v>
      </c>
      <c r="Y818" t="s">
        <v>14767</v>
      </c>
      <c r="Z818" t="s">
        <v>14768</v>
      </c>
      <c r="AA818" t="s">
        <v>14769</v>
      </c>
      <c r="AB818" t="s">
        <v>14770</v>
      </c>
      <c r="AC818" t="s">
        <v>14771</v>
      </c>
      <c r="AD818" t="s">
        <v>5584</v>
      </c>
      <c r="AE818" t="s">
        <v>14772</v>
      </c>
      <c r="AF818" t="s">
        <v>74</v>
      </c>
      <c r="AG818">
        <v>69</v>
      </c>
      <c r="AH818">
        <v>161</v>
      </c>
      <c r="AI818">
        <v>182</v>
      </c>
      <c r="AJ818">
        <v>2</v>
      </c>
      <c r="AK818">
        <v>114</v>
      </c>
      <c r="AL818" t="s">
        <v>1850</v>
      </c>
      <c r="AM818" t="s">
        <v>684</v>
      </c>
      <c r="AN818" t="s">
        <v>3108</v>
      </c>
      <c r="AO818" t="s">
        <v>12711</v>
      </c>
      <c r="AP818" t="s">
        <v>12712</v>
      </c>
      <c r="AQ818" t="s">
        <v>74</v>
      </c>
      <c r="AR818" t="s">
        <v>12698</v>
      </c>
      <c r="AS818" t="s">
        <v>12713</v>
      </c>
      <c r="AT818" t="s">
        <v>13544</v>
      </c>
      <c r="AU818">
        <v>2009</v>
      </c>
      <c r="AV818">
        <v>160</v>
      </c>
      <c r="AW818">
        <v>4</v>
      </c>
      <c r="AX818" t="s">
        <v>74</v>
      </c>
      <c r="AY818" t="s">
        <v>74</v>
      </c>
      <c r="AZ818" t="s">
        <v>74</v>
      </c>
      <c r="BA818" t="s">
        <v>74</v>
      </c>
      <c r="BB818">
        <v>795</v>
      </c>
      <c r="BC818">
        <v>806</v>
      </c>
      <c r="BD818" t="s">
        <v>74</v>
      </c>
      <c r="BE818" t="s">
        <v>14773</v>
      </c>
      <c r="BF818" t="str">
        <f>HYPERLINK("http://dx.doi.org/10.1007/s00442-009-1342-9","http://dx.doi.org/10.1007/s00442-009-1342-9")</f>
        <v>http://dx.doi.org/10.1007/s00442-009-1342-9</v>
      </c>
      <c r="BG818" t="s">
        <v>74</v>
      </c>
      <c r="BH818" t="s">
        <v>74</v>
      </c>
      <c r="BI818">
        <v>12</v>
      </c>
      <c r="BJ818" t="s">
        <v>5022</v>
      </c>
      <c r="BK818" t="s">
        <v>98</v>
      </c>
      <c r="BL818" t="s">
        <v>516</v>
      </c>
      <c r="BM818" t="s">
        <v>14774</v>
      </c>
      <c r="BN818">
        <v>19377898</v>
      </c>
      <c r="BO818" t="s">
        <v>74</v>
      </c>
      <c r="BP818" t="s">
        <v>74</v>
      </c>
      <c r="BQ818" t="s">
        <v>74</v>
      </c>
      <c r="BR818" t="s">
        <v>101</v>
      </c>
      <c r="BS818" t="s">
        <v>14775</v>
      </c>
      <c r="BT818" t="str">
        <f>HYPERLINK("https%3A%2F%2Fwww.webofscience.com%2Fwos%2Fwoscc%2Ffull-record%2FWOS:000267165500016","View Full Record in Web of Science")</f>
        <v>View Full Record in Web of Science</v>
      </c>
    </row>
    <row r="819" spans="1:72" x14ac:dyDescent="0.15">
      <c r="A819" t="s">
        <v>72</v>
      </c>
      <c r="B819" t="s">
        <v>14776</v>
      </c>
      <c r="C819" t="s">
        <v>74</v>
      </c>
      <c r="D819" t="s">
        <v>74</v>
      </c>
      <c r="E819" t="s">
        <v>74</v>
      </c>
      <c r="F819" t="s">
        <v>14777</v>
      </c>
      <c r="G819" t="s">
        <v>74</v>
      </c>
      <c r="H819" t="s">
        <v>74</v>
      </c>
      <c r="I819" t="s">
        <v>14778</v>
      </c>
      <c r="J819" t="s">
        <v>14779</v>
      </c>
      <c r="K819" t="s">
        <v>74</v>
      </c>
      <c r="L819" t="s">
        <v>74</v>
      </c>
      <c r="M819" t="s">
        <v>78</v>
      </c>
      <c r="N819" t="s">
        <v>79</v>
      </c>
      <c r="O819" t="s">
        <v>74</v>
      </c>
      <c r="P819" t="s">
        <v>74</v>
      </c>
      <c r="Q819" t="s">
        <v>74</v>
      </c>
      <c r="R819" t="s">
        <v>74</v>
      </c>
      <c r="S819" t="s">
        <v>74</v>
      </c>
      <c r="T819" t="s">
        <v>14780</v>
      </c>
      <c r="U819" t="s">
        <v>14781</v>
      </c>
      <c r="V819" t="s">
        <v>14782</v>
      </c>
      <c r="W819" t="s">
        <v>14783</v>
      </c>
      <c r="X819" t="s">
        <v>14784</v>
      </c>
      <c r="Y819" t="s">
        <v>14785</v>
      </c>
      <c r="Z819" t="s">
        <v>14786</v>
      </c>
      <c r="AA819" t="s">
        <v>14787</v>
      </c>
      <c r="AB819" t="s">
        <v>14788</v>
      </c>
      <c r="AC819" t="s">
        <v>14789</v>
      </c>
      <c r="AD819" t="s">
        <v>8899</v>
      </c>
      <c r="AE819" t="s">
        <v>14790</v>
      </c>
      <c r="AF819" t="s">
        <v>74</v>
      </c>
      <c r="AG819">
        <v>12</v>
      </c>
      <c r="AH819">
        <v>8</v>
      </c>
      <c r="AI819">
        <v>10</v>
      </c>
      <c r="AJ819">
        <v>0</v>
      </c>
      <c r="AK819">
        <v>7</v>
      </c>
      <c r="AL819" t="s">
        <v>1184</v>
      </c>
      <c r="AM819" t="s">
        <v>1185</v>
      </c>
      <c r="AN819" t="s">
        <v>1186</v>
      </c>
      <c r="AO819" t="s">
        <v>14791</v>
      </c>
      <c r="AP819" t="s">
        <v>14792</v>
      </c>
      <c r="AQ819" t="s">
        <v>74</v>
      </c>
      <c r="AR819" t="s">
        <v>14793</v>
      </c>
      <c r="AS819" t="s">
        <v>14794</v>
      </c>
      <c r="AT819" t="s">
        <v>14795</v>
      </c>
      <c r="AU819">
        <v>2009</v>
      </c>
      <c r="AV819">
        <v>20</v>
      </c>
      <c r="AW819">
        <v>3</v>
      </c>
      <c r="AX819" t="s">
        <v>74</v>
      </c>
      <c r="AY819" t="s">
        <v>74</v>
      </c>
      <c r="AZ819" t="s">
        <v>74</v>
      </c>
      <c r="BA819" t="s">
        <v>74</v>
      </c>
      <c r="BB819">
        <v>309</v>
      </c>
      <c r="BC819">
        <v>313</v>
      </c>
      <c r="BD819" t="s">
        <v>74</v>
      </c>
      <c r="BE819" t="s">
        <v>14796</v>
      </c>
      <c r="BF819" t="str">
        <f>HYPERLINK("http://dx.doi.org/10.1002/ppp.646","http://dx.doi.org/10.1002/ppp.646")</f>
        <v>http://dx.doi.org/10.1002/ppp.646</v>
      </c>
      <c r="BG819" t="s">
        <v>74</v>
      </c>
      <c r="BH819" t="s">
        <v>74</v>
      </c>
      <c r="BI819">
        <v>5</v>
      </c>
      <c r="BJ819" t="s">
        <v>14797</v>
      </c>
      <c r="BK819" t="s">
        <v>98</v>
      </c>
      <c r="BL819" t="s">
        <v>2122</v>
      </c>
      <c r="BM819" t="s">
        <v>14798</v>
      </c>
      <c r="BN819" t="s">
        <v>74</v>
      </c>
      <c r="BO819" t="s">
        <v>74</v>
      </c>
      <c r="BP819" t="s">
        <v>74</v>
      </c>
      <c r="BQ819" t="s">
        <v>74</v>
      </c>
      <c r="BR819" t="s">
        <v>101</v>
      </c>
      <c r="BS819" t="s">
        <v>14799</v>
      </c>
      <c r="BT819" t="str">
        <f>HYPERLINK("https%3A%2F%2Fwww.webofscience.com%2Fwos%2Fwoscc%2Ffull-record%2FWOS:000269959700006","View Full Record in Web of Science")</f>
        <v>View Full Record in Web of Science</v>
      </c>
    </row>
    <row r="820" spans="1:72" x14ac:dyDescent="0.15">
      <c r="A820" t="s">
        <v>72</v>
      </c>
      <c r="B820" t="s">
        <v>14800</v>
      </c>
      <c r="C820" t="s">
        <v>74</v>
      </c>
      <c r="D820" t="s">
        <v>74</v>
      </c>
      <c r="E820" t="s">
        <v>74</v>
      </c>
      <c r="F820" t="s">
        <v>14801</v>
      </c>
      <c r="G820" t="s">
        <v>74</v>
      </c>
      <c r="H820" t="s">
        <v>74</v>
      </c>
      <c r="I820" t="s">
        <v>14802</v>
      </c>
      <c r="J820" t="s">
        <v>10597</v>
      </c>
      <c r="K820" t="s">
        <v>74</v>
      </c>
      <c r="L820" t="s">
        <v>74</v>
      </c>
      <c r="M820" t="s">
        <v>78</v>
      </c>
      <c r="N820" t="s">
        <v>52</v>
      </c>
      <c r="O820" t="s">
        <v>74</v>
      </c>
      <c r="P820" t="s">
        <v>74</v>
      </c>
      <c r="Q820" t="s">
        <v>74</v>
      </c>
      <c r="R820" t="s">
        <v>74</v>
      </c>
      <c r="S820" t="s">
        <v>74</v>
      </c>
      <c r="T820" t="s">
        <v>74</v>
      </c>
      <c r="U820" t="s">
        <v>74</v>
      </c>
      <c r="V820" t="s">
        <v>74</v>
      </c>
      <c r="W820" t="s">
        <v>14803</v>
      </c>
      <c r="X820" t="s">
        <v>14804</v>
      </c>
      <c r="Y820" t="s">
        <v>74</v>
      </c>
      <c r="Z820" t="s">
        <v>1627</v>
      </c>
      <c r="AA820" t="s">
        <v>74</v>
      </c>
      <c r="AB820" t="s">
        <v>74</v>
      </c>
      <c r="AC820" t="s">
        <v>74</v>
      </c>
      <c r="AD820" t="s">
        <v>74</v>
      </c>
      <c r="AE820" t="s">
        <v>74</v>
      </c>
      <c r="AF820" t="s">
        <v>74</v>
      </c>
      <c r="AG820">
        <v>0</v>
      </c>
      <c r="AH820">
        <v>0</v>
      </c>
      <c r="AI820">
        <v>0</v>
      </c>
      <c r="AJ820">
        <v>0</v>
      </c>
      <c r="AK820">
        <v>2</v>
      </c>
      <c r="AL820" t="s">
        <v>14805</v>
      </c>
      <c r="AM820" t="s">
        <v>2517</v>
      </c>
      <c r="AN820" t="s">
        <v>14806</v>
      </c>
      <c r="AO820" t="s">
        <v>10605</v>
      </c>
      <c r="AP820" t="s">
        <v>74</v>
      </c>
      <c r="AQ820" t="s">
        <v>74</v>
      </c>
      <c r="AR820" t="s">
        <v>10597</v>
      </c>
      <c r="AS820" t="s">
        <v>10607</v>
      </c>
      <c r="AT820" t="s">
        <v>13544</v>
      </c>
      <c r="AU820">
        <v>2009</v>
      </c>
      <c r="AV820">
        <v>48</v>
      </c>
      <c r="AW820">
        <v>4</v>
      </c>
      <c r="AX820" t="s">
        <v>74</v>
      </c>
      <c r="AY820" t="s">
        <v>74</v>
      </c>
      <c r="AZ820" t="s">
        <v>74</v>
      </c>
      <c r="BA820">
        <v>10</v>
      </c>
      <c r="BB820">
        <v>4</v>
      </c>
      <c r="BC820">
        <v>4</v>
      </c>
      <c r="BD820" t="s">
        <v>74</v>
      </c>
      <c r="BE820" t="s">
        <v>74</v>
      </c>
      <c r="BF820" t="s">
        <v>74</v>
      </c>
      <c r="BG820" t="s">
        <v>74</v>
      </c>
      <c r="BH820" t="s">
        <v>74</v>
      </c>
      <c r="BI820">
        <v>1</v>
      </c>
      <c r="BJ820" t="s">
        <v>1586</v>
      </c>
      <c r="BK820" t="s">
        <v>98</v>
      </c>
      <c r="BL820" t="s">
        <v>1586</v>
      </c>
      <c r="BM820" t="s">
        <v>14807</v>
      </c>
      <c r="BN820" t="s">
        <v>74</v>
      </c>
      <c r="BO820" t="s">
        <v>74</v>
      </c>
      <c r="BP820" t="s">
        <v>74</v>
      </c>
      <c r="BQ820" t="s">
        <v>74</v>
      </c>
      <c r="BR820" t="s">
        <v>101</v>
      </c>
      <c r="BS820" t="s">
        <v>14808</v>
      </c>
      <c r="BT820" t="str">
        <f>HYPERLINK("https%3A%2F%2Fwww.webofscience.com%2Fwos%2Fwoscc%2Ffull-record%2FWOS:000268126900011","View Full Record in Web of Science")</f>
        <v>View Full Record in Web of Science</v>
      </c>
    </row>
    <row r="821" spans="1:72" x14ac:dyDescent="0.15">
      <c r="A821" t="s">
        <v>72</v>
      </c>
      <c r="B821" t="s">
        <v>14809</v>
      </c>
      <c r="C821" t="s">
        <v>74</v>
      </c>
      <c r="D821" t="s">
        <v>74</v>
      </c>
      <c r="E821" t="s">
        <v>74</v>
      </c>
      <c r="F821" t="s">
        <v>14810</v>
      </c>
      <c r="G821" t="s">
        <v>74</v>
      </c>
      <c r="H821" t="s">
        <v>74</v>
      </c>
      <c r="I821" t="s">
        <v>14811</v>
      </c>
      <c r="J821" t="s">
        <v>10597</v>
      </c>
      <c r="K821" t="s">
        <v>74</v>
      </c>
      <c r="L821" t="s">
        <v>74</v>
      </c>
      <c r="M821" t="s">
        <v>78</v>
      </c>
      <c r="N821" t="s">
        <v>52</v>
      </c>
      <c r="O821" t="s">
        <v>74</v>
      </c>
      <c r="P821" t="s">
        <v>74</v>
      </c>
      <c r="Q821" t="s">
        <v>74</v>
      </c>
      <c r="R821" t="s">
        <v>74</v>
      </c>
      <c r="S821" t="s">
        <v>74</v>
      </c>
      <c r="T821" t="s">
        <v>74</v>
      </c>
      <c r="U821" t="s">
        <v>74</v>
      </c>
      <c r="V821" t="s">
        <v>74</v>
      </c>
      <c r="W821" t="s">
        <v>14812</v>
      </c>
      <c r="X821" t="s">
        <v>14813</v>
      </c>
      <c r="Y821" t="s">
        <v>74</v>
      </c>
      <c r="Z821" t="s">
        <v>74</v>
      </c>
      <c r="AA821" t="s">
        <v>14814</v>
      </c>
      <c r="AB821" t="s">
        <v>74</v>
      </c>
      <c r="AC821" t="s">
        <v>74</v>
      </c>
      <c r="AD821" t="s">
        <v>74</v>
      </c>
      <c r="AE821" t="s">
        <v>74</v>
      </c>
      <c r="AF821" t="s">
        <v>74</v>
      </c>
      <c r="AG821">
        <v>0</v>
      </c>
      <c r="AH821">
        <v>0</v>
      </c>
      <c r="AI821">
        <v>0</v>
      </c>
      <c r="AJ821">
        <v>0</v>
      </c>
      <c r="AK821">
        <v>0</v>
      </c>
      <c r="AL821" t="s">
        <v>14805</v>
      </c>
      <c r="AM821" t="s">
        <v>2517</v>
      </c>
      <c r="AN821" t="s">
        <v>14806</v>
      </c>
      <c r="AO821" t="s">
        <v>10605</v>
      </c>
      <c r="AP821" t="s">
        <v>74</v>
      </c>
      <c r="AQ821" t="s">
        <v>74</v>
      </c>
      <c r="AR821" t="s">
        <v>10597</v>
      </c>
      <c r="AS821" t="s">
        <v>10607</v>
      </c>
      <c r="AT821" t="s">
        <v>13544</v>
      </c>
      <c r="AU821">
        <v>2009</v>
      </c>
      <c r="AV821">
        <v>48</v>
      </c>
      <c r="AW821">
        <v>4</v>
      </c>
      <c r="AX821" t="s">
        <v>74</v>
      </c>
      <c r="AY821" t="s">
        <v>74</v>
      </c>
      <c r="AZ821" t="s">
        <v>74</v>
      </c>
      <c r="BA821">
        <v>11</v>
      </c>
      <c r="BB821">
        <v>4</v>
      </c>
      <c r="BC821">
        <v>4</v>
      </c>
      <c r="BD821" t="s">
        <v>74</v>
      </c>
      <c r="BE821" t="s">
        <v>74</v>
      </c>
      <c r="BF821" t="s">
        <v>74</v>
      </c>
      <c r="BG821" t="s">
        <v>74</v>
      </c>
      <c r="BH821" t="s">
        <v>74</v>
      </c>
      <c r="BI821">
        <v>1</v>
      </c>
      <c r="BJ821" t="s">
        <v>1586</v>
      </c>
      <c r="BK821" t="s">
        <v>98</v>
      </c>
      <c r="BL821" t="s">
        <v>1586</v>
      </c>
      <c r="BM821" t="s">
        <v>14807</v>
      </c>
      <c r="BN821" t="s">
        <v>74</v>
      </c>
      <c r="BO821" t="s">
        <v>74</v>
      </c>
      <c r="BP821" t="s">
        <v>74</v>
      </c>
      <c r="BQ821" t="s">
        <v>74</v>
      </c>
      <c r="BR821" t="s">
        <v>101</v>
      </c>
      <c r="BS821" t="s">
        <v>14815</v>
      </c>
      <c r="BT821" t="str">
        <f>HYPERLINK("https%3A%2F%2Fwww.webofscience.com%2Fwos%2Fwoscc%2Ffull-record%2FWOS:000268126900012","View Full Record in Web of Science")</f>
        <v>View Full Record in Web of Science</v>
      </c>
    </row>
    <row r="822" spans="1:72" x14ac:dyDescent="0.15">
      <c r="A822" t="s">
        <v>72</v>
      </c>
      <c r="B822" t="s">
        <v>14816</v>
      </c>
      <c r="C822" t="s">
        <v>74</v>
      </c>
      <c r="D822" t="s">
        <v>74</v>
      </c>
      <c r="E822" t="s">
        <v>74</v>
      </c>
      <c r="F822" t="s">
        <v>14817</v>
      </c>
      <c r="G822" t="s">
        <v>74</v>
      </c>
      <c r="H822" t="s">
        <v>74</v>
      </c>
      <c r="I822" t="s">
        <v>14818</v>
      </c>
      <c r="J822" t="s">
        <v>10597</v>
      </c>
      <c r="K822" t="s">
        <v>74</v>
      </c>
      <c r="L822" t="s">
        <v>74</v>
      </c>
      <c r="M822" t="s">
        <v>78</v>
      </c>
      <c r="N822" t="s">
        <v>52</v>
      </c>
      <c r="O822" t="s">
        <v>74</v>
      </c>
      <c r="P822" t="s">
        <v>74</v>
      </c>
      <c r="Q822" t="s">
        <v>74</v>
      </c>
      <c r="R822" t="s">
        <v>74</v>
      </c>
      <c r="S822" t="s">
        <v>74</v>
      </c>
      <c r="T822" t="s">
        <v>74</v>
      </c>
      <c r="U822" t="s">
        <v>74</v>
      </c>
      <c r="V822" t="s">
        <v>74</v>
      </c>
      <c r="W822" t="s">
        <v>14819</v>
      </c>
      <c r="X822" t="s">
        <v>1295</v>
      </c>
      <c r="Y822" t="s">
        <v>74</v>
      </c>
      <c r="Z822" t="s">
        <v>74</v>
      </c>
      <c r="AA822" t="s">
        <v>1298</v>
      </c>
      <c r="AB822" t="s">
        <v>74</v>
      </c>
      <c r="AC822" t="s">
        <v>74</v>
      </c>
      <c r="AD822" t="s">
        <v>74</v>
      </c>
      <c r="AE822" t="s">
        <v>74</v>
      </c>
      <c r="AF822" t="s">
        <v>74</v>
      </c>
      <c r="AG822">
        <v>0</v>
      </c>
      <c r="AH822">
        <v>0</v>
      </c>
      <c r="AI822">
        <v>0</v>
      </c>
      <c r="AJ822">
        <v>0</v>
      </c>
      <c r="AK822">
        <v>2</v>
      </c>
      <c r="AL822" t="s">
        <v>14805</v>
      </c>
      <c r="AM822" t="s">
        <v>2517</v>
      </c>
      <c r="AN822" t="s">
        <v>14806</v>
      </c>
      <c r="AO822" t="s">
        <v>10605</v>
      </c>
      <c r="AP822" t="s">
        <v>74</v>
      </c>
      <c r="AQ822" t="s">
        <v>74</v>
      </c>
      <c r="AR822" t="s">
        <v>10597</v>
      </c>
      <c r="AS822" t="s">
        <v>10607</v>
      </c>
      <c r="AT822" t="s">
        <v>13544</v>
      </c>
      <c r="AU822">
        <v>2009</v>
      </c>
      <c r="AV822">
        <v>48</v>
      </c>
      <c r="AW822">
        <v>4</v>
      </c>
      <c r="AX822" t="s">
        <v>74</v>
      </c>
      <c r="AY822" t="s">
        <v>74</v>
      </c>
      <c r="AZ822" t="s">
        <v>74</v>
      </c>
      <c r="BA822">
        <v>16</v>
      </c>
      <c r="BB822">
        <v>5</v>
      </c>
      <c r="BC822">
        <v>6</v>
      </c>
      <c r="BD822" t="s">
        <v>74</v>
      </c>
      <c r="BE822" t="s">
        <v>74</v>
      </c>
      <c r="BF822" t="s">
        <v>74</v>
      </c>
      <c r="BG822" t="s">
        <v>74</v>
      </c>
      <c r="BH822" t="s">
        <v>74</v>
      </c>
      <c r="BI822">
        <v>2</v>
      </c>
      <c r="BJ822" t="s">
        <v>1586</v>
      </c>
      <c r="BK822" t="s">
        <v>98</v>
      </c>
      <c r="BL822" t="s">
        <v>1586</v>
      </c>
      <c r="BM822" t="s">
        <v>14807</v>
      </c>
      <c r="BN822" t="s">
        <v>74</v>
      </c>
      <c r="BO822" t="s">
        <v>74</v>
      </c>
      <c r="BP822" t="s">
        <v>74</v>
      </c>
      <c r="BQ822" t="s">
        <v>74</v>
      </c>
      <c r="BR822" t="s">
        <v>101</v>
      </c>
      <c r="BS822" t="s">
        <v>14820</v>
      </c>
      <c r="BT822" t="str">
        <f>HYPERLINK("https%3A%2F%2Fwww.webofscience.com%2Fwos%2Fwoscc%2Ffull-record%2FWOS:000268126900017","View Full Record in Web of Science")</f>
        <v>View Full Record in Web of Science</v>
      </c>
    </row>
    <row r="823" spans="1:72" x14ac:dyDescent="0.15">
      <c r="A823" t="s">
        <v>72</v>
      </c>
      <c r="B823" t="s">
        <v>14821</v>
      </c>
      <c r="C823" t="s">
        <v>74</v>
      </c>
      <c r="D823" t="s">
        <v>74</v>
      </c>
      <c r="E823" t="s">
        <v>74</v>
      </c>
      <c r="F823" t="s">
        <v>14822</v>
      </c>
      <c r="G823" t="s">
        <v>74</v>
      </c>
      <c r="H823" t="s">
        <v>74</v>
      </c>
      <c r="I823" t="s">
        <v>14823</v>
      </c>
      <c r="J823" t="s">
        <v>10597</v>
      </c>
      <c r="K823" t="s">
        <v>74</v>
      </c>
      <c r="L823" t="s">
        <v>74</v>
      </c>
      <c r="M823" t="s">
        <v>78</v>
      </c>
      <c r="N823" t="s">
        <v>52</v>
      </c>
      <c r="O823" t="s">
        <v>74</v>
      </c>
      <c r="P823" t="s">
        <v>74</v>
      </c>
      <c r="Q823" t="s">
        <v>74</v>
      </c>
      <c r="R823" t="s">
        <v>74</v>
      </c>
      <c r="S823" t="s">
        <v>74</v>
      </c>
      <c r="T823" t="s">
        <v>74</v>
      </c>
      <c r="U823" t="s">
        <v>74</v>
      </c>
      <c r="V823" t="s">
        <v>74</v>
      </c>
      <c r="W823" t="s">
        <v>14824</v>
      </c>
      <c r="X823" t="s">
        <v>14825</v>
      </c>
      <c r="Y823" t="s">
        <v>74</v>
      </c>
      <c r="Z823" t="s">
        <v>1689</v>
      </c>
      <c r="AA823" t="s">
        <v>74</v>
      </c>
      <c r="AB823" t="s">
        <v>74</v>
      </c>
      <c r="AC823" t="s">
        <v>74</v>
      </c>
      <c r="AD823" t="s">
        <v>74</v>
      </c>
      <c r="AE823" t="s">
        <v>74</v>
      </c>
      <c r="AF823" t="s">
        <v>74</v>
      </c>
      <c r="AG823">
        <v>0</v>
      </c>
      <c r="AH823">
        <v>0</v>
      </c>
      <c r="AI823">
        <v>0</v>
      </c>
      <c r="AJ823">
        <v>0</v>
      </c>
      <c r="AK823">
        <v>3</v>
      </c>
      <c r="AL823" t="s">
        <v>14805</v>
      </c>
      <c r="AM823" t="s">
        <v>2517</v>
      </c>
      <c r="AN823" t="s">
        <v>14806</v>
      </c>
      <c r="AO823" t="s">
        <v>10605</v>
      </c>
      <c r="AP823" t="s">
        <v>74</v>
      </c>
      <c r="AQ823" t="s">
        <v>74</v>
      </c>
      <c r="AR823" t="s">
        <v>10597</v>
      </c>
      <c r="AS823" t="s">
        <v>10607</v>
      </c>
      <c r="AT823" t="s">
        <v>13544</v>
      </c>
      <c r="AU823">
        <v>2009</v>
      </c>
      <c r="AV823">
        <v>48</v>
      </c>
      <c r="AW823">
        <v>4</v>
      </c>
      <c r="AX823" t="s">
        <v>74</v>
      </c>
      <c r="AY823" t="s">
        <v>74</v>
      </c>
      <c r="AZ823" t="s">
        <v>74</v>
      </c>
      <c r="BA823">
        <v>19</v>
      </c>
      <c r="BB823">
        <v>7</v>
      </c>
      <c r="BC823">
        <v>7</v>
      </c>
      <c r="BD823" t="s">
        <v>74</v>
      </c>
      <c r="BE823" t="s">
        <v>74</v>
      </c>
      <c r="BF823" t="s">
        <v>74</v>
      </c>
      <c r="BG823" t="s">
        <v>74</v>
      </c>
      <c r="BH823" t="s">
        <v>74</v>
      </c>
      <c r="BI823">
        <v>1</v>
      </c>
      <c r="BJ823" t="s">
        <v>1586</v>
      </c>
      <c r="BK823" t="s">
        <v>98</v>
      </c>
      <c r="BL823" t="s">
        <v>1586</v>
      </c>
      <c r="BM823" t="s">
        <v>14807</v>
      </c>
      <c r="BN823" t="s">
        <v>74</v>
      </c>
      <c r="BO823" t="s">
        <v>74</v>
      </c>
      <c r="BP823" t="s">
        <v>74</v>
      </c>
      <c r="BQ823" t="s">
        <v>74</v>
      </c>
      <c r="BR823" t="s">
        <v>101</v>
      </c>
      <c r="BS823" t="s">
        <v>14826</v>
      </c>
      <c r="BT823" t="str">
        <f>HYPERLINK("https%3A%2F%2Fwww.webofscience.com%2Fwos%2Fwoscc%2Ffull-record%2FWOS:000268126900020","View Full Record in Web of Science")</f>
        <v>View Full Record in Web of Science</v>
      </c>
    </row>
    <row r="824" spans="1:72" x14ac:dyDescent="0.15">
      <c r="A824" t="s">
        <v>72</v>
      </c>
      <c r="B824" t="s">
        <v>14827</v>
      </c>
      <c r="C824" t="s">
        <v>74</v>
      </c>
      <c r="D824" t="s">
        <v>74</v>
      </c>
      <c r="E824" t="s">
        <v>74</v>
      </c>
      <c r="F824" t="s">
        <v>14828</v>
      </c>
      <c r="G824" t="s">
        <v>74</v>
      </c>
      <c r="H824" t="s">
        <v>74</v>
      </c>
      <c r="I824" t="s">
        <v>14829</v>
      </c>
      <c r="J824" t="s">
        <v>10597</v>
      </c>
      <c r="K824" t="s">
        <v>74</v>
      </c>
      <c r="L824" t="s">
        <v>74</v>
      </c>
      <c r="M824" t="s">
        <v>78</v>
      </c>
      <c r="N824" t="s">
        <v>52</v>
      </c>
      <c r="O824" t="s">
        <v>74</v>
      </c>
      <c r="P824" t="s">
        <v>74</v>
      </c>
      <c r="Q824" t="s">
        <v>74</v>
      </c>
      <c r="R824" t="s">
        <v>74</v>
      </c>
      <c r="S824" t="s">
        <v>74</v>
      </c>
      <c r="T824" t="s">
        <v>74</v>
      </c>
      <c r="U824" t="s">
        <v>74</v>
      </c>
      <c r="V824" t="s">
        <v>74</v>
      </c>
      <c r="W824" t="s">
        <v>14830</v>
      </c>
      <c r="X824" t="s">
        <v>1295</v>
      </c>
      <c r="Y824" t="s">
        <v>74</v>
      </c>
      <c r="Z824" t="s">
        <v>74</v>
      </c>
      <c r="AA824" t="s">
        <v>1298</v>
      </c>
      <c r="AB824" t="s">
        <v>74</v>
      </c>
      <c r="AC824" t="s">
        <v>74</v>
      </c>
      <c r="AD824" t="s">
        <v>74</v>
      </c>
      <c r="AE824" t="s">
        <v>74</v>
      </c>
      <c r="AF824" t="s">
        <v>74</v>
      </c>
      <c r="AG824">
        <v>0</v>
      </c>
      <c r="AH824">
        <v>0</v>
      </c>
      <c r="AI824">
        <v>0</v>
      </c>
      <c r="AJ824">
        <v>0</v>
      </c>
      <c r="AK824">
        <v>0</v>
      </c>
      <c r="AL824" t="s">
        <v>14805</v>
      </c>
      <c r="AM824" t="s">
        <v>2517</v>
      </c>
      <c r="AN824" t="s">
        <v>14806</v>
      </c>
      <c r="AO824" t="s">
        <v>10605</v>
      </c>
      <c r="AP824" t="s">
        <v>74</v>
      </c>
      <c r="AQ824" t="s">
        <v>74</v>
      </c>
      <c r="AR824" t="s">
        <v>10597</v>
      </c>
      <c r="AS824" t="s">
        <v>10607</v>
      </c>
      <c r="AT824" t="s">
        <v>13544</v>
      </c>
      <c r="AU824">
        <v>2009</v>
      </c>
      <c r="AV824">
        <v>48</v>
      </c>
      <c r="AW824">
        <v>4</v>
      </c>
      <c r="AX824" t="s">
        <v>74</v>
      </c>
      <c r="AY824" t="s">
        <v>74</v>
      </c>
      <c r="AZ824" t="s">
        <v>74</v>
      </c>
      <c r="BA824">
        <v>39</v>
      </c>
      <c r="BB824">
        <v>14</v>
      </c>
      <c r="BC824">
        <v>14</v>
      </c>
      <c r="BD824" t="s">
        <v>74</v>
      </c>
      <c r="BE824" t="s">
        <v>74</v>
      </c>
      <c r="BF824" t="s">
        <v>74</v>
      </c>
      <c r="BG824" t="s">
        <v>74</v>
      </c>
      <c r="BH824" t="s">
        <v>74</v>
      </c>
      <c r="BI824">
        <v>1</v>
      </c>
      <c r="BJ824" t="s">
        <v>1586</v>
      </c>
      <c r="BK824" t="s">
        <v>98</v>
      </c>
      <c r="BL824" t="s">
        <v>1586</v>
      </c>
      <c r="BM824" t="s">
        <v>14807</v>
      </c>
      <c r="BN824" t="s">
        <v>74</v>
      </c>
      <c r="BO824" t="s">
        <v>74</v>
      </c>
      <c r="BP824" t="s">
        <v>74</v>
      </c>
      <c r="BQ824" t="s">
        <v>74</v>
      </c>
      <c r="BR824" t="s">
        <v>101</v>
      </c>
      <c r="BS824" t="s">
        <v>14831</v>
      </c>
      <c r="BT824" t="str">
        <f>HYPERLINK("https%3A%2F%2Fwww.webofscience.com%2Fwos%2Fwoscc%2Ffull-record%2FWOS:000268126900040","View Full Record in Web of Science")</f>
        <v>View Full Record in Web of Science</v>
      </c>
    </row>
    <row r="825" spans="1:72" x14ac:dyDescent="0.15">
      <c r="A825" t="s">
        <v>72</v>
      </c>
      <c r="B825" t="s">
        <v>14832</v>
      </c>
      <c r="C825" t="s">
        <v>74</v>
      </c>
      <c r="D825" t="s">
        <v>74</v>
      </c>
      <c r="E825" t="s">
        <v>74</v>
      </c>
      <c r="F825" t="s">
        <v>14833</v>
      </c>
      <c r="G825" t="s">
        <v>74</v>
      </c>
      <c r="H825" t="s">
        <v>74</v>
      </c>
      <c r="I825" t="s">
        <v>14834</v>
      </c>
      <c r="J825" t="s">
        <v>10597</v>
      </c>
      <c r="K825" t="s">
        <v>74</v>
      </c>
      <c r="L825" t="s">
        <v>74</v>
      </c>
      <c r="M825" t="s">
        <v>78</v>
      </c>
      <c r="N825" t="s">
        <v>52</v>
      </c>
      <c r="O825" t="s">
        <v>74</v>
      </c>
      <c r="P825" t="s">
        <v>74</v>
      </c>
      <c r="Q825" t="s">
        <v>74</v>
      </c>
      <c r="R825" t="s">
        <v>74</v>
      </c>
      <c r="S825" t="s">
        <v>74</v>
      </c>
      <c r="T825" t="s">
        <v>74</v>
      </c>
      <c r="U825" t="s">
        <v>74</v>
      </c>
      <c r="V825" t="s">
        <v>74</v>
      </c>
      <c r="W825" t="s">
        <v>14835</v>
      </c>
      <c r="X825" t="s">
        <v>14836</v>
      </c>
      <c r="Y825" t="s">
        <v>74</v>
      </c>
      <c r="Z825" t="s">
        <v>14837</v>
      </c>
      <c r="AA825" t="s">
        <v>14838</v>
      </c>
      <c r="AB825" t="s">
        <v>14839</v>
      </c>
      <c r="AC825" t="s">
        <v>74</v>
      </c>
      <c r="AD825" t="s">
        <v>74</v>
      </c>
      <c r="AE825" t="s">
        <v>74</v>
      </c>
      <c r="AF825" t="s">
        <v>74</v>
      </c>
      <c r="AG825">
        <v>0</v>
      </c>
      <c r="AH825">
        <v>0</v>
      </c>
      <c r="AI825">
        <v>0</v>
      </c>
      <c r="AJ825">
        <v>0</v>
      </c>
      <c r="AK825">
        <v>5</v>
      </c>
      <c r="AL825" t="s">
        <v>14805</v>
      </c>
      <c r="AM825" t="s">
        <v>2517</v>
      </c>
      <c r="AN825" t="s">
        <v>14806</v>
      </c>
      <c r="AO825" t="s">
        <v>10605</v>
      </c>
      <c r="AP825" t="s">
        <v>74</v>
      </c>
      <c r="AQ825" t="s">
        <v>74</v>
      </c>
      <c r="AR825" t="s">
        <v>10597</v>
      </c>
      <c r="AS825" t="s">
        <v>10607</v>
      </c>
      <c r="AT825" t="s">
        <v>13544</v>
      </c>
      <c r="AU825">
        <v>2009</v>
      </c>
      <c r="AV825">
        <v>48</v>
      </c>
      <c r="AW825">
        <v>4</v>
      </c>
      <c r="AX825" t="s">
        <v>74</v>
      </c>
      <c r="AY825" t="s">
        <v>74</v>
      </c>
      <c r="AZ825" t="s">
        <v>74</v>
      </c>
      <c r="BA825">
        <v>58</v>
      </c>
      <c r="BB825">
        <v>20</v>
      </c>
      <c r="BC825">
        <v>21</v>
      </c>
      <c r="BD825" t="s">
        <v>74</v>
      </c>
      <c r="BE825" t="s">
        <v>74</v>
      </c>
      <c r="BF825" t="s">
        <v>74</v>
      </c>
      <c r="BG825" t="s">
        <v>74</v>
      </c>
      <c r="BH825" t="s">
        <v>74</v>
      </c>
      <c r="BI825">
        <v>2</v>
      </c>
      <c r="BJ825" t="s">
        <v>1586</v>
      </c>
      <c r="BK825" t="s">
        <v>98</v>
      </c>
      <c r="BL825" t="s">
        <v>1586</v>
      </c>
      <c r="BM825" t="s">
        <v>14807</v>
      </c>
      <c r="BN825" t="s">
        <v>74</v>
      </c>
      <c r="BO825" t="s">
        <v>74</v>
      </c>
      <c r="BP825" t="s">
        <v>74</v>
      </c>
      <c r="BQ825" t="s">
        <v>74</v>
      </c>
      <c r="BR825" t="s">
        <v>101</v>
      </c>
      <c r="BS825" t="s">
        <v>14840</v>
      </c>
      <c r="BT825" t="str">
        <f>HYPERLINK("https%3A%2F%2Fwww.webofscience.com%2Fwos%2Fwoscc%2Ffull-record%2FWOS:000268126900059","View Full Record in Web of Science")</f>
        <v>View Full Record in Web of Science</v>
      </c>
    </row>
    <row r="826" spans="1:72" x14ac:dyDescent="0.15">
      <c r="A826" t="s">
        <v>72</v>
      </c>
      <c r="B826" t="s">
        <v>14841</v>
      </c>
      <c r="C826" t="s">
        <v>74</v>
      </c>
      <c r="D826" t="s">
        <v>74</v>
      </c>
      <c r="E826" t="s">
        <v>74</v>
      </c>
      <c r="F826" t="s">
        <v>14842</v>
      </c>
      <c r="G826" t="s">
        <v>74</v>
      </c>
      <c r="H826" t="s">
        <v>74</v>
      </c>
      <c r="I826" t="s">
        <v>14843</v>
      </c>
      <c r="J826" t="s">
        <v>10597</v>
      </c>
      <c r="K826" t="s">
        <v>74</v>
      </c>
      <c r="L826" t="s">
        <v>74</v>
      </c>
      <c r="M826" t="s">
        <v>78</v>
      </c>
      <c r="N826" t="s">
        <v>52</v>
      </c>
      <c r="O826" t="s">
        <v>74</v>
      </c>
      <c r="P826" t="s">
        <v>74</v>
      </c>
      <c r="Q826" t="s">
        <v>74</v>
      </c>
      <c r="R826" t="s">
        <v>74</v>
      </c>
      <c r="S826" t="s">
        <v>74</v>
      </c>
      <c r="T826" t="s">
        <v>74</v>
      </c>
      <c r="U826" t="s">
        <v>74</v>
      </c>
      <c r="V826" t="s">
        <v>74</v>
      </c>
      <c r="W826" t="s">
        <v>14844</v>
      </c>
      <c r="X826" t="s">
        <v>14845</v>
      </c>
      <c r="Y826" t="s">
        <v>74</v>
      </c>
      <c r="Z826" t="s">
        <v>14846</v>
      </c>
      <c r="AA826" t="s">
        <v>14847</v>
      </c>
      <c r="AB826" t="s">
        <v>14848</v>
      </c>
      <c r="AC826" t="s">
        <v>74</v>
      </c>
      <c r="AD826" t="s">
        <v>74</v>
      </c>
      <c r="AE826" t="s">
        <v>74</v>
      </c>
      <c r="AF826" t="s">
        <v>74</v>
      </c>
      <c r="AG826">
        <v>0</v>
      </c>
      <c r="AH826">
        <v>2</v>
      </c>
      <c r="AI826">
        <v>2</v>
      </c>
      <c r="AJ826">
        <v>1</v>
      </c>
      <c r="AK826">
        <v>17</v>
      </c>
      <c r="AL826" t="s">
        <v>14805</v>
      </c>
      <c r="AM826" t="s">
        <v>2517</v>
      </c>
      <c r="AN826" t="s">
        <v>14806</v>
      </c>
      <c r="AO826" t="s">
        <v>10605</v>
      </c>
      <c r="AP826" t="s">
        <v>74</v>
      </c>
      <c r="AQ826" t="s">
        <v>74</v>
      </c>
      <c r="AR826" t="s">
        <v>10597</v>
      </c>
      <c r="AS826" t="s">
        <v>10607</v>
      </c>
      <c r="AT826" t="s">
        <v>13544</v>
      </c>
      <c r="AU826">
        <v>2009</v>
      </c>
      <c r="AV826">
        <v>48</v>
      </c>
      <c r="AW826">
        <v>4</v>
      </c>
      <c r="AX826" t="s">
        <v>74</v>
      </c>
      <c r="AY826" t="s">
        <v>74</v>
      </c>
      <c r="AZ826" t="s">
        <v>74</v>
      </c>
      <c r="BA826">
        <v>105</v>
      </c>
      <c r="BB826">
        <v>37</v>
      </c>
      <c r="BC826">
        <v>38</v>
      </c>
      <c r="BD826" t="s">
        <v>74</v>
      </c>
      <c r="BE826" t="s">
        <v>74</v>
      </c>
      <c r="BF826" t="s">
        <v>74</v>
      </c>
      <c r="BG826" t="s">
        <v>74</v>
      </c>
      <c r="BH826" t="s">
        <v>74</v>
      </c>
      <c r="BI826">
        <v>2</v>
      </c>
      <c r="BJ826" t="s">
        <v>1586</v>
      </c>
      <c r="BK826" t="s">
        <v>98</v>
      </c>
      <c r="BL826" t="s">
        <v>1586</v>
      </c>
      <c r="BM826" t="s">
        <v>14807</v>
      </c>
      <c r="BN826" t="s">
        <v>74</v>
      </c>
      <c r="BO826" t="s">
        <v>74</v>
      </c>
      <c r="BP826" t="s">
        <v>74</v>
      </c>
      <c r="BQ826" t="s">
        <v>74</v>
      </c>
      <c r="BR826" t="s">
        <v>101</v>
      </c>
      <c r="BS826" t="s">
        <v>14849</v>
      </c>
      <c r="BT826" t="str">
        <f>HYPERLINK("https%3A%2F%2Fwww.webofscience.com%2Fwos%2Fwoscc%2Ffull-record%2FWOS:000268126900106","View Full Record in Web of Science")</f>
        <v>View Full Record in Web of Science</v>
      </c>
    </row>
    <row r="827" spans="1:72" x14ac:dyDescent="0.15">
      <c r="A827" t="s">
        <v>72</v>
      </c>
      <c r="B827" t="s">
        <v>14850</v>
      </c>
      <c r="C827" t="s">
        <v>74</v>
      </c>
      <c r="D827" t="s">
        <v>74</v>
      </c>
      <c r="E827" t="s">
        <v>74</v>
      </c>
      <c r="F827" t="s">
        <v>14851</v>
      </c>
      <c r="G827" t="s">
        <v>74</v>
      </c>
      <c r="H827" t="s">
        <v>74</v>
      </c>
      <c r="I827" t="s">
        <v>14852</v>
      </c>
      <c r="J827" t="s">
        <v>10597</v>
      </c>
      <c r="K827" t="s">
        <v>74</v>
      </c>
      <c r="L827" t="s">
        <v>74</v>
      </c>
      <c r="M827" t="s">
        <v>78</v>
      </c>
      <c r="N827" t="s">
        <v>52</v>
      </c>
      <c r="O827" t="s">
        <v>74</v>
      </c>
      <c r="P827" t="s">
        <v>74</v>
      </c>
      <c r="Q827" t="s">
        <v>74</v>
      </c>
      <c r="R827" t="s">
        <v>74</v>
      </c>
      <c r="S827" t="s">
        <v>74</v>
      </c>
      <c r="T827" t="s">
        <v>74</v>
      </c>
      <c r="U827" t="s">
        <v>74</v>
      </c>
      <c r="V827" t="s">
        <v>74</v>
      </c>
      <c r="W827" t="s">
        <v>14853</v>
      </c>
      <c r="X827" t="s">
        <v>14854</v>
      </c>
      <c r="Y827" t="s">
        <v>74</v>
      </c>
      <c r="Z827" t="s">
        <v>14855</v>
      </c>
      <c r="AA827" t="s">
        <v>14856</v>
      </c>
      <c r="AB827" t="s">
        <v>14857</v>
      </c>
      <c r="AC827" t="s">
        <v>74</v>
      </c>
      <c r="AD827" t="s">
        <v>74</v>
      </c>
      <c r="AE827" t="s">
        <v>74</v>
      </c>
      <c r="AF827" t="s">
        <v>74</v>
      </c>
      <c r="AG827">
        <v>0</v>
      </c>
      <c r="AH827">
        <v>0</v>
      </c>
      <c r="AI827">
        <v>0</v>
      </c>
      <c r="AJ827">
        <v>0</v>
      </c>
      <c r="AK827">
        <v>7</v>
      </c>
      <c r="AL827" t="s">
        <v>14805</v>
      </c>
      <c r="AM827" t="s">
        <v>2517</v>
      </c>
      <c r="AN827" t="s">
        <v>14806</v>
      </c>
      <c r="AO827" t="s">
        <v>10605</v>
      </c>
      <c r="AP827" t="s">
        <v>74</v>
      </c>
      <c r="AQ827" t="s">
        <v>74</v>
      </c>
      <c r="AR827" t="s">
        <v>10597</v>
      </c>
      <c r="AS827" t="s">
        <v>10607</v>
      </c>
      <c r="AT827" t="s">
        <v>13544</v>
      </c>
      <c r="AU827">
        <v>2009</v>
      </c>
      <c r="AV827">
        <v>48</v>
      </c>
      <c r="AW827">
        <v>4</v>
      </c>
      <c r="AX827" t="s">
        <v>74</v>
      </c>
      <c r="AY827" t="s">
        <v>74</v>
      </c>
      <c r="AZ827" t="s">
        <v>74</v>
      </c>
      <c r="BA827">
        <v>303</v>
      </c>
      <c r="BB827">
        <v>106</v>
      </c>
      <c r="BC827">
        <v>106</v>
      </c>
      <c r="BD827" t="s">
        <v>74</v>
      </c>
      <c r="BE827" t="s">
        <v>74</v>
      </c>
      <c r="BF827" t="s">
        <v>74</v>
      </c>
      <c r="BG827" t="s">
        <v>74</v>
      </c>
      <c r="BH827" t="s">
        <v>74</v>
      </c>
      <c r="BI827">
        <v>1</v>
      </c>
      <c r="BJ827" t="s">
        <v>1586</v>
      </c>
      <c r="BK827" t="s">
        <v>98</v>
      </c>
      <c r="BL827" t="s">
        <v>1586</v>
      </c>
      <c r="BM827" t="s">
        <v>14807</v>
      </c>
      <c r="BN827" t="s">
        <v>74</v>
      </c>
      <c r="BO827" t="s">
        <v>74</v>
      </c>
      <c r="BP827" t="s">
        <v>74</v>
      </c>
      <c r="BQ827" t="s">
        <v>74</v>
      </c>
      <c r="BR827" t="s">
        <v>101</v>
      </c>
      <c r="BS827" t="s">
        <v>14858</v>
      </c>
      <c r="BT827" t="str">
        <f>HYPERLINK("https%3A%2F%2Fwww.webofscience.com%2Fwos%2Fwoscc%2Ffull-record%2FWOS:000268126900304","View Full Record in Web of Science")</f>
        <v>View Full Record in Web of Science</v>
      </c>
    </row>
    <row r="828" spans="1:72" x14ac:dyDescent="0.15">
      <c r="A828" t="s">
        <v>72</v>
      </c>
      <c r="B828" t="s">
        <v>14859</v>
      </c>
      <c r="C828" t="s">
        <v>74</v>
      </c>
      <c r="D828" t="s">
        <v>74</v>
      </c>
      <c r="E828" t="s">
        <v>74</v>
      </c>
      <c r="F828" t="s">
        <v>14860</v>
      </c>
      <c r="G828" t="s">
        <v>74</v>
      </c>
      <c r="H828" t="s">
        <v>74</v>
      </c>
      <c r="I828" t="s">
        <v>14861</v>
      </c>
      <c r="J828" t="s">
        <v>14862</v>
      </c>
      <c r="K828" t="s">
        <v>74</v>
      </c>
      <c r="L828" t="s">
        <v>74</v>
      </c>
      <c r="M828" t="s">
        <v>78</v>
      </c>
      <c r="N828" t="s">
        <v>79</v>
      </c>
      <c r="O828" t="s">
        <v>74</v>
      </c>
      <c r="P828" t="s">
        <v>74</v>
      </c>
      <c r="Q828" t="s">
        <v>74</v>
      </c>
      <c r="R828" t="s">
        <v>74</v>
      </c>
      <c r="S828" t="s">
        <v>74</v>
      </c>
      <c r="T828" t="s">
        <v>14863</v>
      </c>
      <c r="U828" t="s">
        <v>14864</v>
      </c>
      <c r="V828" t="s">
        <v>14865</v>
      </c>
      <c r="W828" t="s">
        <v>14866</v>
      </c>
      <c r="X828" t="s">
        <v>14867</v>
      </c>
      <c r="Y828" t="s">
        <v>14868</v>
      </c>
      <c r="Z828" t="s">
        <v>14869</v>
      </c>
      <c r="AA828" t="s">
        <v>14870</v>
      </c>
      <c r="AB828" t="s">
        <v>14871</v>
      </c>
      <c r="AC828" t="s">
        <v>14872</v>
      </c>
      <c r="AD828" t="s">
        <v>14873</v>
      </c>
      <c r="AE828" t="s">
        <v>14874</v>
      </c>
      <c r="AF828" t="s">
        <v>74</v>
      </c>
      <c r="AG828">
        <v>71</v>
      </c>
      <c r="AH828">
        <v>11</v>
      </c>
      <c r="AI828">
        <v>14</v>
      </c>
      <c r="AJ828">
        <v>1</v>
      </c>
      <c r="AK828">
        <v>23</v>
      </c>
      <c r="AL828" t="s">
        <v>305</v>
      </c>
      <c r="AM828" t="s">
        <v>281</v>
      </c>
      <c r="AN828" t="s">
        <v>306</v>
      </c>
      <c r="AO828" t="s">
        <v>14875</v>
      </c>
      <c r="AP828" t="s">
        <v>14876</v>
      </c>
      <c r="AQ828" t="s">
        <v>74</v>
      </c>
      <c r="AR828" t="s">
        <v>14877</v>
      </c>
      <c r="AS828" t="s">
        <v>14878</v>
      </c>
      <c r="AT828" t="s">
        <v>13544</v>
      </c>
      <c r="AU828">
        <v>2009</v>
      </c>
      <c r="AV828">
        <v>175</v>
      </c>
      <c r="AW828" t="s">
        <v>288</v>
      </c>
      <c r="AX828" t="s">
        <v>74</v>
      </c>
      <c r="AY828" t="s">
        <v>74</v>
      </c>
      <c r="AZ828" t="s">
        <v>74</v>
      </c>
      <c r="BA828" t="s">
        <v>74</v>
      </c>
      <c r="BB828">
        <v>127</v>
      </c>
      <c r="BC828">
        <v>136</v>
      </c>
      <c r="BD828" t="s">
        <v>74</v>
      </c>
      <c r="BE828" t="s">
        <v>14879</v>
      </c>
      <c r="BF828" t="str">
        <f>HYPERLINK("http://dx.doi.org/10.1016/j.pepi.2009.03.004","http://dx.doi.org/10.1016/j.pepi.2009.03.004")</f>
        <v>http://dx.doi.org/10.1016/j.pepi.2009.03.004</v>
      </c>
      <c r="BG828" t="s">
        <v>74</v>
      </c>
      <c r="BH828" t="s">
        <v>74</v>
      </c>
      <c r="BI828">
        <v>10</v>
      </c>
      <c r="BJ828" t="s">
        <v>261</v>
      </c>
      <c r="BK828" t="s">
        <v>98</v>
      </c>
      <c r="BL828" t="s">
        <v>261</v>
      </c>
      <c r="BM828" t="s">
        <v>14880</v>
      </c>
      <c r="BN828" t="s">
        <v>74</v>
      </c>
      <c r="BO828" t="s">
        <v>1119</v>
      </c>
      <c r="BP828" t="s">
        <v>74</v>
      </c>
      <c r="BQ828" t="s">
        <v>74</v>
      </c>
      <c r="BR828" t="s">
        <v>101</v>
      </c>
      <c r="BS828" t="s">
        <v>14881</v>
      </c>
      <c r="BT828" t="str">
        <f>HYPERLINK("https%3A%2F%2Fwww.webofscience.com%2Fwos%2Fwoscc%2Ffull-record%2FWOS:000266836900004","View Full Record in Web of Science")</f>
        <v>View Full Record in Web of Science</v>
      </c>
    </row>
    <row r="829" spans="1:72" x14ac:dyDescent="0.15">
      <c r="A829" t="s">
        <v>72</v>
      </c>
      <c r="B829" t="s">
        <v>14882</v>
      </c>
      <c r="C829" t="s">
        <v>74</v>
      </c>
      <c r="D829" t="s">
        <v>74</v>
      </c>
      <c r="E829" t="s">
        <v>74</v>
      </c>
      <c r="F829" t="s">
        <v>14883</v>
      </c>
      <c r="G829" t="s">
        <v>74</v>
      </c>
      <c r="H829" t="s">
        <v>74</v>
      </c>
      <c r="I829" t="s">
        <v>14884</v>
      </c>
      <c r="J829" t="s">
        <v>14885</v>
      </c>
      <c r="K829" t="s">
        <v>74</v>
      </c>
      <c r="L829" t="s">
        <v>74</v>
      </c>
      <c r="M829" t="s">
        <v>78</v>
      </c>
      <c r="N829" t="s">
        <v>79</v>
      </c>
      <c r="O829" t="s">
        <v>74</v>
      </c>
      <c r="P829" t="s">
        <v>74</v>
      </c>
      <c r="Q829" t="s">
        <v>74</v>
      </c>
      <c r="R829" t="s">
        <v>74</v>
      </c>
      <c r="S829" t="s">
        <v>74</v>
      </c>
      <c r="T829" t="s">
        <v>74</v>
      </c>
      <c r="U829" t="s">
        <v>14886</v>
      </c>
      <c r="V829" t="s">
        <v>14887</v>
      </c>
      <c r="W829" t="s">
        <v>14888</v>
      </c>
      <c r="X829" t="s">
        <v>14889</v>
      </c>
      <c r="Y829" t="s">
        <v>14890</v>
      </c>
      <c r="Z829" t="s">
        <v>14891</v>
      </c>
      <c r="AA829" t="s">
        <v>14892</v>
      </c>
      <c r="AB829" t="s">
        <v>14893</v>
      </c>
      <c r="AC829" t="s">
        <v>14894</v>
      </c>
      <c r="AD829" t="s">
        <v>14895</v>
      </c>
      <c r="AE829" t="s">
        <v>14896</v>
      </c>
      <c r="AF829" t="s">
        <v>74</v>
      </c>
      <c r="AG829">
        <v>58</v>
      </c>
      <c r="AH829">
        <v>84</v>
      </c>
      <c r="AI829">
        <v>96</v>
      </c>
      <c r="AJ829">
        <v>0</v>
      </c>
      <c r="AK829">
        <v>67</v>
      </c>
      <c r="AL829" t="s">
        <v>7063</v>
      </c>
      <c r="AM829" t="s">
        <v>7064</v>
      </c>
      <c r="AN829" t="s">
        <v>7065</v>
      </c>
      <c r="AO829" t="s">
        <v>14897</v>
      </c>
      <c r="AP829" t="s">
        <v>74</v>
      </c>
      <c r="AQ829" t="s">
        <v>74</v>
      </c>
      <c r="AR829" t="s">
        <v>14898</v>
      </c>
      <c r="AS829" t="s">
        <v>14899</v>
      </c>
      <c r="AT829" t="s">
        <v>13544</v>
      </c>
      <c r="AU829">
        <v>2009</v>
      </c>
      <c r="AV829">
        <v>5</v>
      </c>
      <c r="AW829">
        <v>7</v>
      </c>
      <c r="AX829" t="s">
        <v>74</v>
      </c>
      <c r="AY829" t="s">
        <v>74</v>
      </c>
      <c r="AZ829" t="s">
        <v>74</v>
      </c>
      <c r="BA829" t="s">
        <v>74</v>
      </c>
      <c r="BB829" t="s">
        <v>74</v>
      </c>
      <c r="BC829" t="s">
        <v>74</v>
      </c>
      <c r="BD829" t="s">
        <v>14900</v>
      </c>
      <c r="BE829" t="s">
        <v>14901</v>
      </c>
      <c r="BF829" t="str">
        <f>HYPERLINK("http://dx.doi.org/10.1371/journal.pgen.1000554","http://dx.doi.org/10.1371/journal.pgen.1000554")</f>
        <v>http://dx.doi.org/10.1371/journal.pgen.1000554</v>
      </c>
      <c r="BG829" t="s">
        <v>74</v>
      </c>
      <c r="BH829" t="s">
        <v>74</v>
      </c>
      <c r="BI829">
        <v>11</v>
      </c>
      <c r="BJ829" t="s">
        <v>6275</v>
      </c>
      <c r="BK829" t="s">
        <v>98</v>
      </c>
      <c r="BL829" t="s">
        <v>6275</v>
      </c>
      <c r="BM829" t="s">
        <v>14902</v>
      </c>
      <c r="BN829">
        <v>19593366</v>
      </c>
      <c r="BO829" t="s">
        <v>14903</v>
      </c>
      <c r="BP829" t="s">
        <v>74</v>
      </c>
      <c r="BQ829" t="s">
        <v>74</v>
      </c>
      <c r="BR829" t="s">
        <v>101</v>
      </c>
      <c r="BS829" t="s">
        <v>14904</v>
      </c>
      <c r="BT829" t="str">
        <f>HYPERLINK("https%3A%2F%2Fwww.webofscience.com%2Fwos%2Fwoscc%2Ffull-record%2FWOS:000269219500031","View Full Record in Web of Science")</f>
        <v>View Full Record in Web of Science</v>
      </c>
    </row>
    <row r="830" spans="1:72" x14ac:dyDescent="0.15">
      <c r="A830" t="s">
        <v>72</v>
      </c>
      <c r="B830" t="s">
        <v>14905</v>
      </c>
      <c r="C830" t="s">
        <v>74</v>
      </c>
      <c r="D830" t="s">
        <v>74</v>
      </c>
      <c r="E830" t="s">
        <v>74</v>
      </c>
      <c r="F830" t="s">
        <v>14906</v>
      </c>
      <c r="G830" t="s">
        <v>74</v>
      </c>
      <c r="H830" t="s">
        <v>74</v>
      </c>
      <c r="I830" t="s">
        <v>14907</v>
      </c>
      <c r="J830" t="s">
        <v>3098</v>
      </c>
      <c r="K830" t="s">
        <v>74</v>
      </c>
      <c r="L830" t="s">
        <v>74</v>
      </c>
      <c r="M830" t="s">
        <v>78</v>
      </c>
      <c r="N830" t="s">
        <v>79</v>
      </c>
      <c r="O830" t="s">
        <v>74</v>
      </c>
      <c r="P830" t="s">
        <v>74</v>
      </c>
      <c r="Q830" t="s">
        <v>74</v>
      </c>
      <c r="R830" t="s">
        <v>74</v>
      </c>
      <c r="S830" t="s">
        <v>74</v>
      </c>
      <c r="T830" t="s">
        <v>14908</v>
      </c>
      <c r="U830" t="s">
        <v>14909</v>
      </c>
      <c r="V830" t="s">
        <v>14910</v>
      </c>
      <c r="W830" t="s">
        <v>14911</v>
      </c>
      <c r="X830" t="s">
        <v>14912</v>
      </c>
      <c r="Y830" t="s">
        <v>14913</v>
      </c>
      <c r="Z830" t="s">
        <v>14914</v>
      </c>
      <c r="AA830" t="s">
        <v>14915</v>
      </c>
      <c r="AB830" t="s">
        <v>14916</v>
      </c>
      <c r="AC830" t="s">
        <v>14917</v>
      </c>
      <c r="AD830" t="s">
        <v>14918</v>
      </c>
      <c r="AE830" t="s">
        <v>14919</v>
      </c>
      <c r="AF830" t="s">
        <v>74</v>
      </c>
      <c r="AG830">
        <v>43</v>
      </c>
      <c r="AH830">
        <v>35</v>
      </c>
      <c r="AI830">
        <v>37</v>
      </c>
      <c r="AJ830">
        <v>2</v>
      </c>
      <c r="AK830">
        <v>65</v>
      </c>
      <c r="AL830" t="s">
        <v>1850</v>
      </c>
      <c r="AM830" t="s">
        <v>684</v>
      </c>
      <c r="AN830" t="s">
        <v>2272</v>
      </c>
      <c r="AO830" t="s">
        <v>3109</v>
      </c>
      <c r="AP830" t="s">
        <v>3110</v>
      </c>
      <c r="AQ830" t="s">
        <v>74</v>
      </c>
      <c r="AR830" t="s">
        <v>3111</v>
      </c>
      <c r="AS830" t="s">
        <v>3112</v>
      </c>
      <c r="AT830" t="s">
        <v>13544</v>
      </c>
      <c r="AU830">
        <v>2009</v>
      </c>
      <c r="AV830">
        <v>32</v>
      </c>
      <c r="AW830">
        <v>7</v>
      </c>
      <c r="AX830" t="s">
        <v>74</v>
      </c>
      <c r="AY830" t="s">
        <v>74</v>
      </c>
      <c r="AZ830" t="s">
        <v>74</v>
      </c>
      <c r="BA830" t="s">
        <v>74</v>
      </c>
      <c r="BB830">
        <v>999</v>
      </c>
      <c r="BC830">
        <v>1008</v>
      </c>
      <c r="BD830" t="s">
        <v>74</v>
      </c>
      <c r="BE830" t="s">
        <v>14920</v>
      </c>
      <c r="BF830" t="str">
        <f>HYPERLINK("http://dx.doi.org/10.1007/s00300-009-0599-0","http://dx.doi.org/10.1007/s00300-009-0599-0")</f>
        <v>http://dx.doi.org/10.1007/s00300-009-0599-0</v>
      </c>
      <c r="BG830" t="s">
        <v>74</v>
      </c>
      <c r="BH830" t="s">
        <v>74</v>
      </c>
      <c r="BI830">
        <v>10</v>
      </c>
      <c r="BJ830" t="s">
        <v>3114</v>
      </c>
      <c r="BK830" t="s">
        <v>98</v>
      </c>
      <c r="BL830" t="s">
        <v>3115</v>
      </c>
      <c r="BM830" t="s">
        <v>14921</v>
      </c>
      <c r="BN830" t="s">
        <v>74</v>
      </c>
      <c r="BO830" t="s">
        <v>74</v>
      </c>
      <c r="BP830" t="s">
        <v>74</v>
      </c>
      <c r="BQ830" t="s">
        <v>74</v>
      </c>
      <c r="BR830" t="s">
        <v>101</v>
      </c>
      <c r="BS830" t="s">
        <v>14922</v>
      </c>
      <c r="BT830" t="str">
        <f>HYPERLINK("https%3A%2F%2Fwww.webofscience.com%2Fwos%2Fwoscc%2Ffull-record%2FWOS:000266914300005","View Full Record in Web of Science")</f>
        <v>View Full Record in Web of Science</v>
      </c>
    </row>
    <row r="831" spans="1:72" x14ac:dyDescent="0.15">
      <c r="A831" t="s">
        <v>72</v>
      </c>
      <c r="B831" t="s">
        <v>14923</v>
      </c>
      <c r="C831" t="s">
        <v>74</v>
      </c>
      <c r="D831" t="s">
        <v>74</v>
      </c>
      <c r="E831" t="s">
        <v>74</v>
      </c>
      <c r="F831" t="s">
        <v>14924</v>
      </c>
      <c r="G831" t="s">
        <v>74</v>
      </c>
      <c r="H831" t="s">
        <v>74</v>
      </c>
      <c r="I831" t="s">
        <v>14925</v>
      </c>
      <c r="J831" t="s">
        <v>3098</v>
      </c>
      <c r="K831" t="s">
        <v>74</v>
      </c>
      <c r="L831" t="s">
        <v>74</v>
      </c>
      <c r="M831" t="s">
        <v>78</v>
      </c>
      <c r="N831" t="s">
        <v>79</v>
      </c>
      <c r="O831" t="s">
        <v>74</v>
      </c>
      <c r="P831" t="s">
        <v>74</v>
      </c>
      <c r="Q831" t="s">
        <v>74</v>
      </c>
      <c r="R831" t="s">
        <v>74</v>
      </c>
      <c r="S831" t="s">
        <v>74</v>
      </c>
      <c r="T831" t="s">
        <v>14926</v>
      </c>
      <c r="U831" t="s">
        <v>14927</v>
      </c>
      <c r="V831" t="s">
        <v>14928</v>
      </c>
      <c r="W831" t="s">
        <v>14929</v>
      </c>
      <c r="X831" t="s">
        <v>14930</v>
      </c>
      <c r="Y831" t="s">
        <v>14931</v>
      </c>
      <c r="Z831" t="s">
        <v>14932</v>
      </c>
      <c r="AA831" t="s">
        <v>14933</v>
      </c>
      <c r="AB831" t="s">
        <v>14934</v>
      </c>
      <c r="AC831" t="s">
        <v>14935</v>
      </c>
      <c r="AD831" t="s">
        <v>14936</v>
      </c>
      <c r="AE831" t="s">
        <v>14937</v>
      </c>
      <c r="AF831" t="s">
        <v>74</v>
      </c>
      <c r="AG831">
        <v>81</v>
      </c>
      <c r="AH831">
        <v>13</v>
      </c>
      <c r="AI831">
        <v>13</v>
      </c>
      <c r="AJ831">
        <v>0</v>
      </c>
      <c r="AK831">
        <v>16</v>
      </c>
      <c r="AL831" t="s">
        <v>1850</v>
      </c>
      <c r="AM831" t="s">
        <v>684</v>
      </c>
      <c r="AN831" t="s">
        <v>2272</v>
      </c>
      <c r="AO831" t="s">
        <v>3109</v>
      </c>
      <c r="AP831" t="s">
        <v>3110</v>
      </c>
      <c r="AQ831" t="s">
        <v>74</v>
      </c>
      <c r="AR831" t="s">
        <v>3111</v>
      </c>
      <c r="AS831" t="s">
        <v>3112</v>
      </c>
      <c r="AT831" t="s">
        <v>13544</v>
      </c>
      <c r="AU831">
        <v>2009</v>
      </c>
      <c r="AV831">
        <v>32</v>
      </c>
      <c r="AW831">
        <v>7</v>
      </c>
      <c r="AX831" t="s">
        <v>74</v>
      </c>
      <c r="AY831" t="s">
        <v>74</v>
      </c>
      <c r="AZ831" t="s">
        <v>74</v>
      </c>
      <c r="BA831" t="s">
        <v>74</v>
      </c>
      <c r="BB831">
        <v>1009</v>
      </c>
      <c r="BC831">
        <v>1021</v>
      </c>
      <c r="BD831" t="s">
        <v>74</v>
      </c>
      <c r="BE831" t="s">
        <v>14938</v>
      </c>
      <c r="BF831" t="str">
        <f>HYPERLINK("http://dx.doi.org/10.1007/s00300-009-0600-y","http://dx.doi.org/10.1007/s00300-009-0600-y")</f>
        <v>http://dx.doi.org/10.1007/s00300-009-0600-y</v>
      </c>
      <c r="BG831" t="s">
        <v>74</v>
      </c>
      <c r="BH831" t="s">
        <v>74</v>
      </c>
      <c r="BI831">
        <v>13</v>
      </c>
      <c r="BJ831" t="s">
        <v>3114</v>
      </c>
      <c r="BK831" t="s">
        <v>98</v>
      </c>
      <c r="BL831" t="s">
        <v>3115</v>
      </c>
      <c r="BM831" t="s">
        <v>14921</v>
      </c>
      <c r="BN831" t="s">
        <v>74</v>
      </c>
      <c r="BO831" t="s">
        <v>74</v>
      </c>
      <c r="BP831" t="s">
        <v>74</v>
      </c>
      <c r="BQ831" t="s">
        <v>74</v>
      </c>
      <c r="BR831" t="s">
        <v>101</v>
      </c>
      <c r="BS831" t="s">
        <v>14939</v>
      </c>
      <c r="BT831" t="str">
        <f>HYPERLINK("https%3A%2F%2Fwww.webofscience.com%2Fwos%2Fwoscc%2Ffull-record%2FWOS:000266914300006","View Full Record in Web of Science")</f>
        <v>View Full Record in Web of Science</v>
      </c>
    </row>
    <row r="832" spans="1:72" x14ac:dyDescent="0.15">
      <c r="A832" t="s">
        <v>72</v>
      </c>
      <c r="B832" t="s">
        <v>14940</v>
      </c>
      <c r="C832" t="s">
        <v>74</v>
      </c>
      <c r="D832" t="s">
        <v>74</v>
      </c>
      <c r="E832" t="s">
        <v>74</v>
      </c>
      <c r="F832" t="s">
        <v>14941</v>
      </c>
      <c r="G832" t="s">
        <v>74</v>
      </c>
      <c r="H832" t="s">
        <v>74</v>
      </c>
      <c r="I832" t="s">
        <v>14942</v>
      </c>
      <c r="J832" t="s">
        <v>3098</v>
      </c>
      <c r="K832" t="s">
        <v>74</v>
      </c>
      <c r="L832" t="s">
        <v>74</v>
      </c>
      <c r="M832" t="s">
        <v>78</v>
      </c>
      <c r="N832" t="s">
        <v>79</v>
      </c>
      <c r="O832" t="s">
        <v>74</v>
      </c>
      <c r="P832" t="s">
        <v>74</v>
      </c>
      <c r="Q832" t="s">
        <v>74</v>
      </c>
      <c r="R832" t="s">
        <v>74</v>
      </c>
      <c r="S832" t="s">
        <v>74</v>
      </c>
      <c r="T832" t="s">
        <v>14943</v>
      </c>
      <c r="U832" t="s">
        <v>14944</v>
      </c>
      <c r="V832" t="s">
        <v>14945</v>
      </c>
      <c r="W832" t="s">
        <v>14946</v>
      </c>
      <c r="X832" t="s">
        <v>13123</v>
      </c>
      <c r="Y832" t="s">
        <v>14947</v>
      </c>
      <c r="Z832" t="s">
        <v>14948</v>
      </c>
      <c r="AA832" t="s">
        <v>74</v>
      </c>
      <c r="AB832" t="s">
        <v>14949</v>
      </c>
      <c r="AC832" t="s">
        <v>14950</v>
      </c>
      <c r="AD832" t="s">
        <v>14951</v>
      </c>
      <c r="AE832" t="s">
        <v>14952</v>
      </c>
      <c r="AF832" t="s">
        <v>74</v>
      </c>
      <c r="AG832">
        <v>44</v>
      </c>
      <c r="AH832">
        <v>19</v>
      </c>
      <c r="AI832">
        <v>20</v>
      </c>
      <c r="AJ832">
        <v>0</v>
      </c>
      <c r="AK832">
        <v>13</v>
      </c>
      <c r="AL832" t="s">
        <v>1850</v>
      </c>
      <c r="AM832" t="s">
        <v>684</v>
      </c>
      <c r="AN832" t="s">
        <v>3108</v>
      </c>
      <c r="AO832" t="s">
        <v>3109</v>
      </c>
      <c r="AP832" t="s">
        <v>3110</v>
      </c>
      <c r="AQ832" t="s">
        <v>74</v>
      </c>
      <c r="AR832" t="s">
        <v>3111</v>
      </c>
      <c r="AS832" t="s">
        <v>3112</v>
      </c>
      <c r="AT832" t="s">
        <v>13544</v>
      </c>
      <c r="AU832">
        <v>2009</v>
      </c>
      <c r="AV832">
        <v>32</v>
      </c>
      <c r="AW832">
        <v>7</v>
      </c>
      <c r="AX832" t="s">
        <v>74</v>
      </c>
      <c r="AY832" t="s">
        <v>74</v>
      </c>
      <c r="AZ832" t="s">
        <v>74</v>
      </c>
      <c r="BA832" t="s">
        <v>74</v>
      </c>
      <c r="BB832">
        <v>1023</v>
      </c>
      <c r="BC832">
        <v>1032</v>
      </c>
      <c r="BD832" t="s">
        <v>74</v>
      </c>
      <c r="BE832" t="s">
        <v>14953</v>
      </c>
      <c r="BF832" t="str">
        <f>HYPERLINK("http://dx.doi.org/10.1007/s00300-009-0601-x","http://dx.doi.org/10.1007/s00300-009-0601-x")</f>
        <v>http://dx.doi.org/10.1007/s00300-009-0601-x</v>
      </c>
      <c r="BG832" t="s">
        <v>74</v>
      </c>
      <c r="BH832" t="s">
        <v>74</v>
      </c>
      <c r="BI832">
        <v>10</v>
      </c>
      <c r="BJ832" t="s">
        <v>3114</v>
      </c>
      <c r="BK832" t="s">
        <v>98</v>
      </c>
      <c r="BL832" t="s">
        <v>3115</v>
      </c>
      <c r="BM832" t="s">
        <v>14921</v>
      </c>
      <c r="BN832" t="s">
        <v>74</v>
      </c>
      <c r="BO832" t="s">
        <v>74</v>
      </c>
      <c r="BP832" t="s">
        <v>74</v>
      </c>
      <c r="BQ832" t="s">
        <v>74</v>
      </c>
      <c r="BR832" t="s">
        <v>101</v>
      </c>
      <c r="BS832" t="s">
        <v>14954</v>
      </c>
      <c r="BT832" t="str">
        <f>HYPERLINK("https%3A%2F%2Fwww.webofscience.com%2Fwos%2Fwoscc%2Ffull-record%2FWOS:000266914300007","View Full Record in Web of Science")</f>
        <v>View Full Record in Web of Science</v>
      </c>
    </row>
    <row r="833" spans="1:72" x14ac:dyDescent="0.15">
      <c r="A833" t="s">
        <v>72</v>
      </c>
      <c r="B833" t="s">
        <v>14955</v>
      </c>
      <c r="C833" t="s">
        <v>74</v>
      </c>
      <c r="D833" t="s">
        <v>74</v>
      </c>
      <c r="E833" t="s">
        <v>74</v>
      </c>
      <c r="F833" t="s">
        <v>14956</v>
      </c>
      <c r="G833" t="s">
        <v>74</v>
      </c>
      <c r="H833" t="s">
        <v>74</v>
      </c>
      <c r="I833" t="s">
        <v>14957</v>
      </c>
      <c r="J833" t="s">
        <v>3098</v>
      </c>
      <c r="K833" t="s">
        <v>74</v>
      </c>
      <c r="L833" t="s">
        <v>74</v>
      </c>
      <c r="M833" t="s">
        <v>78</v>
      </c>
      <c r="N833" t="s">
        <v>79</v>
      </c>
      <c r="O833" t="s">
        <v>74</v>
      </c>
      <c r="P833" t="s">
        <v>74</v>
      </c>
      <c r="Q833" t="s">
        <v>74</v>
      </c>
      <c r="R833" t="s">
        <v>74</v>
      </c>
      <c r="S833" t="s">
        <v>74</v>
      </c>
      <c r="T833" t="s">
        <v>14958</v>
      </c>
      <c r="U833" t="s">
        <v>14959</v>
      </c>
      <c r="V833" t="s">
        <v>14960</v>
      </c>
      <c r="W833" t="s">
        <v>14961</v>
      </c>
      <c r="X833" t="s">
        <v>14962</v>
      </c>
      <c r="Y833" t="s">
        <v>14963</v>
      </c>
      <c r="Z833" t="s">
        <v>14964</v>
      </c>
      <c r="AA833" t="s">
        <v>74</v>
      </c>
      <c r="AB833" t="s">
        <v>74</v>
      </c>
      <c r="AC833" t="s">
        <v>14965</v>
      </c>
      <c r="AD833" t="s">
        <v>14966</v>
      </c>
      <c r="AE833" t="s">
        <v>14967</v>
      </c>
      <c r="AF833" t="s">
        <v>74</v>
      </c>
      <c r="AG833">
        <v>28</v>
      </c>
      <c r="AH833">
        <v>64</v>
      </c>
      <c r="AI833">
        <v>68</v>
      </c>
      <c r="AJ833">
        <v>0</v>
      </c>
      <c r="AK833">
        <v>39</v>
      </c>
      <c r="AL833" t="s">
        <v>1850</v>
      </c>
      <c r="AM833" t="s">
        <v>684</v>
      </c>
      <c r="AN833" t="s">
        <v>2272</v>
      </c>
      <c r="AO833" t="s">
        <v>3109</v>
      </c>
      <c r="AP833" t="s">
        <v>3110</v>
      </c>
      <c r="AQ833" t="s">
        <v>74</v>
      </c>
      <c r="AR833" t="s">
        <v>3111</v>
      </c>
      <c r="AS833" t="s">
        <v>3112</v>
      </c>
      <c r="AT833" t="s">
        <v>13544</v>
      </c>
      <c r="AU833">
        <v>2009</v>
      </c>
      <c r="AV833">
        <v>32</v>
      </c>
      <c r="AW833">
        <v>7</v>
      </c>
      <c r="AX833" t="s">
        <v>74</v>
      </c>
      <c r="AY833" t="s">
        <v>74</v>
      </c>
      <c r="AZ833" t="s">
        <v>74</v>
      </c>
      <c r="BA833" t="s">
        <v>74</v>
      </c>
      <c r="BB833">
        <v>1033</v>
      </c>
      <c r="BC833">
        <v>1040</v>
      </c>
      <c r="BD833" t="s">
        <v>74</v>
      </c>
      <c r="BE833" t="s">
        <v>14968</v>
      </c>
      <c r="BF833" t="str">
        <f>HYPERLINK("http://dx.doi.org/10.1007/s00300-009-0602-9","http://dx.doi.org/10.1007/s00300-009-0602-9")</f>
        <v>http://dx.doi.org/10.1007/s00300-009-0602-9</v>
      </c>
      <c r="BG833" t="s">
        <v>74</v>
      </c>
      <c r="BH833" t="s">
        <v>74</v>
      </c>
      <c r="BI833">
        <v>8</v>
      </c>
      <c r="BJ833" t="s">
        <v>3114</v>
      </c>
      <c r="BK833" t="s">
        <v>98</v>
      </c>
      <c r="BL833" t="s">
        <v>3115</v>
      </c>
      <c r="BM833" t="s">
        <v>14921</v>
      </c>
      <c r="BN833" t="s">
        <v>74</v>
      </c>
      <c r="BO833" t="s">
        <v>74</v>
      </c>
      <c r="BP833" t="s">
        <v>74</v>
      </c>
      <c r="BQ833" t="s">
        <v>74</v>
      </c>
      <c r="BR833" t="s">
        <v>101</v>
      </c>
      <c r="BS833" t="s">
        <v>14969</v>
      </c>
      <c r="BT833" t="str">
        <f>HYPERLINK("https%3A%2F%2Fwww.webofscience.com%2Fwos%2Fwoscc%2Ffull-record%2FWOS:000266914300008","View Full Record in Web of Science")</f>
        <v>View Full Record in Web of Science</v>
      </c>
    </row>
    <row r="834" spans="1:72" x14ac:dyDescent="0.15">
      <c r="A834" t="s">
        <v>72</v>
      </c>
      <c r="B834" t="s">
        <v>14970</v>
      </c>
      <c r="C834" t="s">
        <v>74</v>
      </c>
      <c r="D834" t="s">
        <v>74</v>
      </c>
      <c r="E834" t="s">
        <v>74</v>
      </c>
      <c r="F834" t="s">
        <v>14971</v>
      </c>
      <c r="G834" t="s">
        <v>74</v>
      </c>
      <c r="H834" t="s">
        <v>74</v>
      </c>
      <c r="I834" t="s">
        <v>14972</v>
      </c>
      <c r="J834" t="s">
        <v>3098</v>
      </c>
      <c r="K834" t="s">
        <v>74</v>
      </c>
      <c r="L834" t="s">
        <v>74</v>
      </c>
      <c r="M834" t="s">
        <v>78</v>
      </c>
      <c r="N834" t="s">
        <v>79</v>
      </c>
      <c r="O834" t="s">
        <v>74</v>
      </c>
      <c r="P834" t="s">
        <v>74</v>
      </c>
      <c r="Q834" t="s">
        <v>74</v>
      </c>
      <c r="R834" t="s">
        <v>74</v>
      </c>
      <c r="S834" t="s">
        <v>74</v>
      </c>
      <c r="T834" t="s">
        <v>14973</v>
      </c>
      <c r="U834" t="s">
        <v>14974</v>
      </c>
      <c r="V834" t="s">
        <v>14975</v>
      </c>
      <c r="W834" t="s">
        <v>14976</v>
      </c>
      <c r="X834" t="s">
        <v>14977</v>
      </c>
      <c r="Y834" t="s">
        <v>14978</v>
      </c>
      <c r="Z834" t="s">
        <v>14979</v>
      </c>
      <c r="AA834" t="s">
        <v>14980</v>
      </c>
      <c r="AB834" t="s">
        <v>14981</v>
      </c>
      <c r="AC834" t="s">
        <v>14982</v>
      </c>
      <c r="AD834" t="s">
        <v>14983</v>
      </c>
      <c r="AE834" t="s">
        <v>14984</v>
      </c>
      <c r="AF834" t="s">
        <v>74</v>
      </c>
      <c r="AG834">
        <v>51</v>
      </c>
      <c r="AH834">
        <v>27</v>
      </c>
      <c r="AI834">
        <v>28</v>
      </c>
      <c r="AJ834">
        <v>0</v>
      </c>
      <c r="AK834">
        <v>21</v>
      </c>
      <c r="AL834" t="s">
        <v>1850</v>
      </c>
      <c r="AM834" t="s">
        <v>684</v>
      </c>
      <c r="AN834" t="s">
        <v>2272</v>
      </c>
      <c r="AO834" t="s">
        <v>3109</v>
      </c>
      <c r="AP834" t="s">
        <v>74</v>
      </c>
      <c r="AQ834" t="s">
        <v>74</v>
      </c>
      <c r="AR834" t="s">
        <v>3111</v>
      </c>
      <c r="AS834" t="s">
        <v>3112</v>
      </c>
      <c r="AT834" t="s">
        <v>13544</v>
      </c>
      <c r="AU834">
        <v>2009</v>
      </c>
      <c r="AV834">
        <v>32</v>
      </c>
      <c r="AW834">
        <v>7</v>
      </c>
      <c r="AX834" t="s">
        <v>74</v>
      </c>
      <c r="AY834" t="s">
        <v>74</v>
      </c>
      <c r="AZ834" t="s">
        <v>74</v>
      </c>
      <c r="BA834" t="s">
        <v>74</v>
      </c>
      <c r="BB834">
        <v>1055</v>
      </c>
      <c r="BC834">
        <v>1065</v>
      </c>
      <c r="BD834" t="s">
        <v>74</v>
      </c>
      <c r="BE834" t="s">
        <v>14985</v>
      </c>
      <c r="BF834" t="str">
        <f>HYPERLINK("http://dx.doi.org/10.1007/s00300-009-0605-6","http://dx.doi.org/10.1007/s00300-009-0605-6")</f>
        <v>http://dx.doi.org/10.1007/s00300-009-0605-6</v>
      </c>
      <c r="BG834" t="s">
        <v>74</v>
      </c>
      <c r="BH834" t="s">
        <v>74</v>
      </c>
      <c r="BI834">
        <v>11</v>
      </c>
      <c r="BJ834" t="s">
        <v>3114</v>
      </c>
      <c r="BK834" t="s">
        <v>98</v>
      </c>
      <c r="BL834" t="s">
        <v>3115</v>
      </c>
      <c r="BM834" t="s">
        <v>14921</v>
      </c>
      <c r="BN834" t="s">
        <v>74</v>
      </c>
      <c r="BO834" t="s">
        <v>74</v>
      </c>
      <c r="BP834" t="s">
        <v>74</v>
      </c>
      <c r="BQ834" t="s">
        <v>74</v>
      </c>
      <c r="BR834" t="s">
        <v>101</v>
      </c>
      <c r="BS834" t="s">
        <v>14986</v>
      </c>
      <c r="BT834" t="str">
        <f>HYPERLINK("https%3A%2F%2Fwww.webofscience.com%2Fwos%2Fwoscc%2Ffull-record%2FWOS:000266914300011","View Full Record in Web of Science")</f>
        <v>View Full Record in Web of Science</v>
      </c>
    </row>
    <row r="835" spans="1:72" x14ac:dyDescent="0.15">
      <c r="A835" t="s">
        <v>72</v>
      </c>
      <c r="B835" t="s">
        <v>14987</v>
      </c>
      <c r="C835" t="s">
        <v>74</v>
      </c>
      <c r="D835" t="s">
        <v>74</v>
      </c>
      <c r="E835" t="s">
        <v>74</v>
      </c>
      <c r="F835" t="s">
        <v>14988</v>
      </c>
      <c r="G835" t="s">
        <v>74</v>
      </c>
      <c r="H835" t="s">
        <v>74</v>
      </c>
      <c r="I835" t="s">
        <v>14989</v>
      </c>
      <c r="J835" t="s">
        <v>3098</v>
      </c>
      <c r="K835" t="s">
        <v>74</v>
      </c>
      <c r="L835" t="s">
        <v>74</v>
      </c>
      <c r="M835" t="s">
        <v>78</v>
      </c>
      <c r="N835" t="s">
        <v>79</v>
      </c>
      <c r="O835" t="s">
        <v>74</v>
      </c>
      <c r="P835" t="s">
        <v>74</v>
      </c>
      <c r="Q835" t="s">
        <v>74</v>
      </c>
      <c r="R835" t="s">
        <v>74</v>
      </c>
      <c r="S835" t="s">
        <v>74</v>
      </c>
      <c r="T835" t="s">
        <v>14990</v>
      </c>
      <c r="U835" t="s">
        <v>14991</v>
      </c>
      <c r="V835" t="s">
        <v>14992</v>
      </c>
      <c r="W835" t="s">
        <v>14993</v>
      </c>
      <c r="X835" t="s">
        <v>14994</v>
      </c>
      <c r="Y835" t="s">
        <v>14995</v>
      </c>
      <c r="Z835" t="s">
        <v>14996</v>
      </c>
      <c r="AA835" t="s">
        <v>14997</v>
      </c>
      <c r="AB835" t="s">
        <v>14998</v>
      </c>
      <c r="AC835" t="s">
        <v>14999</v>
      </c>
      <c r="AD835" t="s">
        <v>15000</v>
      </c>
      <c r="AE835" t="s">
        <v>15001</v>
      </c>
      <c r="AF835" t="s">
        <v>74</v>
      </c>
      <c r="AG835">
        <v>46</v>
      </c>
      <c r="AH835">
        <v>20</v>
      </c>
      <c r="AI835">
        <v>21</v>
      </c>
      <c r="AJ835">
        <v>0</v>
      </c>
      <c r="AK835">
        <v>9</v>
      </c>
      <c r="AL835" t="s">
        <v>1850</v>
      </c>
      <c r="AM835" t="s">
        <v>684</v>
      </c>
      <c r="AN835" t="s">
        <v>3108</v>
      </c>
      <c r="AO835" t="s">
        <v>3109</v>
      </c>
      <c r="AP835" t="s">
        <v>3110</v>
      </c>
      <c r="AQ835" t="s">
        <v>74</v>
      </c>
      <c r="AR835" t="s">
        <v>3111</v>
      </c>
      <c r="AS835" t="s">
        <v>3112</v>
      </c>
      <c r="AT835" t="s">
        <v>13544</v>
      </c>
      <c r="AU835">
        <v>2009</v>
      </c>
      <c r="AV835">
        <v>32</v>
      </c>
      <c r="AW835">
        <v>7</v>
      </c>
      <c r="AX835" t="s">
        <v>74</v>
      </c>
      <c r="AY835" t="s">
        <v>74</v>
      </c>
      <c r="AZ835" t="s">
        <v>74</v>
      </c>
      <c r="BA835" t="s">
        <v>74</v>
      </c>
      <c r="BB835">
        <v>1067</v>
      </c>
      <c r="BC835">
        <v>1076</v>
      </c>
      <c r="BD835" t="s">
        <v>74</v>
      </c>
      <c r="BE835" t="s">
        <v>15002</v>
      </c>
      <c r="BF835" t="str">
        <f>HYPERLINK("http://dx.doi.org/10.1007/s00300-009-0606-5","http://dx.doi.org/10.1007/s00300-009-0606-5")</f>
        <v>http://dx.doi.org/10.1007/s00300-009-0606-5</v>
      </c>
      <c r="BG835" t="s">
        <v>74</v>
      </c>
      <c r="BH835" t="s">
        <v>74</v>
      </c>
      <c r="BI835">
        <v>10</v>
      </c>
      <c r="BJ835" t="s">
        <v>3114</v>
      </c>
      <c r="BK835" t="s">
        <v>98</v>
      </c>
      <c r="BL835" t="s">
        <v>3115</v>
      </c>
      <c r="BM835" t="s">
        <v>14921</v>
      </c>
      <c r="BN835" t="s">
        <v>74</v>
      </c>
      <c r="BO835" t="s">
        <v>74</v>
      </c>
      <c r="BP835" t="s">
        <v>74</v>
      </c>
      <c r="BQ835" t="s">
        <v>74</v>
      </c>
      <c r="BR835" t="s">
        <v>101</v>
      </c>
      <c r="BS835" t="s">
        <v>15003</v>
      </c>
      <c r="BT835" t="str">
        <f>HYPERLINK("https%3A%2F%2Fwww.webofscience.com%2Fwos%2Fwoscc%2Ffull-record%2FWOS:000266914300012","View Full Record in Web of Science")</f>
        <v>View Full Record in Web of Science</v>
      </c>
    </row>
    <row r="836" spans="1:72" x14ac:dyDescent="0.15">
      <c r="A836" t="s">
        <v>72</v>
      </c>
      <c r="B836" t="s">
        <v>15004</v>
      </c>
      <c r="C836" t="s">
        <v>74</v>
      </c>
      <c r="D836" t="s">
        <v>74</v>
      </c>
      <c r="E836" t="s">
        <v>74</v>
      </c>
      <c r="F836" t="s">
        <v>15005</v>
      </c>
      <c r="G836" t="s">
        <v>74</v>
      </c>
      <c r="H836" t="s">
        <v>74</v>
      </c>
      <c r="I836" t="s">
        <v>15006</v>
      </c>
      <c r="J836" t="s">
        <v>3098</v>
      </c>
      <c r="K836" t="s">
        <v>74</v>
      </c>
      <c r="L836" t="s">
        <v>74</v>
      </c>
      <c r="M836" t="s">
        <v>78</v>
      </c>
      <c r="N836" t="s">
        <v>79</v>
      </c>
      <c r="O836" t="s">
        <v>74</v>
      </c>
      <c r="P836" t="s">
        <v>74</v>
      </c>
      <c r="Q836" t="s">
        <v>74</v>
      </c>
      <c r="R836" t="s">
        <v>74</v>
      </c>
      <c r="S836" t="s">
        <v>74</v>
      </c>
      <c r="T836" t="s">
        <v>15007</v>
      </c>
      <c r="U836" t="s">
        <v>15008</v>
      </c>
      <c r="V836" t="s">
        <v>15009</v>
      </c>
      <c r="W836" t="s">
        <v>15010</v>
      </c>
      <c r="X836" t="s">
        <v>15011</v>
      </c>
      <c r="Y836" t="s">
        <v>15012</v>
      </c>
      <c r="Z836" t="s">
        <v>15013</v>
      </c>
      <c r="AA836" t="s">
        <v>15014</v>
      </c>
      <c r="AB836" t="s">
        <v>15015</v>
      </c>
      <c r="AC836" t="s">
        <v>15016</v>
      </c>
      <c r="AD836" t="s">
        <v>15016</v>
      </c>
      <c r="AE836" t="s">
        <v>15017</v>
      </c>
      <c r="AF836" t="s">
        <v>74</v>
      </c>
      <c r="AG836">
        <v>60</v>
      </c>
      <c r="AH836">
        <v>15</v>
      </c>
      <c r="AI836">
        <v>15</v>
      </c>
      <c r="AJ836">
        <v>0</v>
      </c>
      <c r="AK836">
        <v>8</v>
      </c>
      <c r="AL836" t="s">
        <v>1850</v>
      </c>
      <c r="AM836" t="s">
        <v>684</v>
      </c>
      <c r="AN836" t="s">
        <v>2272</v>
      </c>
      <c r="AO836" t="s">
        <v>3109</v>
      </c>
      <c r="AP836" t="s">
        <v>74</v>
      </c>
      <c r="AQ836" t="s">
        <v>74</v>
      </c>
      <c r="AR836" t="s">
        <v>3111</v>
      </c>
      <c r="AS836" t="s">
        <v>3112</v>
      </c>
      <c r="AT836" t="s">
        <v>13544</v>
      </c>
      <c r="AU836">
        <v>2009</v>
      </c>
      <c r="AV836">
        <v>32</v>
      </c>
      <c r="AW836">
        <v>7</v>
      </c>
      <c r="AX836" t="s">
        <v>74</v>
      </c>
      <c r="AY836" t="s">
        <v>74</v>
      </c>
      <c r="AZ836" t="s">
        <v>74</v>
      </c>
      <c r="BA836" t="s">
        <v>74</v>
      </c>
      <c r="BB836">
        <v>1077</v>
      </c>
      <c r="BC836">
        <v>1086</v>
      </c>
      <c r="BD836" t="s">
        <v>74</v>
      </c>
      <c r="BE836" t="s">
        <v>15018</v>
      </c>
      <c r="BF836" t="str">
        <f>HYPERLINK("http://dx.doi.org/10.1007/s00300-009-0607-4","http://dx.doi.org/10.1007/s00300-009-0607-4")</f>
        <v>http://dx.doi.org/10.1007/s00300-009-0607-4</v>
      </c>
      <c r="BG836" t="s">
        <v>74</v>
      </c>
      <c r="BH836" t="s">
        <v>74</v>
      </c>
      <c r="BI836">
        <v>10</v>
      </c>
      <c r="BJ836" t="s">
        <v>3114</v>
      </c>
      <c r="BK836" t="s">
        <v>98</v>
      </c>
      <c r="BL836" t="s">
        <v>3115</v>
      </c>
      <c r="BM836" t="s">
        <v>14921</v>
      </c>
      <c r="BN836" t="s">
        <v>74</v>
      </c>
      <c r="BO836" t="s">
        <v>74</v>
      </c>
      <c r="BP836" t="s">
        <v>74</v>
      </c>
      <c r="BQ836" t="s">
        <v>74</v>
      </c>
      <c r="BR836" t="s">
        <v>101</v>
      </c>
      <c r="BS836" t="s">
        <v>15019</v>
      </c>
      <c r="BT836" t="str">
        <f>HYPERLINK("https%3A%2F%2Fwww.webofscience.com%2Fwos%2Fwoscc%2Ffull-record%2FWOS:000266914300013","View Full Record in Web of Science")</f>
        <v>View Full Record in Web of Science</v>
      </c>
    </row>
    <row r="837" spans="1:72" x14ac:dyDescent="0.15">
      <c r="A837" t="s">
        <v>72</v>
      </c>
      <c r="B837" t="s">
        <v>15020</v>
      </c>
      <c r="C837" t="s">
        <v>74</v>
      </c>
      <c r="D837" t="s">
        <v>74</v>
      </c>
      <c r="E837" t="s">
        <v>74</v>
      </c>
      <c r="F837" t="s">
        <v>15021</v>
      </c>
      <c r="G837" t="s">
        <v>74</v>
      </c>
      <c r="H837" t="s">
        <v>74</v>
      </c>
      <c r="I837" t="s">
        <v>15022</v>
      </c>
      <c r="J837" t="s">
        <v>8479</v>
      </c>
      <c r="K837" t="s">
        <v>74</v>
      </c>
      <c r="L837" t="s">
        <v>74</v>
      </c>
      <c r="M837" t="s">
        <v>78</v>
      </c>
      <c r="N837" t="s">
        <v>79</v>
      </c>
      <c r="O837" t="s">
        <v>74</v>
      </c>
      <c r="P837" t="s">
        <v>74</v>
      </c>
      <c r="Q837" t="s">
        <v>74</v>
      </c>
      <c r="R837" t="s">
        <v>74</v>
      </c>
      <c r="S837" t="s">
        <v>74</v>
      </c>
      <c r="T837" t="s">
        <v>74</v>
      </c>
      <c r="U837" t="s">
        <v>15023</v>
      </c>
      <c r="V837" t="s">
        <v>15024</v>
      </c>
      <c r="W837" t="s">
        <v>15025</v>
      </c>
      <c r="X837" t="s">
        <v>1309</v>
      </c>
      <c r="Y837" t="s">
        <v>8483</v>
      </c>
      <c r="Z837" t="s">
        <v>8484</v>
      </c>
      <c r="AA837" t="s">
        <v>74</v>
      </c>
      <c r="AB837" t="s">
        <v>74</v>
      </c>
      <c r="AC837" t="s">
        <v>74</v>
      </c>
      <c r="AD837" t="s">
        <v>74</v>
      </c>
      <c r="AE837" t="s">
        <v>74</v>
      </c>
      <c r="AF837" t="s">
        <v>74</v>
      </c>
      <c r="AG837">
        <v>23</v>
      </c>
      <c r="AH837">
        <v>6</v>
      </c>
      <c r="AI837">
        <v>7</v>
      </c>
      <c r="AJ837">
        <v>4</v>
      </c>
      <c r="AK837">
        <v>8</v>
      </c>
      <c r="AL837" t="s">
        <v>1226</v>
      </c>
      <c r="AM837" t="s">
        <v>684</v>
      </c>
      <c r="AN837" t="s">
        <v>1227</v>
      </c>
      <c r="AO837" t="s">
        <v>8485</v>
      </c>
      <c r="AP837" t="s">
        <v>74</v>
      </c>
      <c r="AQ837" t="s">
        <v>74</v>
      </c>
      <c r="AR837" t="s">
        <v>8486</v>
      </c>
      <c r="AS837" t="s">
        <v>8487</v>
      </c>
      <c r="AT837" t="s">
        <v>13544</v>
      </c>
      <c r="AU837">
        <v>2009</v>
      </c>
      <c r="AV837">
        <v>45</v>
      </c>
      <c r="AW837">
        <v>234</v>
      </c>
      <c r="AX837" t="s">
        <v>74</v>
      </c>
      <c r="AY837" t="s">
        <v>74</v>
      </c>
      <c r="AZ837" t="s">
        <v>74</v>
      </c>
      <c r="BA837" t="s">
        <v>74</v>
      </c>
      <c r="BB837">
        <v>207</v>
      </c>
      <c r="BC837">
        <v>214</v>
      </c>
      <c r="BD837" t="s">
        <v>74</v>
      </c>
      <c r="BE837" t="s">
        <v>15026</v>
      </c>
      <c r="BF837" t="str">
        <f>HYPERLINK("http://dx.doi.org/10.1017/S0032247408007985","http://dx.doi.org/10.1017/S0032247408007985")</f>
        <v>http://dx.doi.org/10.1017/S0032247408007985</v>
      </c>
      <c r="BG837" t="s">
        <v>74</v>
      </c>
      <c r="BH837" t="s">
        <v>74</v>
      </c>
      <c r="BI837">
        <v>8</v>
      </c>
      <c r="BJ837" t="s">
        <v>7503</v>
      </c>
      <c r="BK837" t="s">
        <v>98</v>
      </c>
      <c r="BL837" t="s">
        <v>516</v>
      </c>
      <c r="BM837" t="s">
        <v>15027</v>
      </c>
      <c r="BN837" t="s">
        <v>74</v>
      </c>
      <c r="BO837" t="s">
        <v>74</v>
      </c>
      <c r="BP837" t="s">
        <v>74</v>
      </c>
      <c r="BQ837" t="s">
        <v>74</v>
      </c>
      <c r="BR837" t="s">
        <v>101</v>
      </c>
      <c r="BS837" t="s">
        <v>15028</v>
      </c>
      <c r="BT837" t="str">
        <f>HYPERLINK("https%3A%2F%2Fwww.webofscience.com%2Fwos%2Fwoscc%2Ffull-record%2FWOS:000267259600002","View Full Record in Web of Science")</f>
        <v>View Full Record in Web of Science</v>
      </c>
    </row>
    <row r="838" spans="1:72" x14ac:dyDescent="0.15">
      <c r="A838" t="s">
        <v>72</v>
      </c>
      <c r="B838" t="s">
        <v>15029</v>
      </c>
      <c r="C838" t="s">
        <v>74</v>
      </c>
      <c r="D838" t="s">
        <v>74</v>
      </c>
      <c r="E838" t="s">
        <v>74</v>
      </c>
      <c r="F838" t="s">
        <v>15030</v>
      </c>
      <c r="G838" t="s">
        <v>74</v>
      </c>
      <c r="H838" t="s">
        <v>74</v>
      </c>
      <c r="I838" t="s">
        <v>15031</v>
      </c>
      <c r="J838" t="s">
        <v>8479</v>
      </c>
      <c r="K838" t="s">
        <v>74</v>
      </c>
      <c r="L838" t="s">
        <v>74</v>
      </c>
      <c r="M838" t="s">
        <v>78</v>
      </c>
      <c r="N838" t="s">
        <v>79</v>
      </c>
      <c r="O838" t="s">
        <v>74</v>
      </c>
      <c r="P838" t="s">
        <v>74</v>
      </c>
      <c r="Q838" t="s">
        <v>74</v>
      </c>
      <c r="R838" t="s">
        <v>74</v>
      </c>
      <c r="S838" t="s">
        <v>74</v>
      </c>
      <c r="T838" t="s">
        <v>74</v>
      </c>
      <c r="U838" t="s">
        <v>74</v>
      </c>
      <c r="V838" t="s">
        <v>15032</v>
      </c>
      <c r="W838" t="s">
        <v>15033</v>
      </c>
      <c r="X838" t="s">
        <v>15034</v>
      </c>
      <c r="Y838" t="s">
        <v>15035</v>
      </c>
      <c r="Z838" t="s">
        <v>15036</v>
      </c>
      <c r="AA838" t="s">
        <v>74</v>
      </c>
      <c r="AB838" t="s">
        <v>74</v>
      </c>
      <c r="AC838" t="s">
        <v>74</v>
      </c>
      <c r="AD838" t="s">
        <v>74</v>
      </c>
      <c r="AE838" t="s">
        <v>74</v>
      </c>
      <c r="AF838" t="s">
        <v>74</v>
      </c>
      <c r="AG838">
        <v>0</v>
      </c>
      <c r="AH838">
        <v>4</v>
      </c>
      <c r="AI838">
        <v>5</v>
      </c>
      <c r="AJ838">
        <v>0</v>
      </c>
      <c r="AK838">
        <v>2</v>
      </c>
      <c r="AL838" t="s">
        <v>1226</v>
      </c>
      <c r="AM838" t="s">
        <v>684</v>
      </c>
      <c r="AN838" t="s">
        <v>1227</v>
      </c>
      <c r="AO838" t="s">
        <v>8485</v>
      </c>
      <c r="AP838" t="s">
        <v>74</v>
      </c>
      <c r="AQ838" t="s">
        <v>74</v>
      </c>
      <c r="AR838" t="s">
        <v>8486</v>
      </c>
      <c r="AS838" t="s">
        <v>8487</v>
      </c>
      <c r="AT838" t="s">
        <v>13544</v>
      </c>
      <c r="AU838">
        <v>2009</v>
      </c>
      <c r="AV838">
        <v>45</v>
      </c>
      <c r="AW838">
        <v>234</v>
      </c>
      <c r="AX838" t="s">
        <v>74</v>
      </c>
      <c r="AY838" t="s">
        <v>74</v>
      </c>
      <c r="AZ838" t="s">
        <v>74</v>
      </c>
      <c r="BA838" t="s">
        <v>74</v>
      </c>
      <c r="BB838">
        <v>243</v>
      </c>
      <c r="BC838">
        <v>263</v>
      </c>
      <c r="BD838" t="s">
        <v>74</v>
      </c>
      <c r="BE838" t="s">
        <v>15037</v>
      </c>
      <c r="BF838" t="str">
        <f>HYPERLINK("http://dx.doi.org/10.1017/S0032247408008024","http://dx.doi.org/10.1017/S0032247408008024")</f>
        <v>http://dx.doi.org/10.1017/S0032247408008024</v>
      </c>
      <c r="BG838" t="s">
        <v>74</v>
      </c>
      <c r="BH838" t="s">
        <v>74</v>
      </c>
      <c r="BI838">
        <v>21</v>
      </c>
      <c r="BJ838" t="s">
        <v>7503</v>
      </c>
      <c r="BK838" t="s">
        <v>98</v>
      </c>
      <c r="BL838" t="s">
        <v>516</v>
      </c>
      <c r="BM838" t="s">
        <v>15027</v>
      </c>
      <c r="BN838" t="s">
        <v>74</v>
      </c>
      <c r="BO838" t="s">
        <v>74</v>
      </c>
      <c r="BP838" t="s">
        <v>74</v>
      </c>
      <c r="BQ838" t="s">
        <v>74</v>
      </c>
      <c r="BR838" t="s">
        <v>101</v>
      </c>
      <c r="BS838" t="s">
        <v>15038</v>
      </c>
      <c r="BT838" t="str">
        <f>HYPERLINK("https%3A%2F%2Fwww.webofscience.com%2Fwos%2Fwoscc%2Ffull-record%2FWOS:000267259600006","View Full Record in Web of Science")</f>
        <v>View Full Record in Web of Science</v>
      </c>
    </row>
    <row r="839" spans="1:72" x14ac:dyDescent="0.15">
      <c r="A839" t="s">
        <v>72</v>
      </c>
      <c r="B839" t="s">
        <v>15039</v>
      </c>
      <c r="C839" t="s">
        <v>74</v>
      </c>
      <c r="D839" t="s">
        <v>74</v>
      </c>
      <c r="E839" t="s">
        <v>74</v>
      </c>
      <c r="F839" t="s">
        <v>15040</v>
      </c>
      <c r="G839" t="s">
        <v>74</v>
      </c>
      <c r="H839" t="s">
        <v>74</v>
      </c>
      <c r="I839" t="s">
        <v>15041</v>
      </c>
      <c r="J839" t="s">
        <v>8559</v>
      </c>
      <c r="K839" t="s">
        <v>74</v>
      </c>
      <c r="L839" t="s">
        <v>74</v>
      </c>
      <c r="M839" t="s">
        <v>78</v>
      </c>
      <c r="N839" t="s">
        <v>79</v>
      </c>
      <c r="O839" t="s">
        <v>74</v>
      </c>
      <c r="P839" t="s">
        <v>74</v>
      </c>
      <c r="Q839" t="s">
        <v>74</v>
      </c>
      <c r="R839" t="s">
        <v>74</v>
      </c>
      <c r="S839" t="s">
        <v>74</v>
      </c>
      <c r="T839" t="s">
        <v>15042</v>
      </c>
      <c r="U839" t="s">
        <v>15043</v>
      </c>
      <c r="V839" t="s">
        <v>15044</v>
      </c>
      <c r="W839" t="s">
        <v>15045</v>
      </c>
      <c r="X839" t="s">
        <v>15046</v>
      </c>
      <c r="Y839" t="s">
        <v>15047</v>
      </c>
      <c r="Z839" t="s">
        <v>15048</v>
      </c>
      <c r="AA839" t="s">
        <v>15049</v>
      </c>
      <c r="AB839" t="s">
        <v>15050</v>
      </c>
      <c r="AC839" t="s">
        <v>15051</v>
      </c>
      <c r="AD839" t="s">
        <v>15052</v>
      </c>
      <c r="AE839" t="s">
        <v>15053</v>
      </c>
      <c r="AF839" t="s">
        <v>74</v>
      </c>
      <c r="AG839">
        <v>71</v>
      </c>
      <c r="AH839">
        <v>50</v>
      </c>
      <c r="AI839">
        <v>54</v>
      </c>
      <c r="AJ839">
        <v>0</v>
      </c>
      <c r="AK839">
        <v>13</v>
      </c>
      <c r="AL839" t="s">
        <v>305</v>
      </c>
      <c r="AM839" t="s">
        <v>281</v>
      </c>
      <c r="AN839" t="s">
        <v>306</v>
      </c>
      <c r="AO839" t="s">
        <v>8571</v>
      </c>
      <c r="AP839" t="s">
        <v>8572</v>
      </c>
      <c r="AQ839" t="s">
        <v>74</v>
      </c>
      <c r="AR839" t="s">
        <v>8573</v>
      </c>
      <c r="AS839" t="s">
        <v>8574</v>
      </c>
      <c r="AT839" t="s">
        <v>13544</v>
      </c>
      <c r="AU839">
        <v>2009</v>
      </c>
      <c r="AV839">
        <v>172</v>
      </c>
      <c r="AW839" t="s">
        <v>180</v>
      </c>
      <c r="AX839" t="s">
        <v>74</v>
      </c>
      <c r="AY839" t="s">
        <v>74</v>
      </c>
      <c r="AZ839" t="s">
        <v>74</v>
      </c>
      <c r="BA839" t="s">
        <v>74</v>
      </c>
      <c r="BB839">
        <v>25</v>
      </c>
      <c r="BC839">
        <v>45</v>
      </c>
      <c r="BD839" t="s">
        <v>74</v>
      </c>
      <c r="BE839" t="s">
        <v>15054</v>
      </c>
      <c r="BF839" t="str">
        <f>HYPERLINK("http://dx.doi.org/10.1016/j.precamres.2009.03.008","http://dx.doi.org/10.1016/j.precamres.2009.03.008")</f>
        <v>http://dx.doi.org/10.1016/j.precamres.2009.03.008</v>
      </c>
      <c r="BG839" t="s">
        <v>74</v>
      </c>
      <c r="BH839" t="s">
        <v>74</v>
      </c>
      <c r="BI839">
        <v>21</v>
      </c>
      <c r="BJ839" t="s">
        <v>464</v>
      </c>
      <c r="BK839" t="s">
        <v>98</v>
      </c>
      <c r="BL839" t="s">
        <v>465</v>
      </c>
      <c r="BM839" t="s">
        <v>15055</v>
      </c>
      <c r="BN839" t="s">
        <v>74</v>
      </c>
      <c r="BO839" t="s">
        <v>74</v>
      </c>
      <c r="BP839" t="s">
        <v>74</v>
      </c>
      <c r="BQ839" t="s">
        <v>74</v>
      </c>
      <c r="BR839" t="s">
        <v>101</v>
      </c>
      <c r="BS839" t="s">
        <v>15056</v>
      </c>
      <c r="BT839" t="str">
        <f>HYPERLINK("https%3A%2F%2Fwww.webofscience.com%2Fwos%2Fwoscc%2Ffull-record%2FWOS:000267148900002","View Full Record in Web of Science")</f>
        <v>View Full Record in Web of Science</v>
      </c>
    </row>
    <row r="840" spans="1:72" x14ac:dyDescent="0.15">
      <c r="A840" t="s">
        <v>72</v>
      </c>
      <c r="B840" t="s">
        <v>15057</v>
      </c>
      <c r="C840" t="s">
        <v>74</v>
      </c>
      <c r="D840" t="s">
        <v>74</v>
      </c>
      <c r="E840" t="s">
        <v>74</v>
      </c>
      <c r="F840" t="s">
        <v>15058</v>
      </c>
      <c r="G840" t="s">
        <v>74</v>
      </c>
      <c r="H840" t="s">
        <v>74</v>
      </c>
      <c r="I840" t="s">
        <v>15059</v>
      </c>
      <c r="J840" t="s">
        <v>15060</v>
      </c>
      <c r="K840" t="s">
        <v>74</v>
      </c>
      <c r="L840" t="s">
        <v>74</v>
      </c>
      <c r="M840" t="s">
        <v>78</v>
      </c>
      <c r="N840" t="s">
        <v>79</v>
      </c>
      <c r="O840" t="s">
        <v>74</v>
      </c>
      <c r="P840" t="s">
        <v>74</v>
      </c>
      <c r="Q840" t="s">
        <v>74</v>
      </c>
      <c r="R840" t="s">
        <v>74</v>
      </c>
      <c r="S840" t="s">
        <v>74</v>
      </c>
      <c r="T840" t="s">
        <v>15061</v>
      </c>
      <c r="U840" t="s">
        <v>15062</v>
      </c>
      <c r="V840" t="s">
        <v>15063</v>
      </c>
      <c r="W840" t="s">
        <v>15064</v>
      </c>
      <c r="X840" t="s">
        <v>15065</v>
      </c>
      <c r="Y840" t="s">
        <v>15066</v>
      </c>
      <c r="Z840" t="s">
        <v>15067</v>
      </c>
      <c r="AA840" t="s">
        <v>15068</v>
      </c>
      <c r="AB840" t="s">
        <v>15069</v>
      </c>
      <c r="AC840" t="s">
        <v>15070</v>
      </c>
      <c r="AD840" t="s">
        <v>15071</v>
      </c>
      <c r="AE840" t="s">
        <v>15072</v>
      </c>
      <c r="AF840" t="s">
        <v>74</v>
      </c>
      <c r="AG840">
        <v>40</v>
      </c>
      <c r="AH840">
        <v>22</v>
      </c>
      <c r="AI840">
        <v>22</v>
      </c>
      <c r="AJ840">
        <v>0</v>
      </c>
      <c r="AK840">
        <v>15</v>
      </c>
      <c r="AL840" t="s">
        <v>1226</v>
      </c>
      <c r="AM840" t="s">
        <v>684</v>
      </c>
      <c r="AN840" t="s">
        <v>1227</v>
      </c>
      <c r="AO840" t="s">
        <v>15073</v>
      </c>
      <c r="AP840" t="s">
        <v>15074</v>
      </c>
      <c r="AQ840" t="s">
        <v>74</v>
      </c>
      <c r="AR840" t="s">
        <v>15075</v>
      </c>
      <c r="AS840" t="s">
        <v>15076</v>
      </c>
      <c r="AT840" t="s">
        <v>13544</v>
      </c>
      <c r="AU840">
        <v>2009</v>
      </c>
      <c r="AV840">
        <v>72</v>
      </c>
      <c r="AW840">
        <v>1</v>
      </c>
      <c r="AX840" t="s">
        <v>74</v>
      </c>
      <c r="AY840" t="s">
        <v>74</v>
      </c>
      <c r="AZ840" t="s">
        <v>74</v>
      </c>
      <c r="BA840" t="s">
        <v>74</v>
      </c>
      <c r="BB840">
        <v>80</v>
      </c>
      <c r="BC840">
        <v>90</v>
      </c>
      <c r="BD840" t="s">
        <v>74</v>
      </c>
      <c r="BE840" t="s">
        <v>15077</v>
      </c>
      <c r="BF840" t="str">
        <f>HYPERLINK("http://dx.doi.org/10.1016/j.yqres.2009.04.001","http://dx.doi.org/10.1016/j.yqres.2009.04.001")</f>
        <v>http://dx.doi.org/10.1016/j.yqres.2009.04.001</v>
      </c>
      <c r="BG840" t="s">
        <v>74</v>
      </c>
      <c r="BH840" t="s">
        <v>74</v>
      </c>
      <c r="BI840">
        <v>11</v>
      </c>
      <c r="BJ840" t="s">
        <v>2121</v>
      </c>
      <c r="BK840" t="s">
        <v>98</v>
      </c>
      <c r="BL840" t="s">
        <v>2122</v>
      </c>
      <c r="BM840" t="s">
        <v>15078</v>
      </c>
      <c r="BN840" t="s">
        <v>74</v>
      </c>
      <c r="BO840" t="s">
        <v>74</v>
      </c>
      <c r="BP840" t="s">
        <v>74</v>
      </c>
      <c r="BQ840" t="s">
        <v>74</v>
      </c>
      <c r="BR840" t="s">
        <v>101</v>
      </c>
      <c r="BS840" t="s">
        <v>15079</v>
      </c>
      <c r="BT840" t="str">
        <f>HYPERLINK("https%3A%2F%2Fwww.webofscience.com%2Fwos%2Fwoscc%2Ffull-record%2FWOS:000267231300008","View Full Record in Web of Science")</f>
        <v>View Full Record in Web of Science</v>
      </c>
    </row>
    <row r="841" spans="1:72" x14ac:dyDescent="0.15">
      <c r="A841" t="s">
        <v>72</v>
      </c>
      <c r="B841" t="s">
        <v>15080</v>
      </c>
      <c r="C841" t="s">
        <v>74</v>
      </c>
      <c r="D841" t="s">
        <v>74</v>
      </c>
      <c r="E841" t="s">
        <v>74</v>
      </c>
      <c r="F841" t="s">
        <v>15081</v>
      </c>
      <c r="G841" t="s">
        <v>74</v>
      </c>
      <c r="H841" t="s">
        <v>74</v>
      </c>
      <c r="I841" t="s">
        <v>15082</v>
      </c>
      <c r="J841" t="s">
        <v>10895</v>
      </c>
      <c r="K841" t="s">
        <v>74</v>
      </c>
      <c r="L841" t="s">
        <v>74</v>
      </c>
      <c r="M841" t="s">
        <v>78</v>
      </c>
      <c r="N841" t="s">
        <v>79</v>
      </c>
      <c r="O841" t="s">
        <v>74</v>
      </c>
      <c r="P841" t="s">
        <v>74</v>
      </c>
      <c r="Q841" t="s">
        <v>74</v>
      </c>
      <c r="R841" t="s">
        <v>74</v>
      </c>
      <c r="S841" t="s">
        <v>74</v>
      </c>
      <c r="T841" t="s">
        <v>74</v>
      </c>
      <c r="U841" t="s">
        <v>74</v>
      </c>
      <c r="V841" t="s">
        <v>15083</v>
      </c>
      <c r="W841" t="s">
        <v>10897</v>
      </c>
      <c r="X841" t="s">
        <v>10898</v>
      </c>
      <c r="Y841" t="s">
        <v>15084</v>
      </c>
      <c r="Z841" t="s">
        <v>74</v>
      </c>
      <c r="AA841" t="s">
        <v>15085</v>
      </c>
      <c r="AB841" t="s">
        <v>15086</v>
      </c>
      <c r="AC841" t="s">
        <v>15087</v>
      </c>
      <c r="AD841" t="s">
        <v>2800</v>
      </c>
      <c r="AE841" t="s">
        <v>15088</v>
      </c>
      <c r="AF841" t="s">
        <v>74</v>
      </c>
      <c r="AG841">
        <v>9</v>
      </c>
      <c r="AH841">
        <v>0</v>
      </c>
      <c r="AI841">
        <v>0</v>
      </c>
      <c r="AJ841">
        <v>0</v>
      </c>
      <c r="AK841">
        <v>3</v>
      </c>
      <c r="AL841" t="s">
        <v>3007</v>
      </c>
      <c r="AM841" t="s">
        <v>3008</v>
      </c>
      <c r="AN841" t="s">
        <v>3009</v>
      </c>
      <c r="AO841" t="s">
        <v>10904</v>
      </c>
      <c r="AP841" t="s">
        <v>15089</v>
      </c>
      <c r="AQ841" t="s">
        <v>74</v>
      </c>
      <c r="AR841" t="s">
        <v>15090</v>
      </c>
      <c r="AS841" t="s">
        <v>10906</v>
      </c>
      <c r="AT841" t="s">
        <v>13544</v>
      </c>
      <c r="AU841">
        <v>2009</v>
      </c>
      <c r="AV841">
        <v>34</v>
      </c>
      <c r="AW841">
        <v>7</v>
      </c>
      <c r="AX841" t="s">
        <v>74</v>
      </c>
      <c r="AY841" t="s">
        <v>74</v>
      </c>
      <c r="AZ841" t="s">
        <v>74</v>
      </c>
      <c r="BA841" t="s">
        <v>74</v>
      </c>
      <c r="BB841">
        <v>464</v>
      </c>
      <c r="BC841">
        <v>472</v>
      </c>
      <c r="BD841" t="s">
        <v>74</v>
      </c>
      <c r="BE841" t="s">
        <v>15091</v>
      </c>
      <c r="BF841" t="str">
        <f>HYPERLINK("http://dx.doi.org/10.3103/S1068373909070061","http://dx.doi.org/10.3103/S1068373909070061")</f>
        <v>http://dx.doi.org/10.3103/S1068373909070061</v>
      </c>
      <c r="BG841" t="s">
        <v>74</v>
      </c>
      <c r="BH841" t="s">
        <v>74</v>
      </c>
      <c r="BI841">
        <v>9</v>
      </c>
      <c r="BJ841" t="s">
        <v>413</v>
      </c>
      <c r="BK841" t="s">
        <v>98</v>
      </c>
      <c r="BL841" t="s">
        <v>413</v>
      </c>
      <c r="BM841" t="s">
        <v>15092</v>
      </c>
      <c r="BN841" t="s">
        <v>74</v>
      </c>
      <c r="BO841" t="s">
        <v>74</v>
      </c>
      <c r="BP841" t="s">
        <v>74</v>
      </c>
      <c r="BQ841" t="s">
        <v>74</v>
      </c>
      <c r="BR841" t="s">
        <v>101</v>
      </c>
      <c r="BS841" t="s">
        <v>15093</v>
      </c>
      <c r="BT841" t="str">
        <f>HYPERLINK("https%3A%2F%2Fwww.webofscience.com%2Fwos%2Fwoscc%2Ffull-record%2FWOS:000270190900006","View Full Record in Web of Science")</f>
        <v>View Full Record in Web of Science</v>
      </c>
    </row>
    <row r="842" spans="1:72" x14ac:dyDescent="0.15">
      <c r="A842" t="s">
        <v>72</v>
      </c>
      <c r="B842" t="s">
        <v>15094</v>
      </c>
      <c r="C842" t="s">
        <v>74</v>
      </c>
      <c r="D842" t="s">
        <v>74</v>
      </c>
      <c r="E842" t="s">
        <v>74</v>
      </c>
      <c r="F842" t="s">
        <v>15095</v>
      </c>
      <c r="G842" t="s">
        <v>74</v>
      </c>
      <c r="H842" t="s">
        <v>74</v>
      </c>
      <c r="I842" t="s">
        <v>15096</v>
      </c>
      <c r="J842" t="s">
        <v>8771</v>
      </c>
      <c r="K842" t="s">
        <v>74</v>
      </c>
      <c r="L842" t="s">
        <v>74</v>
      </c>
      <c r="M842" t="s">
        <v>78</v>
      </c>
      <c r="N842" t="s">
        <v>79</v>
      </c>
      <c r="O842" t="s">
        <v>74</v>
      </c>
      <c r="P842" t="s">
        <v>74</v>
      </c>
      <c r="Q842" t="s">
        <v>74</v>
      </c>
      <c r="R842" t="s">
        <v>74</v>
      </c>
      <c r="S842" t="s">
        <v>74</v>
      </c>
      <c r="T842" t="s">
        <v>15097</v>
      </c>
      <c r="U842" t="s">
        <v>15098</v>
      </c>
      <c r="V842" t="s">
        <v>15099</v>
      </c>
      <c r="W842" t="s">
        <v>15100</v>
      </c>
      <c r="X842" t="s">
        <v>15101</v>
      </c>
      <c r="Y842" t="s">
        <v>15102</v>
      </c>
      <c r="Z842" t="s">
        <v>15103</v>
      </c>
      <c r="AA842" t="s">
        <v>15104</v>
      </c>
      <c r="AB842" t="s">
        <v>15105</v>
      </c>
      <c r="AC842" t="s">
        <v>15106</v>
      </c>
      <c r="AD842" t="s">
        <v>15107</v>
      </c>
      <c r="AE842" t="s">
        <v>15108</v>
      </c>
      <c r="AF842" t="s">
        <v>74</v>
      </c>
      <c r="AG842">
        <v>54</v>
      </c>
      <c r="AH842">
        <v>81</v>
      </c>
      <c r="AI842">
        <v>96</v>
      </c>
      <c r="AJ842">
        <v>2</v>
      </c>
      <c r="AK842">
        <v>72</v>
      </c>
      <c r="AL842" t="s">
        <v>1894</v>
      </c>
      <c r="AM842" t="s">
        <v>1895</v>
      </c>
      <c r="AN842" t="s">
        <v>1896</v>
      </c>
      <c r="AO842" t="s">
        <v>8781</v>
      </c>
      <c r="AP842" t="s">
        <v>74</v>
      </c>
      <c r="AQ842" t="s">
        <v>74</v>
      </c>
      <c r="AR842" t="s">
        <v>8783</v>
      </c>
      <c r="AS842" t="s">
        <v>8784</v>
      </c>
      <c r="AT842" t="s">
        <v>13544</v>
      </c>
      <c r="AU842">
        <v>2009</v>
      </c>
      <c r="AV842">
        <v>41</v>
      </c>
      <c r="AW842">
        <v>7</v>
      </c>
      <c r="AX842" t="s">
        <v>74</v>
      </c>
      <c r="AY842" t="s">
        <v>74</v>
      </c>
      <c r="AZ842" t="s">
        <v>74</v>
      </c>
      <c r="BA842" t="s">
        <v>74</v>
      </c>
      <c r="BB842">
        <v>1510</v>
      </c>
      <c r="BC842">
        <v>1517</v>
      </c>
      <c r="BD842" t="s">
        <v>74</v>
      </c>
      <c r="BE842" t="s">
        <v>15109</v>
      </c>
      <c r="BF842" t="str">
        <f>HYPERLINK("http://dx.doi.org/10.1016/j.soilbio.2009.04.011","http://dx.doi.org/10.1016/j.soilbio.2009.04.011")</f>
        <v>http://dx.doi.org/10.1016/j.soilbio.2009.04.011</v>
      </c>
      <c r="BG842" t="s">
        <v>74</v>
      </c>
      <c r="BH842" t="s">
        <v>74</v>
      </c>
      <c r="BI842">
        <v>8</v>
      </c>
      <c r="BJ842" t="s">
        <v>8786</v>
      </c>
      <c r="BK842" t="s">
        <v>98</v>
      </c>
      <c r="BL842" t="s">
        <v>8787</v>
      </c>
      <c r="BM842" t="s">
        <v>15110</v>
      </c>
      <c r="BN842" t="s">
        <v>74</v>
      </c>
      <c r="BO842" t="s">
        <v>74</v>
      </c>
      <c r="BP842" t="s">
        <v>74</v>
      </c>
      <c r="BQ842" t="s">
        <v>74</v>
      </c>
      <c r="BR842" t="s">
        <v>101</v>
      </c>
      <c r="BS842" t="s">
        <v>15111</v>
      </c>
      <c r="BT842" t="str">
        <f>HYPERLINK("https%3A%2F%2Fwww.webofscience.com%2Fwos%2Fwoscc%2Ffull-record%2FWOS:000267775300018","View Full Record in Web of Science")</f>
        <v>View Full Record in Web of Science</v>
      </c>
    </row>
    <row r="843" spans="1:72" x14ac:dyDescent="0.15">
      <c r="A843" t="s">
        <v>72</v>
      </c>
      <c r="B843" t="s">
        <v>15112</v>
      </c>
      <c r="C843" t="s">
        <v>74</v>
      </c>
      <c r="D843" t="s">
        <v>74</v>
      </c>
      <c r="E843" t="s">
        <v>74</v>
      </c>
      <c r="F843" t="s">
        <v>15113</v>
      </c>
      <c r="G843" t="s">
        <v>74</v>
      </c>
      <c r="H843" t="s">
        <v>74</v>
      </c>
      <c r="I843" t="s">
        <v>15114</v>
      </c>
      <c r="J843" t="s">
        <v>15115</v>
      </c>
      <c r="K843" t="s">
        <v>74</v>
      </c>
      <c r="L843" t="s">
        <v>74</v>
      </c>
      <c r="M843" t="s">
        <v>78</v>
      </c>
      <c r="N843" t="s">
        <v>79</v>
      </c>
      <c r="O843" t="s">
        <v>74</v>
      </c>
      <c r="P843" t="s">
        <v>74</v>
      </c>
      <c r="Q843" t="s">
        <v>74</v>
      </c>
      <c r="R843" t="s">
        <v>74</v>
      </c>
      <c r="S843" t="s">
        <v>74</v>
      </c>
      <c r="T843" t="s">
        <v>15116</v>
      </c>
      <c r="U843" t="s">
        <v>15117</v>
      </c>
      <c r="V843" t="s">
        <v>15118</v>
      </c>
      <c r="W843" t="s">
        <v>15119</v>
      </c>
      <c r="X843" t="s">
        <v>15120</v>
      </c>
      <c r="Y843" t="s">
        <v>84</v>
      </c>
      <c r="Z843" t="s">
        <v>15121</v>
      </c>
      <c r="AA843" t="s">
        <v>15122</v>
      </c>
      <c r="AB843" t="s">
        <v>15123</v>
      </c>
      <c r="AC843" t="s">
        <v>15124</v>
      </c>
      <c r="AD843" t="s">
        <v>15124</v>
      </c>
      <c r="AE843" t="s">
        <v>15125</v>
      </c>
      <c r="AF843" t="s">
        <v>74</v>
      </c>
      <c r="AG843">
        <v>33</v>
      </c>
      <c r="AH843">
        <v>5</v>
      </c>
      <c r="AI843">
        <v>5</v>
      </c>
      <c r="AJ843">
        <v>1</v>
      </c>
      <c r="AK843">
        <v>14</v>
      </c>
      <c r="AL843" t="s">
        <v>15126</v>
      </c>
      <c r="AM843" t="s">
        <v>15127</v>
      </c>
      <c r="AN843" t="s">
        <v>15128</v>
      </c>
      <c r="AO843" t="s">
        <v>15129</v>
      </c>
      <c r="AP843" t="s">
        <v>15130</v>
      </c>
      <c r="AQ843" t="s">
        <v>74</v>
      </c>
      <c r="AR843" t="s">
        <v>15131</v>
      </c>
      <c r="AS843" t="s">
        <v>15132</v>
      </c>
      <c r="AT843" t="s">
        <v>13671</v>
      </c>
      <c r="AU843">
        <v>2009</v>
      </c>
      <c r="AV843">
        <v>105</v>
      </c>
      <c r="AW843" t="s">
        <v>15133</v>
      </c>
      <c r="AX843" t="s">
        <v>74</v>
      </c>
      <c r="AY843" t="s">
        <v>74</v>
      </c>
      <c r="AZ843" t="s">
        <v>74</v>
      </c>
      <c r="BA843" t="s">
        <v>74</v>
      </c>
      <c r="BB843">
        <v>317</v>
      </c>
      <c r="BC843">
        <v>320</v>
      </c>
      <c r="BD843" t="s">
        <v>74</v>
      </c>
      <c r="BE843" t="s">
        <v>74</v>
      </c>
      <c r="BF843" t="s">
        <v>74</v>
      </c>
      <c r="BG843" t="s">
        <v>74</v>
      </c>
      <c r="BH843" t="s">
        <v>74</v>
      </c>
      <c r="BI843">
        <v>4</v>
      </c>
      <c r="BJ843" t="s">
        <v>388</v>
      </c>
      <c r="BK843" t="s">
        <v>98</v>
      </c>
      <c r="BL843" t="s">
        <v>389</v>
      </c>
      <c r="BM843" t="s">
        <v>15134</v>
      </c>
      <c r="BN843" t="s">
        <v>74</v>
      </c>
      <c r="BO843" t="s">
        <v>74</v>
      </c>
      <c r="BP843" t="s">
        <v>74</v>
      </c>
      <c r="BQ843" t="s">
        <v>74</v>
      </c>
      <c r="BR843" t="s">
        <v>101</v>
      </c>
      <c r="BS843" t="s">
        <v>15135</v>
      </c>
      <c r="BT843" t="str">
        <f>HYPERLINK("https%3A%2F%2Fwww.webofscience.com%2Fwos%2Fwoscc%2Ffull-record%2FWOS:000270376500021","View Full Record in Web of Science")</f>
        <v>View Full Record in Web of Science</v>
      </c>
    </row>
    <row r="844" spans="1:72" x14ac:dyDescent="0.15">
      <c r="A844" t="s">
        <v>72</v>
      </c>
      <c r="B844" t="s">
        <v>15136</v>
      </c>
      <c r="C844" t="s">
        <v>74</v>
      </c>
      <c r="D844" t="s">
        <v>74</v>
      </c>
      <c r="E844" t="s">
        <v>74</v>
      </c>
      <c r="F844" t="s">
        <v>15137</v>
      </c>
      <c r="G844" t="s">
        <v>74</v>
      </c>
      <c r="H844" t="s">
        <v>74</v>
      </c>
      <c r="I844" t="s">
        <v>15138</v>
      </c>
      <c r="J844" t="s">
        <v>15139</v>
      </c>
      <c r="K844" t="s">
        <v>74</v>
      </c>
      <c r="L844" t="s">
        <v>74</v>
      </c>
      <c r="M844" t="s">
        <v>78</v>
      </c>
      <c r="N844" t="s">
        <v>79</v>
      </c>
      <c r="O844" t="s">
        <v>74</v>
      </c>
      <c r="P844" t="s">
        <v>74</v>
      </c>
      <c r="Q844" t="s">
        <v>74</v>
      </c>
      <c r="R844" t="s">
        <v>74</v>
      </c>
      <c r="S844" t="s">
        <v>74</v>
      </c>
      <c r="T844" t="s">
        <v>74</v>
      </c>
      <c r="U844" t="s">
        <v>15140</v>
      </c>
      <c r="V844" t="s">
        <v>74</v>
      </c>
      <c r="W844" t="s">
        <v>15141</v>
      </c>
      <c r="X844" t="s">
        <v>725</v>
      </c>
      <c r="Y844" t="s">
        <v>15142</v>
      </c>
      <c r="Z844" t="s">
        <v>15143</v>
      </c>
      <c r="AA844" t="s">
        <v>74</v>
      </c>
      <c r="AB844" t="s">
        <v>74</v>
      </c>
      <c r="AC844" t="s">
        <v>74</v>
      </c>
      <c r="AD844" t="s">
        <v>74</v>
      </c>
      <c r="AE844" t="s">
        <v>74</v>
      </c>
      <c r="AF844" t="s">
        <v>74</v>
      </c>
      <c r="AG844">
        <v>13</v>
      </c>
      <c r="AH844">
        <v>5</v>
      </c>
      <c r="AI844">
        <v>6</v>
      </c>
      <c r="AJ844">
        <v>0</v>
      </c>
      <c r="AK844">
        <v>4</v>
      </c>
      <c r="AL844" t="s">
        <v>9896</v>
      </c>
      <c r="AM844" t="s">
        <v>9897</v>
      </c>
      <c r="AN844" t="s">
        <v>9898</v>
      </c>
      <c r="AO844" t="s">
        <v>15144</v>
      </c>
      <c r="AP844" t="s">
        <v>74</v>
      </c>
      <c r="AQ844" t="s">
        <v>74</v>
      </c>
      <c r="AR844" t="s">
        <v>15139</v>
      </c>
      <c r="AS844" t="s">
        <v>15145</v>
      </c>
      <c r="AT844" t="s">
        <v>13544</v>
      </c>
      <c r="AU844">
        <v>2009</v>
      </c>
      <c r="AV844">
        <v>64</v>
      </c>
      <c r="AW844">
        <v>7</v>
      </c>
      <c r="AX844" t="s">
        <v>74</v>
      </c>
      <c r="AY844" t="s">
        <v>74</v>
      </c>
      <c r="AZ844" t="s">
        <v>74</v>
      </c>
      <c r="BA844" t="s">
        <v>74</v>
      </c>
      <c r="BB844">
        <v>171</v>
      </c>
      <c r="BC844">
        <v>177</v>
      </c>
      <c r="BD844" t="s">
        <v>74</v>
      </c>
      <c r="BE844" t="s">
        <v>15146</v>
      </c>
      <c r="BF844" t="str">
        <f>HYPERLINK("http://dx.doi.org/10.1002/wea.398","http://dx.doi.org/10.1002/wea.398")</f>
        <v>http://dx.doi.org/10.1002/wea.398</v>
      </c>
      <c r="BG844" t="s">
        <v>74</v>
      </c>
      <c r="BH844" t="s">
        <v>74</v>
      </c>
      <c r="BI844">
        <v>7</v>
      </c>
      <c r="BJ844" t="s">
        <v>413</v>
      </c>
      <c r="BK844" t="s">
        <v>98</v>
      </c>
      <c r="BL844" t="s">
        <v>413</v>
      </c>
      <c r="BM844" t="s">
        <v>15147</v>
      </c>
      <c r="BN844" t="s">
        <v>74</v>
      </c>
      <c r="BO844" t="s">
        <v>74</v>
      </c>
      <c r="BP844" t="s">
        <v>74</v>
      </c>
      <c r="BQ844" t="s">
        <v>74</v>
      </c>
      <c r="BR844" t="s">
        <v>101</v>
      </c>
      <c r="BS844" t="s">
        <v>15148</v>
      </c>
      <c r="BT844" t="str">
        <f>HYPERLINK("https%3A%2F%2Fwww.webofscience.com%2Fwos%2Fwoscc%2Ffull-record%2FWOS:000267956500008","View Full Record in Web of Science")</f>
        <v>View Full Record in Web of Science</v>
      </c>
    </row>
    <row r="845" spans="1:72" x14ac:dyDescent="0.15">
      <c r="A845" t="s">
        <v>72</v>
      </c>
      <c r="B845" t="s">
        <v>15149</v>
      </c>
      <c r="C845" t="s">
        <v>74</v>
      </c>
      <c r="D845" t="s">
        <v>74</v>
      </c>
      <c r="E845" t="s">
        <v>74</v>
      </c>
      <c r="F845" t="s">
        <v>15150</v>
      </c>
      <c r="G845" t="s">
        <v>74</v>
      </c>
      <c r="H845" t="s">
        <v>74</v>
      </c>
      <c r="I845" t="s">
        <v>15151</v>
      </c>
      <c r="J845" t="s">
        <v>4020</v>
      </c>
      <c r="K845" t="s">
        <v>74</v>
      </c>
      <c r="L845" t="s">
        <v>74</v>
      </c>
      <c r="M845" t="s">
        <v>78</v>
      </c>
      <c r="N845" t="s">
        <v>79</v>
      </c>
      <c r="O845" t="s">
        <v>74</v>
      </c>
      <c r="P845" t="s">
        <v>74</v>
      </c>
      <c r="Q845" t="s">
        <v>74</v>
      </c>
      <c r="R845" t="s">
        <v>74</v>
      </c>
      <c r="S845" t="s">
        <v>74</v>
      </c>
      <c r="T845" t="s">
        <v>15152</v>
      </c>
      <c r="U845" t="s">
        <v>15153</v>
      </c>
      <c r="V845" t="s">
        <v>15154</v>
      </c>
      <c r="W845" t="s">
        <v>15155</v>
      </c>
      <c r="X845" t="s">
        <v>15156</v>
      </c>
      <c r="Y845" t="s">
        <v>15157</v>
      </c>
      <c r="Z845" t="s">
        <v>15158</v>
      </c>
      <c r="AA845" t="s">
        <v>15159</v>
      </c>
      <c r="AB845" t="s">
        <v>15160</v>
      </c>
      <c r="AC845" t="s">
        <v>15161</v>
      </c>
      <c r="AD845" t="s">
        <v>15162</v>
      </c>
      <c r="AE845" t="s">
        <v>15163</v>
      </c>
      <c r="AF845" t="s">
        <v>74</v>
      </c>
      <c r="AG845">
        <v>74</v>
      </c>
      <c r="AH845">
        <v>49</v>
      </c>
      <c r="AI845">
        <v>55</v>
      </c>
      <c r="AJ845">
        <v>1</v>
      </c>
      <c r="AK845">
        <v>17</v>
      </c>
      <c r="AL845" t="s">
        <v>305</v>
      </c>
      <c r="AM845" t="s">
        <v>281</v>
      </c>
      <c r="AN845" t="s">
        <v>306</v>
      </c>
      <c r="AO845" t="s">
        <v>4033</v>
      </c>
      <c r="AP845" t="s">
        <v>4034</v>
      </c>
      <c r="AQ845" t="s">
        <v>74</v>
      </c>
      <c r="AR845" t="s">
        <v>4035</v>
      </c>
      <c r="AS845" t="s">
        <v>4036</v>
      </c>
      <c r="AT845" t="s">
        <v>15164</v>
      </c>
      <c r="AU845">
        <v>2009</v>
      </c>
      <c r="AV845">
        <v>284</v>
      </c>
      <c r="AW845" t="s">
        <v>180</v>
      </c>
      <c r="AX845" t="s">
        <v>74</v>
      </c>
      <c r="AY845" t="s">
        <v>74</v>
      </c>
      <c r="AZ845" t="s">
        <v>74</v>
      </c>
      <c r="BA845" t="s">
        <v>74</v>
      </c>
      <c r="BB845">
        <v>113</v>
      </c>
      <c r="BC845">
        <v>123</v>
      </c>
      <c r="BD845" t="s">
        <v>74</v>
      </c>
      <c r="BE845" t="s">
        <v>15165</v>
      </c>
      <c r="BF845" t="str">
        <f>HYPERLINK("http://dx.doi.org/10.1016/j.epsl.2009.04.016","http://dx.doi.org/10.1016/j.epsl.2009.04.016")</f>
        <v>http://dx.doi.org/10.1016/j.epsl.2009.04.016</v>
      </c>
      <c r="BG845" t="s">
        <v>74</v>
      </c>
      <c r="BH845" t="s">
        <v>74</v>
      </c>
      <c r="BI845">
        <v>11</v>
      </c>
      <c r="BJ845" t="s">
        <v>261</v>
      </c>
      <c r="BK845" t="s">
        <v>98</v>
      </c>
      <c r="BL845" t="s">
        <v>261</v>
      </c>
      <c r="BM845" t="s">
        <v>15166</v>
      </c>
      <c r="BN845" t="s">
        <v>74</v>
      </c>
      <c r="BO845" t="s">
        <v>74</v>
      </c>
      <c r="BP845" t="s">
        <v>74</v>
      </c>
      <c r="BQ845" t="s">
        <v>74</v>
      </c>
      <c r="BR845" t="s">
        <v>101</v>
      </c>
      <c r="BS845" t="s">
        <v>15167</v>
      </c>
      <c r="BT845" t="str">
        <f>HYPERLINK("https%3A%2F%2Fwww.webofscience.com%2Fwos%2Fwoscc%2Ffull-record%2FWOS:000268438900013","View Full Record in Web of Science")</f>
        <v>View Full Record in Web of Science</v>
      </c>
    </row>
    <row r="846" spans="1:72" x14ac:dyDescent="0.15">
      <c r="A846" t="s">
        <v>72</v>
      </c>
      <c r="B846" t="s">
        <v>15168</v>
      </c>
      <c r="C846" t="s">
        <v>74</v>
      </c>
      <c r="D846" t="s">
        <v>74</v>
      </c>
      <c r="E846" t="s">
        <v>74</v>
      </c>
      <c r="F846" t="s">
        <v>15169</v>
      </c>
      <c r="G846" t="s">
        <v>74</v>
      </c>
      <c r="H846" t="s">
        <v>74</v>
      </c>
      <c r="I846" t="s">
        <v>15170</v>
      </c>
      <c r="J846" t="s">
        <v>4020</v>
      </c>
      <c r="K846" t="s">
        <v>74</v>
      </c>
      <c r="L846" t="s">
        <v>74</v>
      </c>
      <c r="M846" t="s">
        <v>78</v>
      </c>
      <c r="N846" t="s">
        <v>79</v>
      </c>
      <c r="O846" t="s">
        <v>74</v>
      </c>
      <c r="P846" t="s">
        <v>74</v>
      </c>
      <c r="Q846" t="s">
        <v>74</v>
      </c>
      <c r="R846" t="s">
        <v>74</v>
      </c>
      <c r="S846" t="s">
        <v>74</v>
      </c>
      <c r="T846" t="s">
        <v>15171</v>
      </c>
      <c r="U846" t="s">
        <v>15172</v>
      </c>
      <c r="V846" t="s">
        <v>15173</v>
      </c>
      <c r="W846" t="s">
        <v>15174</v>
      </c>
      <c r="X846" t="s">
        <v>15175</v>
      </c>
      <c r="Y846" t="s">
        <v>15176</v>
      </c>
      <c r="Z846" t="s">
        <v>15177</v>
      </c>
      <c r="AA846" t="s">
        <v>74</v>
      </c>
      <c r="AB846" t="s">
        <v>74</v>
      </c>
      <c r="AC846" t="s">
        <v>15178</v>
      </c>
      <c r="AD846" t="s">
        <v>15179</v>
      </c>
      <c r="AE846" t="s">
        <v>15180</v>
      </c>
      <c r="AF846" t="s">
        <v>74</v>
      </c>
      <c r="AG846">
        <v>48</v>
      </c>
      <c r="AH846">
        <v>2</v>
      </c>
      <c r="AI846">
        <v>2</v>
      </c>
      <c r="AJ846">
        <v>0</v>
      </c>
      <c r="AK846">
        <v>4</v>
      </c>
      <c r="AL846" t="s">
        <v>305</v>
      </c>
      <c r="AM846" t="s">
        <v>281</v>
      </c>
      <c r="AN846" t="s">
        <v>306</v>
      </c>
      <c r="AO846" t="s">
        <v>4033</v>
      </c>
      <c r="AP846" t="s">
        <v>4034</v>
      </c>
      <c r="AQ846" t="s">
        <v>74</v>
      </c>
      <c r="AR846" t="s">
        <v>4035</v>
      </c>
      <c r="AS846" t="s">
        <v>4036</v>
      </c>
      <c r="AT846" t="s">
        <v>15164</v>
      </c>
      <c r="AU846">
        <v>2009</v>
      </c>
      <c r="AV846">
        <v>284</v>
      </c>
      <c r="AW846" t="s">
        <v>180</v>
      </c>
      <c r="AX846" t="s">
        <v>74</v>
      </c>
      <c r="AY846" t="s">
        <v>74</v>
      </c>
      <c r="AZ846" t="s">
        <v>74</v>
      </c>
      <c r="BA846" t="s">
        <v>74</v>
      </c>
      <c r="BB846">
        <v>208</v>
      </c>
      <c r="BC846">
        <v>218</v>
      </c>
      <c r="BD846" t="s">
        <v>74</v>
      </c>
      <c r="BE846" t="s">
        <v>15181</v>
      </c>
      <c r="BF846" t="str">
        <f>HYPERLINK("http://dx.doi.org/10.1016/j.epsl.2009.04.030","http://dx.doi.org/10.1016/j.epsl.2009.04.030")</f>
        <v>http://dx.doi.org/10.1016/j.epsl.2009.04.030</v>
      </c>
      <c r="BG846" t="s">
        <v>74</v>
      </c>
      <c r="BH846" t="s">
        <v>74</v>
      </c>
      <c r="BI846">
        <v>11</v>
      </c>
      <c r="BJ846" t="s">
        <v>261</v>
      </c>
      <c r="BK846" t="s">
        <v>98</v>
      </c>
      <c r="BL846" t="s">
        <v>261</v>
      </c>
      <c r="BM846" t="s">
        <v>15166</v>
      </c>
      <c r="BN846" t="s">
        <v>74</v>
      </c>
      <c r="BO846" t="s">
        <v>74</v>
      </c>
      <c r="BP846" t="s">
        <v>74</v>
      </c>
      <c r="BQ846" t="s">
        <v>74</v>
      </c>
      <c r="BR846" t="s">
        <v>101</v>
      </c>
      <c r="BS846" t="s">
        <v>15182</v>
      </c>
      <c r="BT846" t="str">
        <f>HYPERLINK("https%3A%2F%2Fwww.webofscience.com%2Fwos%2Fwoscc%2Ffull-record%2FWOS:000268438900023","View Full Record in Web of Science")</f>
        <v>View Full Record in Web of Science</v>
      </c>
    </row>
    <row r="847" spans="1:72" x14ac:dyDescent="0.15">
      <c r="A847" t="s">
        <v>72</v>
      </c>
      <c r="B847" t="s">
        <v>15183</v>
      </c>
      <c r="C847" t="s">
        <v>74</v>
      </c>
      <c r="D847" t="s">
        <v>74</v>
      </c>
      <c r="E847" t="s">
        <v>74</v>
      </c>
      <c r="F847" t="s">
        <v>15184</v>
      </c>
      <c r="G847" t="s">
        <v>74</v>
      </c>
      <c r="H847" t="s">
        <v>74</v>
      </c>
      <c r="I847" t="s">
        <v>15185</v>
      </c>
      <c r="J847" t="s">
        <v>214</v>
      </c>
      <c r="K847" t="s">
        <v>74</v>
      </c>
      <c r="L847" t="s">
        <v>74</v>
      </c>
      <c r="M847" t="s">
        <v>78</v>
      </c>
      <c r="N847" t="s">
        <v>79</v>
      </c>
      <c r="O847" t="s">
        <v>74</v>
      </c>
      <c r="P847" t="s">
        <v>74</v>
      </c>
      <c r="Q847" t="s">
        <v>74</v>
      </c>
      <c r="R847" t="s">
        <v>74</v>
      </c>
      <c r="S847" t="s">
        <v>74</v>
      </c>
      <c r="T847" t="s">
        <v>74</v>
      </c>
      <c r="U847" t="s">
        <v>15186</v>
      </c>
      <c r="V847" t="s">
        <v>15187</v>
      </c>
      <c r="W847" t="s">
        <v>15188</v>
      </c>
      <c r="X847" t="s">
        <v>15189</v>
      </c>
      <c r="Y847" t="s">
        <v>15190</v>
      </c>
      <c r="Z847" t="s">
        <v>15191</v>
      </c>
      <c r="AA847" t="s">
        <v>15192</v>
      </c>
      <c r="AB847" t="s">
        <v>15193</v>
      </c>
      <c r="AC847" t="s">
        <v>15194</v>
      </c>
      <c r="AD847" t="s">
        <v>15195</v>
      </c>
      <c r="AE847" t="s">
        <v>15196</v>
      </c>
      <c r="AF847" t="s">
        <v>74</v>
      </c>
      <c r="AG847">
        <v>41</v>
      </c>
      <c r="AH847">
        <v>49</v>
      </c>
      <c r="AI847">
        <v>52</v>
      </c>
      <c r="AJ847">
        <v>1</v>
      </c>
      <c r="AK847">
        <v>39</v>
      </c>
      <c r="AL847" t="s">
        <v>226</v>
      </c>
      <c r="AM847" t="s">
        <v>227</v>
      </c>
      <c r="AN847" t="s">
        <v>228</v>
      </c>
      <c r="AO847" t="s">
        <v>229</v>
      </c>
      <c r="AP847" t="s">
        <v>230</v>
      </c>
      <c r="AQ847" t="s">
        <v>74</v>
      </c>
      <c r="AR847" t="s">
        <v>231</v>
      </c>
      <c r="AS847" t="s">
        <v>232</v>
      </c>
      <c r="AT847" t="s">
        <v>15164</v>
      </c>
      <c r="AU847">
        <v>2009</v>
      </c>
      <c r="AV847">
        <v>23</v>
      </c>
      <c r="AW847" t="s">
        <v>74</v>
      </c>
      <c r="AX847" t="s">
        <v>74</v>
      </c>
      <c r="AY847" t="s">
        <v>74</v>
      </c>
      <c r="AZ847" t="s">
        <v>74</v>
      </c>
      <c r="BA847" t="s">
        <v>74</v>
      </c>
      <c r="BB847" t="s">
        <v>74</v>
      </c>
      <c r="BC847" t="s">
        <v>74</v>
      </c>
      <c r="BD847" t="s">
        <v>15197</v>
      </c>
      <c r="BE847" t="s">
        <v>15198</v>
      </c>
      <c r="BF847" t="str">
        <f>HYPERLINK("http://dx.doi.org/10.1029/2008GB003268","http://dx.doi.org/10.1029/2008GB003268")</f>
        <v>http://dx.doi.org/10.1029/2008GB003268</v>
      </c>
      <c r="BG847" t="s">
        <v>74</v>
      </c>
      <c r="BH847" t="s">
        <v>74</v>
      </c>
      <c r="BI847">
        <v>13</v>
      </c>
      <c r="BJ847" t="s">
        <v>236</v>
      </c>
      <c r="BK847" t="s">
        <v>98</v>
      </c>
      <c r="BL847" t="s">
        <v>237</v>
      </c>
      <c r="BM847" t="s">
        <v>15199</v>
      </c>
      <c r="BN847" t="s">
        <v>74</v>
      </c>
      <c r="BO847" t="s">
        <v>3849</v>
      </c>
      <c r="BP847" t="s">
        <v>74</v>
      </c>
      <c r="BQ847" t="s">
        <v>74</v>
      </c>
      <c r="BR847" t="s">
        <v>101</v>
      </c>
      <c r="BS847" t="s">
        <v>15200</v>
      </c>
      <c r="BT847" t="str">
        <f>HYPERLINK("https%3A%2F%2Fwww.webofscience.com%2Fwos%2Fwoscc%2Ffull-record%2FWOS:000267642300002","View Full Record in Web of Science")</f>
        <v>View Full Record in Web of Science</v>
      </c>
    </row>
    <row r="848" spans="1:72" x14ac:dyDescent="0.15">
      <c r="A848" t="s">
        <v>72</v>
      </c>
      <c r="B848" t="s">
        <v>15201</v>
      </c>
      <c r="C848" t="s">
        <v>74</v>
      </c>
      <c r="D848" t="s">
        <v>74</v>
      </c>
      <c r="E848" t="s">
        <v>74</v>
      </c>
      <c r="F848" t="s">
        <v>15202</v>
      </c>
      <c r="G848" t="s">
        <v>74</v>
      </c>
      <c r="H848" t="s">
        <v>74</v>
      </c>
      <c r="I848" t="s">
        <v>15203</v>
      </c>
      <c r="J848" t="s">
        <v>2245</v>
      </c>
      <c r="K848" t="s">
        <v>74</v>
      </c>
      <c r="L848" t="s">
        <v>74</v>
      </c>
      <c r="M848" t="s">
        <v>78</v>
      </c>
      <c r="N848" t="s">
        <v>79</v>
      </c>
      <c r="O848" t="s">
        <v>74</v>
      </c>
      <c r="P848" t="s">
        <v>74</v>
      </c>
      <c r="Q848" t="s">
        <v>74</v>
      </c>
      <c r="R848" t="s">
        <v>74</v>
      </c>
      <c r="S848" t="s">
        <v>74</v>
      </c>
      <c r="T848" t="s">
        <v>15204</v>
      </c>
      <c r="U848" t="s">
        <v>15205</v>
      </c>
      <c r="V848" t="s">
        <v>15206</v>
      </c>
      <c r="W848" t="s">
        <v>15207</v>
      </c>
      <c r="X848" t="s">
        <v>15208</v>
      </c>
      <c r="Y848" t="s">
        <v>2430</v>
      </c>
      <c r="Z848" t="s">
        <v>2431</v>
      </c>
      <c r="AA848" t="s">
        <v>15209</v>
      </c>
      <c r="AB848" t="s">
        <v>15210</v>
      </c>
      <c r="AC848" t="s">
        <v>2434</v>
      </c>
      <c r="AD848" t="s">
        <v>2435</v>
      </c>
      <c r="AE848" t="s">
        <v>15211</v>
      </c>
      <c r="AF848" t="s">
        <v>74</v>
      </c>
      <c r="AG848">
        <v>57</v>
      </c>
      <c r="AH848">
        <v>13</v>
      </c>
      <c r="AI848">
        <v>13</v>
      </c>
      <c r="AJ848">
        <v>0</v>
      </c>
      <c r="AK848">
        <v>10</v>
      </c>
      <c r="AL848" t="s">
        <v>1184</v>
      </c>
      <c r="AM848" t="s">
        <v>1185</v>
      </c>
      <c r="AN848" t="s">
        <v>1186</v>
      </c>
      <c r="AO848" t="s">
        <v>2252</v>
      </c>
      <c r="AP848" t="s">
        <v>2253</v>
      </c>
      <c r="AQ848" t="s">
        <v>74</v>
      </c>
      <c r="AR848" t="s">
        <v>2254</v>
      </c>
      <c r="AS848" t="s">
        <v>2255</v>
      </c>
      <c r="AT848" t="s">
        <v>15164</v>
      </c>
      <c r="AU848">
        <v>2009</v>
      </c>
      <c r="AV848">
        <v>29</v>
      </c>
      <c r="AW848">
        <v>8</v>
      </c>
      <c r="AX848" t="s">
        <v>74</v>
      </c>
      <c r="AY848" t="s">
        <v>74</v>
      </c>
      <c r="AZ848" t="s">
        <v>74</v>
      </c>
      <c r="BA848" t="s">
        <v>74</v>
      </c>
      <c r="BB848">
        <v>1116</v>
      </c>
      <c r="BC848">
        <v>1130</v>
      </c>
      <c r="BD848" t="s">
        <v>74</v>
      </c>
      <c r="BE848" t="s">
        <v>15212</v>
      </c>
      <c r="BF848" t="str">
        <f>HYPERLINK("http://dx.doi.org/10.1002/joc.1757","http://dx.doi.org/10.1002/joc.1757")</f>
        <v>http://dx.doi.org/10.1002/joc.1757</v>
      </c>
      <c r="BG848" t="s">
        <v>74</v>
      </c>
      <c r="BH848" t="s">
        <v>74</v>
      </c>
      <c r="BI848">
        <v>15</v>
      </c>
      <c r="BJ848" t="s">
        <v>413</v>
      </c>
      <c r="BK848" t="s">
        <v>98</v>
      </c>
      <c r="BL848" t="s">
        <v>413</v>
      </c>
      <c r="BM848" t="s">
        <v>15213</v>
      </c>
      <c r="BN848" t="s">
        <v>74</v>
      </c>
      <c r="BO848" t="s">
        <v>74</v>
      </c>
      <c r="BP848" t="s">
        <v>74</v>
      </c>
      <c r="BQ848" t="s">
        <v>74</v>
      </c>
      <c r="BR848" t="s">
        <v>101</v>
      </c>
      <c r="BS848" t="s">
        <v>15214</v>
      </c>
      <c r="BT848" t="str">
        <f>HYPERLINK("https%3A%2F%2Fwww.webofscience.com%2Fwos%2Fwoscc%2Ffull-record%2FWOS:000267445800006","View Full Record in Web of Science")</f>
        <v>View Full Record in Web of Science</v>
      </c>
    </row>
    <row r="849" spans="1:72" x14ac:dyDescent="0.15">
      <c r="A849" t="s">
        <v>72</v>
      </c>
      <c r="B849" t="s">
        <v>15215</v>
      </c>
      <c r="C849" t="s">
        <v>74</v>
      </c>
      <c r="D849" t="s">
        <v>74</v>
      </c>
      <c r="E849" t="s">
        <v>74</v>
      </c>
      <c r="F849" t="s">
        <v>15216</v>
      </c>
      <c r="G849" t="s">
        <v>74</v>
      </c>
      <c r="H849" t="s">
        <v>74</v>
      </c>
      <c r="I849" t="s">
        <v>15217</v>
      </c>
      <c r="J849" t="s">
        <v>15218</v>
      </c>
      <c r="K849" t="s">
        <v>74</v>
      </c>
      <c r="L849" t="s">
        <v>74</v>
      </c>
      <c r="M849" t="s">
        <v>78</v>
      </c>
      <c r="N849" t="s">
        <v>79</v>
      </c>
      <c r="O849" t="s">
        <v>74</v>
      </c>
      <c r="P849" t="s">
        <v>74</v>
      </c>
      <c r="Q849" t="s">
        <v>74</v>
      </c>
      <c r="R849" t="s">
        <v>74</v>
      </c>
      <c r="S849" t="s">
        <v>74</v>
      </c>
      <c r="T849" t="s">
        <v>15219</v>
      </c>
      <c r="U849" t="s">
        <v>15220</v>
      </c>
      <c r="V849" t="s">
        <v>15221</v>
      </c>
      <c r="W849" t="s">
        <v>15222</v>
      </c>
      <c r="X849" t="s">
        <v>15223</v>
      </c>
      <c r="Y849" t="s">
        <v>15224</v>
      </c>
      <c r="Z849" t="s">
        <v>15225</v>
      </c>
      <c r="AA849" t="s">
        <v>15226</v>
      </c>
      <c r="AB849" t="s">
        <v>15227</v>
      </c>
      <c r="AC849" t="s">
        <v>15228</v>
      </c>
      <c r="AD849" t="s">
        <v>15229</v>
      </c>
      <c r="AE849" t="s">
        <v>15230</v>
      </c>
      <c r="AF849" t="s">
        <v>74</v>
      </c>
      <c r="AG849">
        <v>9</v>
      </c>
      <c r="AH849">
        <v>6</v>
      </c>
      <c r="AI849">
        <v>7</v>
      </c>
      <c r="AJ849">
        <v>1</v>
      </c>
      <c r="AK849">
        <v>2</v>
      </c>
      <c r="AL849" t="s">
        <v>15231</v>
      </c>
      <c r="AM849" t="s">
        <v>15232</v>
      </c>
      <c r="AN849" t="s">
        <v>15233</v>
      </c>
      <c r="AO849" t="s">
        <v>15234</v>
      </c>
      <c r="AP849" t="s">
        <v>74</v>
      </c>
      <c r="AQ849" t="s">
        <v>74</v>
      </c>
      <c r="AR849" t="s">
        <v>15218</v>
      </c>
      <c r="AS849" t="s">
        <v>15235</v>
      </c>
      <c r="AT849" t="s">
        <v>15164</v>
      </c>
      <c r="AU849">
        <v>2009</v>
      </c>
      <c r="AV849">
        <v>123</v>
      </c>
      <c r="AW849">
        <v>2</v>
      </c>
      <c r="AX849" t="s">
        <v>74</v>
      </c>
      <c r="AY849" t="s">
        <v>74</v>
      </c>
      <c r="AZ849" t="s">
        <v>74</v>
      </c>
      <c r="BA849" t="s">
        <v>74</v>
      </c>
      <c r="BB849">
        <v>49</v>
      </c>
      <c r="BC849">
        <v>52</v>
      </c>
      <c r="BD849" t="s">
        <v>74</v>
      </c>
      <c r="BE849" t="s">
        <v>74</v>
      </c>
      <c r="BF849" t="s">
        <v>74</v>
      </c>
      <c r="BG849" t="s">
        <v>74</v>
      </c>
      <c r="BH849" t="s">
        <v>74</v>
      </c>
      <c r="BI849">
        <v>4</v>
      </c>
      <c r="BJ849" t="s">
        <v>5520</v>
      </c>
      <c r="BK849" t="s">
        <v>98</v>
      </c>
      <c r="BL849" t="s">
        <v>5520</v>
      </c>
      <c r="BM849" t="s">
        <v>15236</v>
      </c>
      <c r="BN849" t="s">
        <v>74</v>
      </c>
      <c r="BO849" t="s">
        <v>74</v>
      </c>
      <c r="BP849" t="s">
        <v>74</v>
      </c>
      <c r="BQ849" t="s">
        <v>74</v>
      </c>
      <c r="BR849" t="s">
        <v>101</v>
      </c>
      <c r="BS849" t="s">
        <v>15237</v>
      </c>
      <c r="BT849" t="str">
        <f>HYPERLINK("https%3A%2F%2Fwww.webofscience.com%2Fwos%2Fwoscc%2Ffull-record%2FWOS:000267634100004","View Full Record in Web of Science")</f>
        <v>View Full Record in Web of Science</v>
      </c>
    </row>
    <row r="850" spans="1:72" x14ac:dyDescent="0.15">
      <c r="A850" t="s">
        <v>72</v>
      </c>
      <c r="B850" t="s">
        <v>15238</v>
      </c>
      <c r="C850" t="s">
        <v>74</v>
      </c>
      <c r="D850" t="s">
        <v>74</v>
      </c>
      <c r="E850" t="s">
        <v>74</v>
      </c>
      <c r="F850" t="s">
        <v>15239</v>
      </c>
      <c r="G850" t="s">
        <v>74</v>
      </c>
      <c r="H850" t="s">
        <v>74</v>
      </c>
      <c r="I850" t="s">
        <v>15240</v>
      </c>
      <c r="J850" t="s">
        <v>395</v>
      </c>
      <c r="K850" t="s">
        <v>74</v>
      </c>
      <c r="L850" t="s">
        <v>74</v>
      </c>
      <c r="M850" t="s">
        <v>78</v>
      </c>
      <c r="N850" t="s">
        <v>79</v>
      </c>
      <c r="O850" t="s">
        <v>74</v>
      </c>
      <c r="P850" t="s">
        <v>74</v>
      </c>
      <c r="Q850" t="s">
        <v>74</v>
      </c>
      <c r="R850" t="s">
        <v>74</v>
      </c>
      <c r="S850" t="s">
        <v>74</v>
      </c>
      <c r="T850" t="s">
        <v>74</v>
      </c>
      <c r="U850" t="s">
        <v>15241</v>
      </c>
      <c r="V850" t="s">
        <v>15242</v>
      </c>
      <c r="W850" t="s">
        <v>15243</v>
      </c>
      <c r="X850" t="s">
        <v>15244</v>
      </c>
      <c r="Y850" t="s">
        <v>15245</v>
      </c>
      <c r="Z850" t="s">
        <v>15246</v>
      </c>
      <c r="AA850" t="s">
        <v>15247</v>
      </c>
      <c r="AB850" t="s">
        <v>15248</v>
      </c>
      <c r="AC850" t="s">
        <v>15249</v>
      </c>
      <c r="AD850" t="s">
        <v>15249</v>
      </c>
      <c r="AE850" t="s">
        <v>15250</v>
      </c>
      <c r="AF850" t="s">
        <v>74</v>
      </c>
      <c r="AG850">
        <v>52</v>
      </c>
      <c r="AH850">
        <v>126</v>
      </c>
      <c r="AI850">
        <v>135</v>
      </c>
      <c r="AJ850">
        <v>1</v>
      </c>
      <c r="AK850">
        <v>50</v>
      </c>
      <c r="AL850" t="s">
        <v>226</v>
      </c>
      <c r="AM850" t="s">
        <v>227</v>
      </c>
      <c r="AN850" t="s">
        <v>228</v>
      </c>
      <c r="AO850" t="s">
        <v>407</v>
      </c>
      <c r="AP850" t="s">
        <v>408</v>
      </c>
      <c r="AQ850" t="s">
        <v>74</v>
      </c>
      <c r="AR850" t="s">
        <v>409</v>
      </c>
      <c r="AS850" t="s">
        <v>410</v>
      </c>
      <c r="AT850" t="s">
        <v>15251</v>
      </c>
      <c r="AU850">
        <v>2009</v>
      </c>
      <c r="AV850">
        <v>114</v>
      </c>
      <c r="AW850" t="s">
        <v>74</v>
      </c>
      <c r="AX850" t="s">
        <v>74</v>
      </c>
      <c r="AY850" t="s">
        <v>74</v>
      </c>
      <c r="AZ850" t="s">
        <v>74</v>
      </c>
      <c r="BA850" t="s">
        <v>74</v>
      </c>
      <c r="BB850" t="s">
        <v>74</v>
      </c>
      <c r="BC850" t="s">
        <v>74</v>
      </c>
      <c r="BD850" t="s">
        <v>15252</v>
      </c>
      <c r="BE850" t="s">
        <v>15253</v>
      </c>
      <c r="BF850" t="str">
        <f>HYPERLINK("http://dx.doi.org/10.1029/2008JD011420","http://dx.doi.org/10.1029/2008JD011420")</f>
        <v>http://dx.doi.org/10.1029/2008JD011420</v>
      </c>
      <c r="BG850" t="s">
        <v>74</v>
      </c>
      <c r="BH850" t="s">
        <v>74</v>
      </c>
      <c r="BI850">
        <v>22</v>
      </c>
      <c r="BJ850" t="s">
        <v>413</v>
      </c>
      <c r="BK850" t="s">
        <v>98</v>
      </c>
      <c r="BL850" t="s">
        <v>413</v>
      </c>
      <c r="BM850" t="s">
        <v>15254</v>
      </c>
      <c r="BN850" t="s">
        <v>74</v>
      </c>
      <c r="BO850" t="s">
        <v>74</v>
      </c>
      <c r="BP850" t="s">
        <v>74</v>
      </c>
      <c r="BQ850" t="s">
        <v>74</v>
      </c>
      <c r="BR850" t="s">
        <v>101</v>
      </c>
      <c r="BS850" t="s">
        <v>15255</v>
      </c>
      <c r="BT850" t="str">
        <f>HYPERLINK("https%3A%2F%2Fwww.webofscience.com%2Fwos%2Fwoscc%2Ffull-record%2FWOS:000267490200003","View Full Record in Web of Science")</f>
        <v>View Full Record in Web of Science</v>
      </c>
    </row>
    <row r="851" spans="1:72" x14ac:dyDescent="0.15">
      <c r="A851" t="s">
        <v>72</v>
      </c>
      <c r="B851" t="s">
        <v>15256</v>
      </c>
      <c r="C851" t="s">
        <v>74</v>
      </c>
      <c r="D851" t="s">
        <v>74</v>
      </c>
      <c r="E851" t="s">
        <v>74</v>
      </c>
      <c r="F851" t="s">
        <v>15257</v>
      </c>
      <c r="G851" t="s">
        <v>74</v>
      </c>
      <c r="H851" t="s">
        <v>74</v>
      </c>
      <c r="I851" t="s">
        <v>15258</v>
      </c>
      <c r="J851" t="s">
        <v>15259</v>
      </c>
      <c r="K851" t="s">
        <v>74</v>
      </c>
      <c r="L851" t="s">
        <v>74</v>
      </c>
      <c r="M851" t="s">
        <v>78</v>
      </c>
      <c r="N851" t="s">
        <v>79</v>
      </c>
      <c r="O851" t="s">
        <v>74</v>
      </c>
      <c r="P851" t="s">
        <v>74</v>
      </c>
      <c r="Q851" t="s">
        <v>74</v>
      </c>
      <c r="R851" t="s">
        <v>74</v>
      </c>
      <c r="S851" t="s">
        <v>74</v>
      </c>
      <c r="T851" t="s">
        <v>15260</v>
      </c>
      <c r="U851" t="s">
        <v>15261</v>
      </c>
      <c r="V851" t="s">
        <v>15262</v>
      </c>
      <c r="W851" t="s">
        <v>15263</v>
      </c>
      <c r="X851" t="s">
        <v>15264</v>
      </c>
      <c r="Y851" t="s">
        <v>14020</v>
      </c>
      <c r="Z851" t="s">
        <v>14021</v>
      </c>
      <c r="AA851" t="s">
        <v>15265</v>
      </c>
      <c r="AB851" t="s">
        <v>15266</v>
      </c>
      <c r="AC851" t="s">
        <v>15267</v>
      </c>
      <c r="AD851" t="s">
        <v>573</v>
      </c>
      <c r="AE851" t="s">
        <v>74</v>
      </c>
      <c r="AF851" t="s">
        <v>74</v>
      </c>
      <c r="AG851">
        <v>54</v>
      </c>
      <c r="AH851">
        <v>27</v>
      </c>
      <c r="AI851">
        <v>28</v>
      </c>
      <c r="AJ851">
        <v>0</v>
      </c>
      <c r="AK851">
        <v>105</v>
      </c>
      <c r="AL851" t="s">
        <v>280</v>
      </c>
      <c r="AM851" t="s">
        <v>281</v>
      </c>
      <c r="AN851" t="s">
        <v>282</v>
      </c>
      <c r="AO851" t="s">
        <v>15268</v>
      </c>
      <c r="AP851" t="s">
        <v>15269</v>
      </c>
      <c r="AQ851" t="s">
        <v>74</v>
      </c>
      <c r="AR851" t="s">
        <v>15270</v>
      </c>
      <c r="AS851" t="s">
        <v>15271</v>
      </c>
      <c r="AT851" t="s">
        <v>15272</v>
      </c>
      <c r="AU851">
        <v>2009</v>
      </c>
      <c r="AV851">
        <v>220</v>
      </c>
      <c r="AW851">
        <v>12</v>
      </c>
      <c r="AX851" t="s">
        <v>74</v>
      </c>
      <c r="AY851" t="s">
        <v>74</v>
      </c>
      <c r="AZ851" t="s">
        <v>74</v>
      </c>
      <c r="BA851" t="s">
        <v>74</v>
      </c>
      <c r="BB851">
        <v>1513</v>
      </c>
      <c r="BC851">
        <v>1521</v>
      </c>
      <c r="BD851" t="s">
        <v>74</v>
      </c>
      <c r="BE851" t="s">
        <v>15273</v>
      </c>
      <c r="BF851" t="str">
        <f>HYPERLINK("http://dx.doi.org/10.1016/j.ecolmodel.2009.03.020","http://dx.doi.org/10.1016/j.ecolmodel.2009.03.020")</f>
        <v>http://dx.doi.org/10.1016/j.ecolmodel.2009.03.020</v>
      </c>
      <c r="BG851" t="s">
        <v>74</v>
      </c>
      <c r="BH851" t="s">
        <v>74</v>
      </c>
      <c r="BI851">
        <v>9</v>
      </c>
      <c r="BJ851" t="s">
        <v>5022</v>
      </c>
      <c r="BK851" t="s">
        <v>98</v>
      </c>
      <c r="BL851" t="s">
        <v>516</v>
      </c>
      <c r="BM851" t="s">
        <v>15274</v>
      </c>
      <c r="BN851" t="s">
        <v>74</v>
      </c>
      <c r="BO851" t="s">
        <v>74</v>
      </c>
      <c r="BP851" t="s">
        <v>74</v>
      </c>
      <c r="BQ851" t="s">
        <v>74</v>
      </c>
      <c r="BR851" t="s">
        <v>101</v>
      </c>
      <c r="BS851" t="s">
        <v>15275</v>
      </c>
      <c r="BT851" t="str">
        <f>HYPERLINK("https%3A%2F%2Fwww.webofscience.com%2Fwos%2Fwoscc%2Ffull-record%2FWOS:000266902700007","View Full Record in Web of Science")</f>
        <v>View Full Record in Web of Science</v>
      </c>
    </row>
    <row r="852" spans="1:72" x14ac:dyDescent="0.15">
      <c r="A852" t="s">
        <v>72</v>
      </c>
      <c r="B852" t="s">
        <v>15276</v>
      </c>
      <c r="C852" t="s">
        <v>74</v>
      </c>
      <c r="D852" t="s">
        <v>74</v>
      </c>
      <c r="E852" t="s">
        <v>74</v>
      </c>
      <c r="F852" t="s">
        <v>15277</v>
      </c>
      <c r="G852" t="s">
        <v>74</v>
      </c>
      <c r="H852" t="s">
        <v>74</v>
      </c>
      <c r="I852" t="s">
        <v>15278</v>
      </c>
      <c r="J852" t="s">
        <v>244</v>
      </c>
      <c r="K852" t="s">
        <v>74</v>
      </c>
      <c r="L852" t="s">
        <v>74</v>
      </c>
      <c r="M852" t="s">
        <v>78</v>
      </c>
      <c r="N852" t="s">
        <v>79</v>
      </c>
      <c r="O852" t="s">
        <v>74</v>
      </c>
      <c r="P852" t="s">
        <v>74</v>
      </c>
      <c r="Q852" t="s">
        <v>74</v>
      </c>
      <c r="R852" t="s">
        <v>74</v>
      </c>
      <c r="S852" t="s">
        <v>74</v>
      </c>
      <c r="T852" t="s">
        <v>74</v>
      </c>
      <c r="U852" t="s">
        <v>15279</v>
      </c>
      <c r="V852" t="s">
        <v>15280</v>
      </c>
      <c r="W852" t="s">
        <v>15281</v>
      </c>
      <c r="X852" t="s">
        <v>15282</v>
      </c>
      <c r="Y852" t="s">
        <v>15283</v>
      </c>
      <c r="Z852" t="s">
        <v>15284</v>
      </c>
      <c r="AA852" t="s">
        <v>15285</v>
      </c>
      <c r="AB852" t="s">
        <v>15286</v>
      </c>
      <c r="AC852" t="s">
        <v>15287</v>
      </c>
      <c r="AD852" t="s">
        <v>15288</v>
      </c>
      <c r="AE852" t="s">
        <v>15289</v>
      </c>
      <c r="AF852" t="s">
        <v>74</v>
      </c>
      <c r="AG852">
        <v>39</v>
      </c>
      <c r="AH852">
        <v>33</v>
      </c>
      <c r="AI852">
        <v>33</v>
      </c>
      <c r="AJ852">
        <v>0</v>
      </c>
      <c r="AK852">
        <v>7</v>
      </c>
      <c r="AL852" t="s">
        <v>226</v>
      </c>
      <c r="AM852" t="s">
        <v>227</v>
      </c>
      <c r="AN852" t="s">
        <v>228</v>
      </c>
      <c r="AO852" t="s">
        <v>255</v>
      </c>
      <c r="AP852" t="s">
        <v>256</v>
      </c>
      <c r="AQ852" t="s">
        <v>74</v>
      </c>
      <c r="AR852" t="s">
        <v>257</v>
      </c>
      <c r="AS852" t="s">
        <v>258</v>
      </c>
      <c r="AT852" t="s">
        <v>15290</v>
      </c>
      <c r="AU852">
        <v>2009</v>
      </c>
      <c r="AV852">
        <v>114</v>
      </c>
      <c r="AW852" t="s">
        <v>74</v>
      </c>
      <c r="AX852" t="s">
        <v>74</v>
      </c>
      <c r="AY852" t="s">
        <v>74</v>
      </c>
      <c r="AZ852" t="s">
        <v>74</v>
      </c>
      <c r="BA852" t="s">
        <v>74</v>
      </c>
      <c r="BB852" t="s">
        <v>74</v>
      </c>
      <c r="BC852" t="s">
        <v>74</v>
      </c>
      <c r="BD852" t="s">
        <v>15291</v>
      </c>
      <c r="BE852" t="s">
        <v>15292</v>
      </c>
      <c r="BF852" t="str">
        <f>HYPERLINK("http://dx.doi.org/10.1029/2008JB006161","http://dx.doi.org/10.1029/2008JB006161")</f>
        <v>http://dx.doi.org/10.1029/2008JB006161</v>
      </c>
      <c r="BG852" t="s">
        <v>74</v>
      </c>
      <c r="BH852" t="s">
        <v>74</v>
      </c>
      <c r="BI852">
        <v>10</v>
      </c>
      <c r="BJ852" t="s">
        <v>261</v>
      </c>
      <c r="BK852" t="s">
        <v>98</v>
      </c>
      <c r="BL852" t="s">
        <v>261</v>
      </c>
      <c r="BM852" t="s">
        <v>15293</v>
      </c>
      <c r="BN852" t="s">
        <v>74</v>
      </c>
      <c r="BO852" t="s">
        <v>263</v>
      </c>
      <c r="BP852" t="s">
        <v>74</v>
      </c>
      <c r="BQ852" t="s">
        <v>74</v>
      </c>
      <c r="BR852" t="s">
        <v>101</v>
      </c>
      <c r="BS852" t="s">
        <v>15294</v>
      </c>
      <c r="BT852" t="str">
        <f>HYPERLINK("https%3A%2F%2Fwww.webofscience.com%2Fwos%2Fwoscc%2Ffull-record%2FWOS:000267491200002","View Full Record in Web of Science")</f>
        <v>View Full Record in Web of Science</v>
      </c>
    </row>
    <row r="853" spans="1:72" x14ac:dyDescent="0.15">
      <c r="A853" t="s">
        <v>72</v>
      </c>
      <c r="B853" t="s">
        <v>15295</v>
      </c>
      <c r="C853" t="s">
        <v>74</v>
      </c>
      <c r="D853" t="s">
        <v>74</v>
      </c>
      <c r="E853" t="s">
        <v>74</v>
      </c>
      <c r="F853" t="s">
        <v>15296</v>
      </c>
      <c r="G853" t="s">
        <v>74</v>
      </c>
      <c r="H853" t="s">
        <v>74</v>
      </c>
      <c r="I853" t="s">
        <v>15297</v>
      </c>
      <c r="J853" t="s">
        <v>11230</v>
      </c>
      <c r="K853" t="s">
        <v>74</v>
      </c>
      <c r="L853" t="s">
        <v>74</v>
      </c>
      <c r="M853" t="s">
        <v>78</v>
      </c>
      <c r="N853" t="s">
        <v>79</v>
      </c>
      <c r="O853" t="s">
        <v>74</v>
      </c>
      <c r="P853" t="s">
        <v>74</v>
      </c>
      <c r="Q853" t="s">
        <v>74</v>
      </c>
      <c r="R853" t="s">
        <v>74</v>
      </c>
      <c r="S853" t="s">
        <v>74</v>
      </c>
      <c r="T853" t="s">
        <v>15298</v>
      </c>
      <c r="U853" t="s">
        <v>15299</v>
      </c>
      <c r="V853" t="s">
        <v>15300</v>
      </c>
      <c r="W853" t="s">
        <v>15301</v>
      </c>
      <c r="X853" t="s">
        <v>15302</v>
      </c>
      <c r="Y853" t="s">
        <v>15303</v>
      </c>
      <c r="Z853" t="s">
        <v>15304</v>
      </c>
      <c r="AA853" t="s">
        <v>15305</v>
      </c>
      <c r="AB853" t="s">
        <v>15306</v>
      </c>
      <c r="AC853" t="s">
        <v>15307</v>
      </c>
      <c r="AD853" t="s">
        <v>15308</v>
      </c>
      <c r="AE853" t="s">
        <v>15309</v>
      </c>
      <c r="AF853" t="s">
        <v>74</v>
      </c>
      <c r="AG853">
        <v>54</v>
      </c>
      <c r="AH853">
        <v>51</v>
      </c>
      <c r="AI853">
        <v>59</v>
      </c>
      <c r="AJ853">
        <v>1</v>
      </c>
      <c r="AK853">
        <v>28</v>
      </c>
      <c r="AL853" t="s">
        <v>305</v>
      </c>
      <c r="AM853" t="s">
        <v>281</v>
      </c>
      <c r="AN853" t="s">
        <v>306</v>
      </c>
      <c r="AO853" t="s">
        <v>11243</v>
      </c>
      <c r="AP853" t="s">
        <v>11244</v>
      </c>
      <c r="AQ853" t="s">
        <v>74</v>
      </c>
      <c r="AR853" t="s">
        <v>11245</v>
      </c>
      <c r="AS853" t="s">
        <v>11246</v>
      </c>
      <c r="AT853" t="s">
        <v>15310</v>
      </c>
      <c r="AU853">
        <v>2009</v>
      </c>
      <c r="AV853">
        <v>115</v>
      </c>
      <c r="AW853" t="s">
        <v>180</v>
      </c>
      <c r="AX853" t="s">
        <v>74</v>
      </c>
      <c r="AY853" t="s">
        <v>74</v>
      </c>
      <c r="AZ853" t="s">
        <v>74</v>
      </c>
      <c r="BA853" t="s">
        <v>74</v>
      </c>
      <c r="BB853">
        <v>59</v>
      </c>
      <c r="BC853">
        <v>65</v>
      </c>
      <c r="BD853" t="s">
        <v>74</v>
      </c>
      <c r="BE853" t="s">
        <v>15311</v>
      </c>
      <c r="BF853" t="str">
        <f>HYPERLINK("http://dx.doi.org/10.1016/j.marchem.2009.06.004","http://dx.doi.org/10.1016/j.marchem.2009.06.004")</f>
        <v>http://dx.doi.org/10.1016/j.marchem.2009.06.004</v>
      </c>
      <c r="BG853" t="s">
        <v>74</v>
      </c>
      <c r="BH853" t="s">
        <v>74</v>
      </c>
      <c r="BI853">
        <v>7</v>
      </c>
      <c r="BJ853" t="s">
        <v>11248</v>
      </c>
      <c r="BK853" t="s">
        <v>98</v>
      </c>
      <c r="BL853" t="s">
        <v>11249</v>
      </c>
      <c r="BM853" t="s">
        <v>15312</v>
      </c>
      <c r="BN853" t="s">
        <v>74</v>
      </c>
      <c r="BO853" t="s">
        <v>74</v>
      </c>
      <c r="BP853" t="s">
        <v>74</v>
      </c>
      <c r="BQ853" t="s">
        <v>74</v>
      </c>
      <c r="BR853" t="s">
        <v>101</v>
      </c>
      <c r="BS853" t="s">
        <v>15313</v>
      </c>
      <c r="BT853" t="str">
        <f>HYPERLINK("https%3A%2F%2Fwww.webofscience.com%2Fwos%2Fwoscc%2Ffull-record%2FWOS:000270265400006","View Full Record in Web of Science")</f>
        <v>View Full Record in Web of Science</v>
      </c>
    </row>
    <row r="854" spans="1:72" x14ac:dyDescent="0.15">
      <c r="A854" t="s">
        <v>72</v>
      </c>
      <c r="B854" t="s">
        <v>15314</v>
      </c>
      <c r="C854" t="s">
        <v>74</v>
      </c>
      <c r="D854" t="s">
        <v>74</v>
      </c>
      <c r="E854" t="s">
        <v>74</v>
      </c>
      <c r="F854" t="s">
        <v>15315</v>
      </c>
      <c r="G854" t="s">
        <v>74</v>
      </c>
      <c r="H854" t="s">
        <v>74</v>
      </c>
      <c r="I854" t="s">
        <v>15316</v>
      </c>
      <c r="J854" t="s">
        <v>721</v>
      </c>
      <c r="K854" t="s">
        <v>74</v>
      </c>
      <c r="L854" t="s">
        <v>74</v>
      </c>
      <c r="M854" t="s">
        <v>78</v>
      </c>
      <c r="N854" t="s">
        <v>79</v>
      </c>
      <c r="O854" t="s">
        <v>74</v>
      </c>
      <c r="P854" t="s">
        <v>74</v>
      </c>
      <c r="Q854" t="s">
        <v>74</v>
      </c>
      <c r="R854" t="s">
        <v>74</v>
      </c>
      <c r="S854" t="s">
        <v>74</v>
      </c>
      <c r="T854" t="s">
        <v>74</v>
      </c>
      <c r="U854" t="s">
        <v>15317</v>
      </c>
      <c r="V854" t="s">
        <v>15318</v>
      </c>
      <c r="W854" t="s">
        <v>15319</v>
      </c>
      <c r="X854" t="s">
        <v>1390</v>
      </c>
      <c r="Y854" t="s">
        <v>15320</v>
      </c>
      <c r="Z854" t="s">
        <v>15321</v>
      </c>
      <c r="AA854" t="s">
        <v>74</v>
      </c>
      <c r="AB854" t="s">
        <v>15322</v>
      </c>
      <c r="AC854" t="s">
        <v>74</v>
      </c>
      <c r="AD854" t="s">
        <v>74</v>
      </c>
      <c r="AE854" t="s">
        <v>74</v>
      </c>
      <c r="AF854" t="s">
        <v>74</v>
      </c>
      <c r="AG854">
        <v>21</v>
      </c>
      <c r="AH854">
        <v>16</v>
      </c>
      <c r="AI854">
        <v>16</v>
      </c>
      <c r="AJ854">
        <v>0</v>
      </c>
      <c r="AK854">
        <v>7</v>
      </c>
      <c r="AL854" t="s">
        <v>226</v>
      </c>
      <c r="AM854" t="s">
        <v>227</v>
      </c>
      <c r="AN854" t="s">
        <v>228</v>
      </c>
      <c r="AO854" t="s">
        <v>731</v>
      </c>
      <c r="AP854" t="s">
        <v>732</v>
      </c>
      <c r="AQ854" t="s">
        <v>74</v>
      </c>
      <c r="AR854" t="s">
        <v>733</v>
      </c>
      <c r="AS854" t="s">
        <v>734</v>
      </c>
      <c r="AT854" t="s">
        <v>15323</v>
      </c>
      <c r="AU854">
        <v>2009</v>
      </c>
      <c r="AV854">
        <v>36</v>
      </c>
      <c r="AW854" t="s">
        <v>74</v>
      </c>
      <c r="AX854" t="s">
        <v>74</v>
      </c>
      <c r="AY854" t="s">
        <v>74</v>
      </c>
      <c r="AZ854" t="s">
        <v>74</v>
      </c>
      <c r="BA854" t="s">
        <v>74</v>
      </c>
      <c r="BB854" t="s">
        <v>74</v>
      </c>
      <c r="BC854" t="s">
        <v>74</v>
      </c>
      <c r="BD854" t="s">
        <v>15324</v>
      </c>
      <c r="BE854" t="s">
        <v>15325</v>
      </c>
      <c r="BF854" t="str">
        <f>HYPERLINK("http://dx.doi.org/10.1029/2009GL038407","http://dx.doi.org/10.1029/2009GL038407")</f>
        <v>http://dx.doi.org/10.1029/2009GL038407</v>
      </c>
      <c r="BG854" t="s">
        <v>74</v>
      </c>
      <c r="BH854" t="s">
        <v>74</v>
      </c>
      <c r="BI854">
        <v>4</v>
      </c>
      <c r="BJ854" t="s">
        <v>464</v>
      </c>
      <c r="BK854" t="s">
        <v>98</v>
      </c>
      <c r="BL854" t="s">
        <v>465</v>
      </c>
      <c r="BM854" t="s">
        <v>15326</v>
      </c>
      <c r="BN854" t="s">
        <v>74</v>
      </c>
      <c r="BO854" t="s">
        <v>627</v>
      </c>
      <c r="BP854" t="s">
        <v>74</v>
      </c>
      <c r="BQ854" t="s">
        <v>74</v>
      </c>
      <c r="BR854" t="s">
        <v>101</v>
      </c>
      <c r="BS854" t="s">
        <v>15327</v>
      </c>
      <c r="BT854" t="str">
        <f>HYPERLINK("https%3A%2F%2Fwww.webofscience.com%2Fwos%2Fwoscc%2Ffull-record%2FWOS:000267186200002","View Full Record in Web of Science")</f>
        <v>View Full Record in Web of Science</v>
      </c>
    </row>
    <row r="855" spans="1:72" x14ac:dyDescent="0.15">
      <c r="A855" t="s">
        <v>72</v>
      </c>
      <c r="B855" t="s">
        <v>15328</v>
      </c>
      <c r="C855" t="s">
        <v>74</v>
      </c>
      <c r="D855" t="s">
        <v>74</v>
      </c>
      <c r="E855" t="s">
        <v>74</v>
      </c>
      <c r="F855" t="s">
        <v>15329</v>
      </c>
      <c r="G855" t="s">
        <v>74</v>
      </c>
      <c r="H855" t="s">
        <v>74</v>
      </c>
      <c r="I855" t="s">
        <v>15330</v>
      </c>
      <c r="J855" t="s">
        <v>244</v>
      </c>
      <c r="K855" t="s">
        <v>74</v>
      </c>
      <c r="L855" t="s">
        <v>74</v>
      </c>
      <c r="M855" t="s">
        <v>78</v>
      </c>
      <c r="N855" t="s">
        <v>79</v>
      </c>
      <c r="O855" t="s">
        <v>74</v>
      </c>
      <c r="P855" t="s">
        <v>74</v>
      </c>
      <c r="Q855" t="s">
        <v>74</v>
      </c>
      <c r="R855" t="s">
        <v>74</v>
      </c>
      <c r="S855" t="s">
        <v>74</v>
      </c>
      <c r="T855" t="s">
        <v>74</v>
      </c>
      <c r="U855" t="s">
        <v>15331</v>
      </c>
      <c r="V855" t="s">
        <v>15332</v>
      </c>
      <c r="W855" t="s">
        <v>15333</v>
      </c>
      <c r="X855" t="s">
        <v>15334</v>
      </c>
      <c r="Y855" t="s">
        <v>15335</v>
      </c>
      <c r="Z855" t="s">
        <v>15336</v>
      </c>
      <c r="AA855" t="s">
        <v>15337</v>
      </c>
      <c r="AB855" t="s">
        <v>15338</v>
      </c>
      <c r="AC855" t="s">
        <v>15339</v>
      </c>
      <c r="AD855" t="s">
        <v>15340</v>
      </c>
      <c r="AE855" t="s">
        <v>15341</v>
      </c>
      <c r="AF855" t="s">
        <v>74</v>
      </c>
      <c r="AG855">
        <v>88</v>
      </c>
      <c r="AH855">
        <v>69</v>
      </c>
      <c r="AI855">
        <v>70</v>
      </c>
      <c r="AJ855">
        <v>0</v>
      </c>
      <c r="AK855">
        <v>16</v>
      </c>
      <c r="AL855" t="s">
        <v>226</v>
      </c>
      <c r="AM855" t="s">
        <v>227</v>
      </c>
      <c r="AN855" t="s">
        <v>228</v>
      </c>
      <c r="AO855" t="s">
        <v>255</v>
      </c>
      <c r="AP855" t="s">
        <v>256</v>
      </c>
      <c r="AQ855" t="s">
        <v>74</v>
      </c>
      <c r="AR855" t="s">
        <v>257</v>
      </c>
      <c r="AS855" t="s">
        <v>258</v>
      </c>
      <c r="AT855" t="s">
        <v>15323</v>
      </c>
      <c r="AU855">
        <v>2009</v>
      </c>
      <c r="AV855">
        <v>114</v>
      </c>
      <c r="AW855" t="s">
        <v>74</v>
      </c>
      <c r="AX855" t="s">
        <v>74</v>
      </c>
      <c r="AY855" t="s">
        <v>74</v>
      </c>
      <c r="AZ855" t="s">
        <v>74</v>
      </c>
      <c r="BA855" t="s">
        <v>74</v>
      </c>
      <c r="BB855" t="s">
        <v>74</v>
      </c>
      <c r="BC855" t="s">
        <v>74</v>
      </c>
      <c r="BD855" t="s">
        <v>15342</v>
      </c>
      <c r="BE855" t="s">
        <v>15343</v>
      </c>
      <c r="BF855" t="str">
        <f>HYPERLINK("http://dx.doi.org/10.1029/2008JB006119","http://dx.doi.org/10.1029/2008JB006119")</f>
        <v>http://dx.doi.org/10.1029/2008JB006119</v>
      </c>
      <c r="BG855" t="s">
        <v>74</v>
      </c>
      <c r="BH855" t="s">
        <v>74</v>
      </c>
      <c r="BI855">
        <v>16</v>
      </c>
      <c r="BJ855" t="s">
        <v>261</v>
      </c>
      <c r="BK855" t="s">
        <v>98</v>
      </c>
      <c r="BL855" t="s">
        <v>261</v>
      </c>
      <c r="BM855" t="s">
        <v>15344</v>
      </c>
      <c r="BN855" t="s">
        <v>74</v>
      </c>
      <c r="BO855" t="s">
        <v>263</v>
      </c>
      <c r="BP855" t="s">
        <v>74</v>
      </c>
      <c r="BQ855" t="s">
        <v>74</v>
      </c>
      <c r="BR855" t="s">
        <v>101</v>
      </c>
      <c r="BS855" t="s">
        <v>15345</v>
      </c>
      <c r="BT855" t="str">
        <f>HYPERLINK("https%3A%2F%2Fwww.webofscience.com%2Fwos%2Fwoscc%2Ffull-record%2FWOS:000267190600004","View Full Record in Web of Science")</f>
        <v>View Full Record in Web of Science</v>
      </c>
    </row>
    <row r="856" spans="1:72" x14ac:dyDescent="0.15">
      <c r="A856" t="s">
        <v>72</v>
      </c>
      <c r="B856" t="s">
        <v>15346</v>
      </c>
      <c r="C856" t="s">
        <v>74</v>
      </c>
      <c r="D856" t="s">
        <v>74</v>
      </c>
      <c r="E856" t="s">
        <v>74</v>
      </c>
      <c r="F856" t="s">
        <v>15347</v>
      </c>
      <c r="G856" t="s">
        <v>74</v>
      </c>
      <c r="H856" t="s">
        <v>74</v>
      </c>
      <c r="I856" t="s">
        <v>15348</v>
      </c>
      <c r="J856" t="s">
        <v>4236</v>
      </c>
      <c r="K856" t="s">
        <v>74</v>
      </c>
      <c r="L856" t="s">
        <v>74</v>
      </c>
      <c r="M856" t="s">
        <v>78</v>
      </c>
      <c r="N856" t="s">
        <v>523</v>
      </c>
      <c r="O856" t="s">
        <v>74</v>
      </c>
      <c r="P856" t="s">
        <v>74</v>
      </c>
      <c r="Q856" t="s">
        <v>74</v>
      </c>
      <c r="R856" t="s">
        <v>74</v>
      </c>
      <c r="S856" t="s">
        <v>74</v>
      </c>
      <c r="T856" t="s">
        <v>74</v>
      </c>
      <c r="U856" t="s">
        <v>74</v>
      </c>
      <c r="V856" t="s">
        <v>74</v>
      </c>
      <c r="W856" t="s">
        <v>8507</v>
      </c>
      <c r="X856" t="s">
        <v>8508</v>
      </c>
      <c r="Y856" t="s">
        <v>15349</v>
      </c>
      <c r="Z856" t="s">
        <v>15350</v>
      </c>
      <c r="AA856" t="s">
        <v>74</v>
      </c>
      <c r="AB856" t="s">
        <v>74</v>
      </c>
      <c r="AC856" t="s">
        <v>74</v>
      </c>
      <c r="AD856" t="s">
        <v>74</v>
      </c>
      <c r="AE856" t="s">
        <v>74</v>
      </c>
      <c r="AF856" t="s">
        <v>74</v>
      </c>
      <c r="AG856">
        <v>11</v>
      </c>
      <c r="AH856">
        <v>35</v>
      </c>
      <c r="AI856">
        <v>42</v>
      </c>
      <c r="AJ856">
        <v>1</v>
      </c>
      <c r="AK856">
        <v>54</v>
      </c>
      <c r="AL856" t="s">
        <v>4248</v>
      </c>
      <c r="AM856" t="s">
        <v>227</v>
      </c>
      <c r="AN856" t="s">
        <v>4249</v>
      </c>
      <c r="AO856" t="s">
        <v>4250</v>
      </c>
      <c r="AP856" t="s">
        <v>6995</v>
      </c>
      <c r="AQ856" t="s">
        <v>74</v>
      </c>
      <c r="AR856" t="s">
        <v>4236</v>
      </c>
      <c r="AS856" t="s">
        <v>4251</v>
      </c>
      <c r="AT856" t="s">
        <v>15323</v>
      </c>
      <c r="AU856">
        <v>2009</v>
      </c>
      <c r="AV856">
        <v>324</v>
      </c>
      <c r="AW856">
        <v>5934</v>
      </c>
      <c r="AX856" t="s">
        <v>74</v>
      </c>
      <c r="AY856" t="s">
        <v>74</v>
      </c>
      <c r="AZ856" t="s">
        <v>74</v>
      </c>
      <c r="BA856" t="s">
        <v>74</v>
      </c>
      <c r="BB856">
        <v>1521</v>
      </c>
      <c r="BC856">
        <v>1522</v>
      </c>
      <c r="BD856" t="s">
        <v>74</v>
      </c>
      <c r="BE856" t="s">
        <v>15351</v>
      </c>
      <c r="BF856" t="str">
        <f>HYPERLINK("http://dx.doi.org/10.1126/science.1173645","http://dx.doi.org/10.1126/science.1173645")</f>
        <v>http://dx.doi.org/10.1126/science.1173645</v>
      </c>
      <c r="BG856" t="s">
        <v>74</v>
      </c>
      <c r="BH856" t="s">
        <v>74</v>
      </c>
      <c r="BI856">
        <v>2</v>
      </c>
      <c r="BJ856" t="s">
        <v>388</v>
      </c>
      <c r="BK856" t="s">
        <v>98</v>
      </c>
      <c r="BL856" t="s">
        <v>389</v>
      </c>
      <c r="BM856" t="s">
        <v>15352</v>
      </c>
      <c r="BN856">
        <v>19541982</v>
      </c>
      <c r="BO856" t="s">
        <v>74</v>
      </c>
      <c r="BP856" t="s">
        <v>74</v>
      </c>
      <c r="BQ856" t="s">
        <v>74</v>
      </c>
      <c r="BR856" t="s">
        <v>101</v>
      </c>
      <c r="BS856" t="s">
        <v>15353</v>
      </c>
      <c r="BT856" t="str">
        <f>HYPERLINK("https%3A%2F%2Fwww.webofscience.com%2Fwos%2Fwoscc%2Ffull-record%2FWOS:000267130600027","View Full Record in Web of Science")</f>
        <v>View Full Record in Web of Science</v>
      </c>
    </row>
    <row r="857" spans="1:72" x14ac:dyDescent="0.15">
      <c r="A857" t="s">
        <v>72</v>
      </c>
      <c r="B857" t="s">
        <v>15354</v>
      </c>
      <c r="C857" t="s">
        <v>74</v>
      </c>
      <c r="D857" t="s">
        <v>74</v>
      </c>
      <c r="E857" t="s">
        <v>74</v>
      </c>
      <c r="F857" t="s">
        <v>15355</v>
      </c>
      <c r="G857" t="s">
        <v>74</v>
      </c>
      <c r="H857" t="s">
        <v>74</v>
      </c>
      <c r="I857" t="s">
        <v>15356</v>
      </c>
      <c r="J857" t="s">
        <v>522</v>
      </c>
      <c r="K857" t="s">
        <v>74</v>
      </c>
      <c r="L857" t="s">
        <v>74</v>
      </c>
      <c r="M857" t="s">
        <v>78</v>
      </c>
      <c r="N857" t="s">
        <v>79</v>
      </c>
      <c r="O857" t="s">
        <v>74</v>
      </c>
      <c r="P857" t="s">
        <v>74</v>
      </c>
      <c r="Q857" t="s">
        <v>74</v>
      </c>
      <c r="R857" t="s">
        <v>74</v>
      </c>
      <c r="S857" t="s">
        <v>74</v>
      </c>
      <c r="T857" t="s">
        <v>74</v>
      </c>
      <c r="U857" t="s">
        <v>15357</v>
      </c>
      <c r="V857" t="s">
        <v>15358</v>
      </c>
      <c r="W857" t="s">
        <v>15359</v>
      </c>
      <c r="X857" t="s">
        <v>15360</v>
      </c>
      <c r="Y857" t="s">
        <v>15361</v>
      </c>
      <c r="Z857" t="s">
        <v>15362</v>
      </c>
      <c r="AA857" t="s">
        <v>15363</v>
      </c>
      <c r="AB857" t="s">
        <v>15364</v>
      </c>
      <c r="AC857" t="s">
        <v>15365</v>
      </c>
      <c r="AD857" t="s">
        <v>15366</v>
      </c>
      <c r="AE857" t="s">
        <v>15367</v>
      </c>
      <c r="AF857" t="s">
        <v>74</v>
      </c>
      <c r="AG857">
        <v>48</v>
      </c>
      <c r="AH857">
        <v>210</v>
      </c>
      <c r="AI857">
        <v>231</v>
      </c>
      <c r="AJ857">
        <v>3</v>
      </c>
      <c r="AK857">
        <v>75</v>
      </c>
      <c r="AL857" t="s">
        <v>2890</v>
      </c>
      <c r="AM857" t="s">
        <v>433</v>
      </c>
      <c r="AN857" t="s">
        <v>3957</v>
      </c>
      <c r="AO857" t="s">
        <v>532</v>
      </c>
      <c r="AP857" t="s">
        <v>533</v>
      </c>
      <c r="AQ857" t="s">
        <v>74</v>
      </c>
      <c r="AR857" t="s">
        <v>522</v>
      </c>
      <c r="AS857" t="s">
        <v>534</v>
      </c>
      <c r="AT857" t="s">
        <v>15368</v>
      </c>
      <c r="AU857">
        <v>2009</v>
      </c>
      <c r="AV857">
        <v>459</v>
      </c>
      <c r="AW857">
        <v>7249</v>
      </c>
      <c r="AX857" t="s">
        <v>74</v>
      </c>
      <c r="AY857" t="s">
        <v>74</v>
      </c>
      <c r="AZ857" t="s">
        <v>74</v>
      </c>
      <c r="BA857" t="s">
        <v>74</v>
      </c>
      <c r="BB857">
        <v>969</v>
      </c>
      <c r="BC857" t="s">
        <v>15369</v>
      </c>
      <c r="BD857" t="s">
        <v>74</v>
      </c>
      <c r="BE857" t="s">
        <v>15370</v>
      </c>
      <c r="BF857" t="str">
        <f>HYPERLINK("http://dx.doi.org/10.1038/nature08069","http://dx.doi.org/10.1038/nature08069")</f>
        <v>http://dx.doi.org/10.1038/nature08069</v>
      </c>
      <c r="BG857" t="s">
        <v>74</v>
      </c>
      <c r="BH857" t="s">
        <v>74</v>
      </c>
      <c r="BI857">
        <v>6</v>
      </c>
      <c r="BJ857" t="s">
        <v>388</v>
      </c>
      <c r="BK857" t="s">
        <v>98</v>
      </c>
      <c r="BL857" t="s">
        <v>389</v>
      </c>
      <c r="BM857" t="s">
        <v>15371</v>
      </c>
      <c r="BN857">
        <v>19536261</v>
      </c>
      <c r="BO857" t="s">
        <v>74</v>
      </c>
      <c r="BP857" t="s">
        <v>74</v>
      </c>
      <c r="BQ857" t="s">
        <v>74</v>
      </c>
      <c r="BR857" t="s">
        <v>101</v>
      </c>
      <c r="BS857" t="s">
        <v>15372</v>
      </c>
      <c r="BT857" t="str">
        <f>HYPERLINK("https%3A%2F%2Fwww.webofscience.com%2Fwos%2Fwoscc%2Ffull-record%2FWOS:000267063500039","View Full Record in Web of Science")</f>
        <v>View Full Record in Web of Science</v>
      </c>
    </row>
    <row r="858" spans="1:72" x14ac:dyDescent="0.15">
      <c r="A858" t="s">
        <v>72</v>
      </c>
      <c r="B858" t="s">
        <v>15373</v>
      </c>
      <c r="C858" t="s">
        <v>74</v>
      </c>
      <c r="D858" t="s">
        <v>74</v>
      </c>
      <c r="E858" t="s">
        <v>74</v>
      </c>
      <c r="F858" t="s">
        <v>15374</v>
      </c>
      <c r="G858" t="s">
        <v>74</v>
      </c>
      <c r="H858" t="s">
        <v>74</v>
      </c>
      <c r="I858" t="s">
        <v>15375</v>
      </c>
      <c r="J858" t="s">
        <v>395</v>
      </c>
      <c r="K858" t="s">
        <v>74</v>
      </c>
      <c r="L858" t="s">
        <v>74</v>
      </c>
      <c r="M858" t="s">
        <v>78</v>
      </c>
      <c r="N858" t="s">
        <v>79</v>
      </c>
      <c r="O858" t="s">
        <v>74</v>
      </c>
      <c r="P858" t="s">
        <v>74</v>
      </c>
      <c r="Q858" t="s">
        <v>74</v>
      </c>
      <c r="R858" t="s">
        <v>74</v>
      </c>
      <c r="S858" t="s">
        <v>74</v>
      </c>
      <c r="T858" t="s">
        <v>74</v>
      </c>
      <c r="U858" t="s">
        <v>15376</v>
      </c>
      <c r="V858" t="s">
        <v>15377</v>
      </c>
      <c r="W858" t="s">
        <v>15378</v>
      </c>
      <c r="X858" t="s">
        <v>15379</v>
      </c>
      <c r="Y858" t="s">
        <v>15380</v>
      </c>
      <c r="Z858" t="s">
        <v>74</v>
      </c>
      <c r="AA858" t="s">
        <v>15381</v>
      </c>
      <c r="AB858" t="s">
        <v>15382</v>
      </c>
      <c r="AC858" t="s">
        <v>15383</v>
      </c>
      <c r="AD858" t="s">
        <v>15384</v>
      </c>
      <c r="AE858" t="s">
        <v>15385</v>
      </c>
      <c r="AF858" t="s">
        <v>74</v>
      </c>
      <c r="AG858">
        <v>43</v>
      </c>
      <c r="AH858">
        <v>51</v>
      </c>
      <c r="AI858">
        <v>53</v>
      </c>
      <c r="AJ858">
        <v>0</v>
      </c>
      <c r="AK858">
        <v>11</v>
      </c>
      <c r="AL858" t="s">
        <v>226</v>
      </c>
      <c r="AM858" t="s">
        <v>227</v>
      </c>
      <c r="AN858" t="s">
        <v>228</v>
      </c>
      <c r="AO858" t="s">
        <v>407</v>
      </c>
      <c r="AP858" t="s">
        <v>408</v>
      </c>
      <c r="AQ858" t="s">
        <v>74</v>
      </c>
      <c r="AR858" t="s">
        <v>409</v>
      </c>
      <c r="AS858" t="s">
        <v>410</v>
      </c>
      <c r="AT858" t="s">
        <v>15386</v>
      </c>
      <c r="AU858">
        <v>2009</v>
      </c>
      <c r="AV858">
        <v>114</v>
      </c>
      <c r="AW858" t="s">
        <v>74</v>
      </c>
      <c r="AX858" t="s">
        <v>74</v>
      </c>
      <c r="AY858" t="s">
        <v>74</v>
      </c>
      <c r="AZ858" t="s">
        <v>74</v>
      </c>
      <c r="BA858" t="s">
        <v>74</v>
      </c>
      <c r="BB858" t="s">
        <v>74</v>
      </c>
      <c r="BC858" t="s">
        <v>74</v>
      </c>
      <c r="BD858" t="s">
        <v>15387</v>
      </c>
      <c r="BE858" t="s">
        <v>15388</v>
      </c>
      <c r="BF858" t="str">
        <f>HYPERLINK("http://dx.doi.org/10.1029/2008JD011472","http://dx.doi.org/10.1029/2008JD011472")</f>
        <v>http://dx.doi.org/10.1029/2008JD011472</v>
      </c>
      <c r="BG858" t="s">
        <v>74</v>
      </c>
      <c r="BH858" t="s">
        <v>74</v>
      </c>
      <c r="BI858">
        <v>11</v>
      </c>
      <c r="BJ858" t="s">
        <v>413</v>
      </c>
      <c r="BK858" t="s">
        <v>98</v>
      </c>
      <c r="BL858" t="s">
        <v>413</v>
      </c>
      <c r="BM858" t="s">
        <v>15389</v>
      </c>
      <c r="BN858" t="s">
        <v>74</v>
      </c>
      <c r="BO858" t="s">
        <v>263</v>
      </c>
      <c r="BP858" t="s">
        <v>74</v>
      </c>
      <c r="BQ858" t="s">
        <v>74</v>
      </c>
      <c r="BR858" t="s">
        <v>101</v>
      </c>
      <c r="BS858" t="s">
        <v>15390</v>
      </c>
      <c r="BT858" t="str">
        <f>HYPERLINK("https%3A%2F%2Fwww.webofscience.com%2Fwos%2Fwoscc%2Ffull-record%2FWOS:000267186900004","View Full Record in Web of Science")</f>
        <v>View Full Record in Web of Science</v>
      </c>
    </row>
    <row r="859" spans="1:72" x14ac:dyDescent="0.15">
      <c r="A859" t="s">
        <v>72</v>
      </c>
      <c r="B859" t="s">
        <v>15391</v>
      </c>
      <c r="C859" t="s">
        <v>74</v>
      </c>
      <c r="D859" t="s">
        <v>74</v>
      </c>
      <c r="E859" t="s">
        <v>74</v>
      </c>
      <c r="F859" t="s">
        <v>15392</v>
      </c>
      <c r="G859" t="s">
        <v>74</v>
      </c>
      <c r="H859" t="s">
        <v>74</v>
      </c>
      <c r="I859" t="s">
        <v>15393</v>
      </c>
      <c r="J859" t="s">
        <v>3984</v>
      </c>
      <c r="K859" t="s">
        <v>74</v>
      </c>
      <c r="L859" t="s">
        <v>74</v>
      </c>
      <c r="M859" t="s">
        <v>78</v>
      </c>
      <c r="N859" t="s">
        <v>79</v>
      </c>
      <c r="O859" t="s">
        <v>74</v>
      </c>
      <c r="P859" t="s">
        <v>74</v>
      </c>
      <c r="Q859" t="s">
        <v>74</v>
      </c>
      <c r="R859" t="s">
        <v>74</v>
      </c>
      <c r="S859" t="s">
        <v>74</v>
      </c>
      <c r="T859" t="s">
        <v>15394</v>
      </c>
      <c r="U859" t="s">
        <v>15395</v>
      </c>
      <c r="V859" t="s">
        <v>15396</v>
      </c>
      <c r="W859" t="s">
        <v>15397</v>
      </c>
      <c r="X859" t="s">
        <v>15398</v>
      </c>
      <c r="Y859" t="s">
        <v>15399</v>
      </c>
      <c r="Z859" t="s">
        <v>15400</v>
      </c>
      <c r="AA859" t="s">
        <v>15401</v>
      </c>
      <c r="AB859" t="s">
        <v>15402</v>
      </c>
      <c r="AC859" t="s">
        <v>15403</v>
      </c>
      <c r="AD859" t="s">
        <v>15404</v>
      </c>
      <c r="AE859" t="s">
        <v>15405</v>
      </c>
      <c r="AF859" t="s">
        <v>74</v>
      </c>
      <c r="AG859">
        <v>36</v>
      </c>
      <c r="AH859">
        <v>10</v>
      </c>
      <c r="AI859">
        <v>13</v>
      </c>
      <c r="AJ859">
        <v>0</v>
      </c>
      <c r="AK859">
        <v>4</v>
      </c>
      <c r="AL859" t="s">
        <v>1978</v>
      </c>
      <c r="AM859" t="s">
        <v>1895</v>
      </c>
      <c r="AN859" t="s">
        <v>1979</v>
      </c>
      <c r="AO859" t="s">
        <v>3993</v>
      </c>
      <c r="AP859" t="s">
        <v>3994</v>
      </c>
      <c r="AQ859" t="s">
        <v>74</v>
      </c>
      <c r="AR859" t="s">
        <v>3995</v>
      </c>
      <c r="AS859" t="s">
        <v>3996</v>
      </c>
      <c r="AT859" t="s">
        <v>15406</v>
      </c>
      <c r="AU859">
        <v>2009</v>
      </c>
      <c r="AV859">
        <v>43</v>
      </c>
      <c r="AW859">
        <v>12</v>
      </c>
      <c r="AX859" t="s">
        <v>74</v>
      </c>
      <c r="AY859" t="s">
        <v>74</v>
      </c>
      <c r="AZ859" t="s">
        <v>74</v>
      </c>
      <c r="BA859" t="s">
        <v>74</v>
      </c>
      <c r="BB859">
        <v>1974</v>
      </c>
      <c r="BC859">
        <v>1985</v>
      </c>
      <c r="BD859" t="s">
        <v>74</v>
      </c>
      <c r="BE859" t="s">
        <v>15407</v>
      </c>
      <c r="BF859" t="str">
        <f>HYPERLINK("http://dx.doi.org/10.1016/j.asr.2009.01.030","http://dx.doi.org/10.1016/j.asr.2009.01.030")</f>
        <v>http://dx.doi.org/10.1016/j.asr.2009.01.030</v>
      </c>
      <c r="BG859" t="s">
        <v>74</v>
      </c>
      <c r="BH859" t="s">
        <v>74</v>
      </c>
      <c r="BI859">
        <v>12</v>
      </c>
      <c r="BJ859" t="s">
        <v>3999</v>
      </c>
      <c r="BK859" t="s">
        <v>98</v>
      </c>
      <c r="BL859" t="s">
        <v>4000</v>
      </c>
      <c r="BM859" t="s">
        <v>15408</v>
      </c>
      <c r="BN859" t="s">
        <v>74</v>
      </c>
      <c r="BO859" t="s">
        <v>74</v>
      </c>
      <c r="BP859" t="s">
        <v>74</v>
      </c>
      <c r="BQ859" t="s">
        <v>74</v>
      </c>
      <c r="BR859" t="s">
        <v>101</v>
      </c>
      <c r="BS859" t="s">
        <v>15409</v>
      </c>
      <c r="BT859" t="str">
        <f>HYPERLINK("https%3A%2F%2Fwww.webofscience.com%2Fwos%2Fwoscc%2Ffull-record%2FWOS:000267181400017","View Full Record in Web of Science")</f>
        <v>View Full Record in Web of Science</v>
      </c>
    </row>
    <row r="860" spans="1:72" x14ac:dyDescent="0.15">
      <c r="A860" t="s">
        <v>72</v>
      </c>
      <c r="B860" t="s">
        <v>15410</v>
      </c>
      <c r="C860" t="s">
        <v>74</v>
      </c>
      <c r="D860" t="s">
        <v>74</v>
      </c>
      <c r="E860" t="s">
        <v>74</v>
      </c>
      <c r="F860" t="s">
        <v>15411</v>
      </c>
      <c r="G860" t="s">
        <v>74</v>
      </c>
      <c r="H860" t="s">
        <v>74</v>
      </c>
      <c r="I860" t="s">
        <v>15412</v>
      </c>
      <c r="J860" t="s">
        <v>1414</v>
      </c>
      <c r="K860" t="s">
        <v>74</v>
      </c>
      <c r="L860" t="s">
        <v>74</v>
      </c>
      <c r="M860" t="s">
        <v>78</v>
      </c>
      <c r="N860" t="s">
        <v>79</v>
      </c>
      <c r="O860" t="s">
        <v>74</v>
      </c>
      <c r="P860" t="s">
        <v>74</v>
      </c>
      <c r="Q860" t="s">
        <v>74</v>
      </c>
      <c r="R860" t="s">
        <v>74</v>
      </c>
      <c r="S860" t="s">
        <v>74</v>
      </c>
      <c r="T860" t="s">
        <v>74</v>
      </c>
      <c r="U860" t="s">
        <v>15413</v>
      </c>
      <c r="V860" t="s">
        <v>15414</v>
      </c>
      <c r="W860" t="s">
        <v>15415</v>
      </c>
      <c r="X860" t="s">
        <v>15416</v>
      </c>
      <c r="Y860" t="s">
        <v>15417</v>
      </c>
      <c r="Z860" t="s">
        <v>11682</v>
      </c>
      <c r="AA860" t="s">
        <v>11683</v>
      </c>
      <c r="AB860" t="s">
        <v>15418</v>
      </c>
      <c r="AC860" t="s">
        <v>15419</v>
      </c>
      <c r="AD860" t="s">
        <v>278</v>
      </c>
      <c r="AE860" t="s">
        <v>15420</v>
      </c>
      <c r="AF860" t="s">
        <v>74</v>
      </c>
      <c r="AG860">
        <v>48</v>
      </c>
      <c r="AH860">
        <v>33</v>
      </c>
      <c r="AI860">
        <v>38</v>
      </c>
      <c r="AJ860">
        <v>0</v>
      </c>
      <c r="AK860">
        <v>13</v>
      </c>
      <c r="AL860" t="s">
        <v>1426</v>
      </c>
      <c r="AM860" t="s">
        <v>227</v>
      </c>
      <c r="AN860" t="s">
        <v>1427</v>
      </c>
      <c r="AO860" t="s">
        <v>1428</v>
      </c>
      <c r="AP860" t="s">
        <v>7350</v>
      </c>
      <c r="AQ860" t="s">
        <v>74</v>
      </c>
      <c r="AR860" t="s">
        <v>1429</v>
      </c>
      <c r="AS860" t="s">
        <v>1430</v>
      </c>
      <c r="AT860" t="s">
        <v>15406</v>
      </c>
      <c r="AU860">
        <v>2009</v>
      </c>
      <c r="AV860">
        <v>75</v>
      </c>
      <c r="AW860">
        <v>12</v>
      </c>
      <c r="AX860" t="s">
        <v>74</v>
      </c>
      <c r="AY860" t="s">
        <v>74</v>
      </c>
      <c r="AZ860" t="s">
        <v>74</v>
      </c>
      <c r="BA860" t="s">
        <v>74</v>
      </c>
      <c r="BB860">
        <v>4028</v>
      </c>
      <c r="BC860">
        <v>4034</v>
      </c>
      <c r="BD860" t="s">
        <v>74</v>
      </c>
      <c r="BE860" t="s">
        <v>15421</v>
      </c>
      <c r="BF860" t="str">
        <f>HYPERLINK("http://dx.doi.org/10.1128/AEM.00183-09","http://dx.doi.org/10.1128/AEM.00183-09")</f>
        <v>http://dx.doi.org/10.1128/AEM.00183-09</v>
      </c>
      <c r="BG860" t="s">
        <v>74</v>
      </c>
      <c r="BH860" t="s">
        <v>74</v>
      </c>
      <c r="BI860">
        <v>7</v>
      </c>
      <c r="BJ860" t="s">
        <v>1433</v>
      </c>
      <c r="BK860" t="s">
        <v>98</v>
      </c>
      <c r="BL860" t="s">
        <v>1433</v>
      </c>
      <c r="BM860" t="s">
        <v>15422</v>
      </c>
      <c r="BN860">
        <v>19376906</v>
      </c>
      <c r="BO860" t="s">
        <v>239</v>
      </c>
      <c r="BP860" t="s">
        <v>74</v>
      </c>
      <c r="BQ860" t="s">
        <v>74</v>
      </c>
      <c r="BR860" t="s">
        <v>101</v>
      </c>
      <c r="BS860" t="s">
        <v>15423</v>
      </c>
      <c r="BT860" t="str">
        <f>HYPERLINK("https%3A%2F%2Fwww.webofscience.com%2Fwos%2Fwoscc%2Ffull-record%2FWOS:000266782300024","View Full Record in Web of Science")</f>
        <v>View Full Record in Web of Science</v>
      </c>
    </row>
    <row r="861" spans="1:72" x14ac:dyDescent="0.15">
      <c r="A861" t="s">
        <v>72</v>
      </c>
      <c r="B861" t="s">
        <v>15424</v>
      </c>
      <c r="C861" t="s">
        <v>74</v>
      </c>
      <c r="D861" t="s">
        <v>74</v>
      </c>
      <c r="E861" t="s">
        <v>74</v>
      </c>
      <c r="F861" t="s">
        <v>15425</v>
      </c>
      <c r="G861" t="s">
        <v>74</v>
      </c>
      <c r="H861" t="s">
        <v>74</v>
      </c>
      <c r="I861" t="s">
        <v>15426</v>
      </c>
      <c r="J861" t="s">
        <v>4020</v>
      </c>
      <c r="K861" t="s">
        <v>74</v>
      </c>
      <c r="L861" t="s">
        <v>74</v>
      </c>
      <c r="M861" t="s">
        <v>78</v>
      </c>
      <c r="N861" t="s">
        <v>79</v>
      </c>
      <c r="O861" t="s">
        <v>74</v>
      </c>
      <c r="P861" t="s">
        <v>74</v>
      </c>
      <c r="Q861" t="s">
        <v>74</v>
      </c>
      <c r="R861" t="s">
        <v>74</v>
      </c>
      <c r="S861" t="s">
        <v>74</v>
      </c>
      <c r="T861" t="s">
        <v>15427</v>
      </c>
      <c r="U861" t="s">
        <v>15428</v>
      </c>
      <c r="V861" t="s">
        <v>15429</v>
      </c>
      <c r="W861" t="s">
        <v>15430</v>
      </c>
      <c r="X861" t="s">
        <v>15431</v>
      </c>
      <c r="Y861" t="s">
        <v>15432</v>
      </c>
      <c r="Z861" t="s">
        <v>15433</v>
      </c>
      <c r="AA861" t="s">
        <v>15434</v>
      </c>
      <c r="AB861" t="s">
        <v>15435</v>
      </c>
      <c r="AC861" t="s">
        <v>15436</v>
      </c>
      <c r="AD861" t="s">
        <v>15437</v>
      </c>
      <c r="AE861" t="s">
        <v>15438</v>
      </c>
      <c r="AF861" t="s">
        <v>74</v>
      </c>
      <c r="AG861">
        <v>73</v>
      </c>
      <c r="AH861">
        <v>39</v>
      </c>
      <c r="AI861">
        <v>44</v>
      </c>
      <c r="AJ861">
        <v>0</v>
      </c>
      <c r="AK861">
        <v>21</v>
      </c>
      <c r="AL861" t="s">
        <v>305</v>
      </c>
      <c r="AM861" t="s">
        <v>281</v>
      </c>
      <c r="AN861" t="s">
        <v>306</v>
      </c>
      <c r="AO861" t="s">
        <v>4033</v>
      </c>
      <c r="AP861" t="s">
        <v>4034</v>
      </c>
      <c r="AQ861" t="s">
        <v>74</v>
      </c>
      <c r="AR861" t="s">
        <v>4035</v>
      </c>
      <c r="AS861" t="s">
        <v>4036</v>
      </c>
      <c r="AT861" t="s">
        <v>15406</v>
      </c>
      <c r="AU861">
        <v>2009</v>
      </c>
      <c r="AV861">
        <v>283</v>
      </c>
      <c r="AW861" t="s">
        <v>6761</v>
      </c>
      <c r="AX861" t="s">
        <v>74</v>
      </c>
      <c r="AY861" t="s">
        <v>74</v>
      </c>
      <c r="AZ861" t="s">
        <v>74</v>
      </c>
      <c r="BA861" t="s">
        <v>74</v>
      </c>
      <c r="BB861">
        <v>24</v>
      </c>
      <c r="BC861">
        <v>37</v>
      </c>
      <c r="BD861" t="s">
        <v>74</v>
      </c>
      <c r="BE861" t="s">
        <v>15439</v>
      </c>
      <c r="BF861" t="str">
        <f>HYPERLINK("http://dx.doi.org/10.1016/j.epsl.2009.03.019","http://dx.doi.org/10.1016/j.epsl.2009.03.019")</f>
        <v>http://dx.doi.org/10.1016/j.epsl.2009.03.019</v>
      </c>
      <c r="BG861" t="s">
        <v>74</v>
      </c>
      <c r="BH861" t="s">
        <v>74</v>
      </c>
      <c r="BI861">
        <v>14</v>
      </c>
      <c r="BJ861" t="s">
        <v>261</v>
      </c>
      <c r="BK861" t="s">
        <v>98</v>
      </c>
      <c r="BL861" t="s">
        <v>261</v>
      </c>
      <c r="BM861" t="s">
        <v>15440</v>
      </c>
      <c r="BN861" t="s">
        <v>74</v>
      </c>
      <c r="BO861" t="s">
        <v>74</v>
      </c>
      <c r="BP861" t="s">
        <v>74</v>
      </c>
      <c r="BQ861" t="s">
        <v>74</v>
      </c>
      <c r="BR861" t="s">
        <v>101</v>
      </c>
      <c r="BS861" t="s">
        <v>15441</v>
      </c>
      <c r="BT861" t="str">
        <f>HYPERLINK("https%3A%2F%2Fwww.webofscience.com%2Fwos%2Fwoscc%2Ffull-record%2FWOS:000267513700003","View Full Record in Web of Science")</f>
        <v>View Full Record in Web of Science</v>
      </c>
    </row>
    <row r="862" spans="1:72" x14ac:dyDescent="0.15">
      <c r="A862" t="s">
        <v>72</v>
      </c>
      <c r="B862" t="s">
        <v>15442</v>
      </c>
      <c r="C862" t="s">
        <v>74</v>
      </c>
      <c r="D862" t="s">
        <v>74</v>
      </c>
      <c r="E862" t="s">
        <v>74</v>
      </c>
      <c r="F862" t="s">
        <v>15443</v>
      </c>
      <c r="G862" t="s">
        <v>74</v>
      </c>
      <c r="H862" t="s">
        <v>74</v>
      </c>
      <c r="I862" t="s">
        <v>15444</v>
      </c>
      <c r="J862" t="s">
        <v>5221</v>
      </c>
      <c r="K862" t="s">
        <v>74</v>
      </c>
      <c r="L862" t="s">
        <v>74</v>
      </c>
      <c r="M862" t="s">
        <v>78</v>
      </c>
      <c r="N862" t="s">
        <v>79</v>
      </c>
      <c r="O862" t="s">
        <v>74</v>
      </c>
      <c r="P862" t="s">
        <v>74</v>
      </c>
      <c r="Q862" t="s">
        <v>74</v>
      </c>
      <c r="R862" t="s">
        <v>74</v>
      </c>
      <c r="S862" t="s">
        <v>74</v>
      </c>
      <c r="T862" t="s">
        <v>15445</v>
      </c>
      <c r="U862" t="s">
        <v>15446</v>
      </c>
      <c r="V862" t="s">
        <v>15447</v>
      </c>
      <c r="W862" t="s">
        <v>15448</v>
      </c>
      <c r="X862" t="s">
        <v>15449</v>
      </c>
      <c r="Y862" t="s">
        <v>15450</v>
      </c>
      <c r="Z862" t="s">
        <v>15451</v>
      </c>
      <c r="AA862" t="s">
        <v>15452</v>
      </c>
      <c r="AB862" t="s">
        <v>15453</v>
      </c>
      <c r="AC862" t="s">
        <v>15454</v>
      </c>
      <c r="AD862" t="s">
        <v>15455</v>
      </c>
      <c r="AE862" t="s">
        <v>15456</v>
      </c>
      <c r="AF862" t="s">
        <v>74</v>
      </c>
      <c r="AG862">
        <v>73</v>
      </c>
      <c r="AH862">
        <v>19</v>
      </c>
      <c r="AI862">
        <v>19</v>
      </c>
      <c r="AJ862">
        <v>0</v>
      </c>
      <c r="AK862">
        <v>20</v>
      </c>
      <c r="AL862" t="s">
        <v>305</v>
      </c>
      <c r="AM862" t="s">
        <v>281</v>
      </c>
      <c r="AN862" t="s">
        <v>306</v>
      </c>
      <c r="AO862" t="s">
        <v>5232</v>
      </c>
      <c r="AP862" t="s">
        <v>5233</v>
      </c>
      <c r="AQ862" t="s">
        <v>74</v>
      </c>
      <c r="AR862" t="s">
        <v>5221</v>
      </c>
      <c r="AS862" t="s">
        <v>5234</v>
      </c>
      <c r="AT862" t="s">
        <v>15406</v>
      </c>
      <c r="AU862">
        <v>2009</v>
      </c>
      <c r="AV862">
        <v>107</v>
      </c>
      <c r="AW862" t="s">
        <v>288</v>
      </c>
      <c r="AX862" t="s">
        <v>74</v>
      </c>
      <c r="AY862" t="s">
        <v>74</v>
      </c>
      <c r="AZ862" t="s">
        <v>74</v>
      </c>
      <c r="BA862" t="s">
        <v>74</v>
      </c>
      <c r="BB862">
        <v>139</v>
      </c>
      <c r="BC862">
        <v>148</v>
      </c>
      <c r="BD862" t="s">
        <v>74</v>
      </c>
      <c r="BE862" t="s">
        <v>15457</v>
      </c>
      <c r="BF862" t="str">
        <f>HYPERLINK("http://dx.doi.org/10.1016/j.geomorph.2008.12.002","http://dx.doi.org/10.1016/j.geomorph.2008.12.002")</f>
        <v>http://dx.doi.org/10.1016/j.geomorph.2008.12.002</v>
      </c>
      <c r="BG862" t="s">
        <v>74</v>
      </c>
      <c r="BH862" t="s">
        <v>74</v>
      </c>
      <c r="BI862">
        <v>10</v>
      </c>
      <c r="BJ862" t="s">
        <v>2121</v>
      </c>
      <c r="BK862" t="s">
        <v>98</v>
      </c>
      <c r="BL862" t="s">
        <v>2122</v>
      </c>
      <c r="BM862" t="s">
        <v>15458</v>
      </c>
      <c r="BN862" t="s">
        <v>74</v>
      </c>
      <c r="BO862" t="s">
        <v>239</v>
      </c>
      <c r="BP862" t="s">
        <v>74</v>
      </c>
      <c r="BQ862" t="s">
        <v>74</v>
      </c>
      <c r="BR862" t="s">
        <v>101</v>
      </c>
      <c r="BS862" t="s">
        <v>15459</v>
      </c>
      <c r="BT862" t="str">
        <f>HYPERLINK("https%3A%2F%2Fwww.webofscience.com%2Fwos%2Fwoscc%2Ffull-record%2FWOS:000266455700003","View Full Record in Web of Science")</f>
        <v>View Full Record in Web of Science</v>
      </c>
    </row>
    <row r="863" spans="1:72" x14ac:dyDescent="0.15">
      <c r="A863" t="s">
        <v>72</v>
      </c>
      <c r="B863" t="s">
        <v>15460</v>
      </c>
      <c r="C863" t="s">
        <v>74</v>
      </c>
      <c r="D863" t="s">
        <v>74</v>
      </c>
      <c r="E863" t="s">
        <v>74</v>
      </c>
      <c r="F863" t="s">
        <v>15461</v>
      </c>
      <c r="G863" t="s">
        <v>74</v>
      </c>
      <c r="H863" t="s">
        <v>74</v>
      </c>
      <c r="I863" t="s">
        <v>15462</v>
      </c>
      <c r="J863" t="s">
        <v>5221</v>
      </c>
      <c r="K863" t="s">
        <v>74</v>
      </c>
      <c r="L863" t="s">
        <v>74</v>
      </c>
      <c r="M863" t="s">
        <v>78</v>
      </c>
      <c r="N863" t="s">
        <v>79</v>
      </c>
      <c r="O863" t="s">
        <v>74</v>
      </c>
      <c r="P863" t="s">
        <v>74</v>
      </c>
      <c r="Q863" t="s">
        <v>74</v>
      </c>
      <c r="R863" t="s">
        <v>74</v>
      </c>
      <c r="S863" t="s">
        <v>74</v>
      </c>
      <c r="T863" t="s">
        <v>15463</v>
      </c>
      <c r="U863" t="s">
        <v>15464</v>
      </c>
      <c r="V863" t="s">
        <v>15465</v>
      </c>
      <c r="W863" t="s">
        <v>15466</v>
      </c>
      <c r="X863" t="s">
        <v>15467</v>
      </c>
      <c r="Y863" t="s">
        <v>15468</v>
      </c>
      <c r="Z863" t="s">
        <v>15469</v>
      </c>
      <c r="AA863" t="s">
        <v>74</v>
      </c>
      <c r="AB863" t="s">
        <v>74</v>
      </c>
      <c r="AC863" t="s">
        <v>15470</v>
      </c>
      <c r="AD863" t="s">
        <v>15471</v>
      </c>
      <c r="AE863" t="s">
        <v>15472</v>
      </c>
      <c r="AF863" t="s">
        <v>74</v>
      </c>
      <c r="AG863">
        <v>35</v>
      </c>
      <c r="AH863">
        <v>19</v>
      </c>
      <c r="AI863">
        <v>23</v>
      </c>
      <c r="AJ863">
        <v>0</v>
      </c>
      <c r="AK863">
        <v>6</v>
      </c>
      <c r="AL863" t="s">
        <v>280</v>
      </c>
      <c r="AM863" t="s">
        <v>281</v>
      </c>
      <c r="AN863" t="s">
        <v>282</v>
      </c>
      <c r="AO863" t="s">
        <v>5232</v>
      </c>
      <c r="AP863" t="s">
        <v>5233</v>
      </c>
      <c r="AQ863" t="s">
        <v>74</v>
      </c>
      <c r="AR863" t="s">
        <v>5221</v>
      </c>
      <c r="AS863" t="s">
        <v>5234</v>
      </c>
      <c r="AT863" t="s">
        <v>15406</v>
      </c>
      <c r="AU863">
        <v>2009</v>
      </c>
      <c r="AV863">
        <v>107</v>
      </c>
      <c r="AW863" t="s">
        <v>288</v>
      </c>
      <c r="AX863" t="s">
        <v>74</v>
      </c>
      <c r="AY863" t="s">
        <v>74</v>
      </c>
      <c r="AZ863" t="s">
        <v>74</v>
      </c>
      <c r="BA863" t="s">
        <v>74</v>
      </c>
      <c r="BB863">
        <v>149</v>
      </c>
      <c r="BC863">
        <v>160</v>
      </c>
      <c r="BD863" t="s">
        <v>74</v>
      </c>
      <c r="BE863" t="s">
        <v>15473</v>
      </c>
      <c r="BF863" t="str">
        <f>HYPERLINK("http://dx.doi.org/10.1016/j.geomorph.2008.12.007","http://dx.doi.org/10.1016/j.geomorph.2008.12.007")</f>
        <v>http://dx.doi.org/10.1016/j.geomorph.2008.12.007</v>
      </c>
      <c r="BG863" t="s">
        <v>74</v>
      </c>
      <c r="BH863" t="s">
        <v>74</v>
      </c>
      <c r="BI863">
        <v>12</v>
      </c>
      <c r="BJ863" t="s">
        <v>2121</v>
      </c>
      <c r="BK863" t="s">
        <v>98</v>
      </c>
      <c r="BL863" t="s">
        <v>2122</v>
      </c>
      <c r="BM863" t="s">
        <v>15458</v>
      </c>
      <c r="BN863" t="s">
        <v>74</v>
      </c>
      <c r="BO863" t="s">
        <v>74</v>
      </c>
      <c r="BP863" t="s">
        <v>74</v>
      </c>
      <c r="BQ863" t="s">
        <v>74</v>
      </c>
      <c r="BR863" t="s">
        <v>101</v>
      </c>
      <c r="BS863" t="s">
        <v>15474</v>
      </c>
      <c r="BT863" t="str">
        <f>HYPERLINK("https%3A%2F%2Fwww.webofscience.com%2Fwos%2Fwoscc%2Ffull-record%2FWOS:000266455700004","View Full Record in Web of Science")</f>
        <v>View Full Record in Web of Science</v>
      </c>
    </row>
    <row r="864" spans="1:72" x14ac:dyDescent="0.15">
      <c r="A864" t="s">
        <v>72</v>
      </c>
      <c r="B864" t="s">
        <v>15475</v>
      </c>
      <c r="C864" t="s">
        <v>74</v>
      </c>
      <c r="D864" t="s">
        <v>74</v>
      </c>
      <c r="E864" t="s">
        <v>74</v>
      </c>
      <c r="F864" t="s">
        <v>15476</v>
      </c>
      <c r="G864" t="s">
        <v>74</v>
      </c>
      <c r="H864" t="s">
        <v>74</v>
      </c>
      <c r="I864" t="s">
        <v>15477</v>
      </c>
      <c r="J864" t="s">
        <v>3889</v>
      </c>
      <c r="K864" t="s">
        <v>74</v>
      </c>
      <c r="L864" t="s">
        <v>74</v>
      </c>
      <c r="M864" t="s">
        <v>78</v>
      </c>
      <c r="N864" t="s">
        <v>79</v>
      </c>
      <c r="O864" t="s">
        <v>74</v>
      </c>
      <c r="P864" t="s">
        <v>74</v>
      </c>
      <c r="Q864" t="s">
        <v>74</v>
      </c>
      <c r="R864" t="s">
        <v>74</v>
      </c>
      <c r="S864" t="s">
        <v>74</v>
      </c>
      <c r="T864" t="s">
        <v>15478</v>
      </c>
      <c r="U864" t="s">
        <v>15479</v>
      </c>
      <c r="V864" t="s">
        <v>15480</v>
      </c>
      <c r="W864" t="s">
        <v>15481</v>
      </c>
      <c r="X864" t="s">
        <v>15482</v>
      </c>
      <c r="Y864" t="s">
        <v>15483</v>
      </c>
      <c r="Z864" t="s">
        <v>5658</v>
      </c>
      <c r="AA864" t="s">
        <v>15484</v>
      </c>
      <c r="AB864" t="s">
        <v>15485</v>
      </c>
      <c r="AC864" t="s">
        <v>15486</v>
      </c>
      <c r="AD864" t="s">
        <v>15487</v>
      </c>
      <c r="AE864" t="s">
        <v>15488</v>
      </c>
      <c r="AF864" t="s">
        <v>74</v>
      </c>
      <c r="AG864">
        <v>65</v>
      </c>
      <c r="AH864">
        <v>25</v>
      </c>
      <c r="AI864">
        <v>27</v>
      </c>
      <c r="AJ864">
        <v>0</v>
      </c>
      <c r="AK864">
        <v>8</v>
      </c>
      <c r="AL864" t="s">
        <v>305</v>
      </c>
      <c r="AM864" t="s">
        <v>281</v>
      </c>
      <c r="AN864" t="s">
        <v>306</v>
      </c>
      <c r="AO864" t="s">
        <v>3903</v>
      </c>
      <c r="AP864" t="s">
        <v>3904</v>
      </c>
      <c r="AQ864" t="s">
        <v>74</v>
      </c>
      <c r="AR864" t="s">
        <v>3889</v>
      </c>
      <c r="AS864" t="s">
        <v>3905</v>
      </c>
      <c r="AT864" t="s">
        <v>15406</v>
      </c>
      <c r="AU864">
        <v>2009</v>
      </c>
      <c r="AV864">
        <v>471</v>
      </c>
      <c r="AW864" t="s">
        <v>288</v>
      </c>
      <c r="AX864" t="s">
        <v>74</v>
      </c>
      <c r="AY864" t="s">
        <v>74</v>
      </c>
      <c r="AZ864" t="s">
        <v>74</v>
      </c>
      <c r="BA864" t="s">
        <v>74</v>
      </c>
      <c r="BB864">
        <v>216</v>
      </c>
      <c r="BC864">
        <v>224</v>
      </c>
      <c r="BD864" t="s">
        <v>74</v>
      </c>
      <c r="BE864" t="s">
        <v>15489</v>
      </c>
      <c r="BF864" t="str">
        <f>HYPERLINK("http://dx.doi.org/10.1016/j.tecto.2009.02.012","http://dx.doi.org/10.1016/j.tecto.2009.02.012")</f>
        <v>http://dx.doi.org/10.1016/j.tecto.2009.02.012</v>
      </c>
      <c r="BG864" t="s">
        <v>74</v>
      </c>
      <c r="BH864" t="s">
        <v>74</v>
      </c>
      <c r="BI864">
        <v>9</v>
      </c>
      <c r="BJ864" t="s">
        <v>261</v>
      </c>
      <c r="BK864" t="s">
        <v>98</v>
      </c>
      <c r="BL864" t="s">
        <v>261</v>
      </c>
      <c r="BM864" t="s">
        <v>15490</v>
      </c>
      <c r="BN864" t="s">
        <v>74</v>
      </c>
      <c r="BO864" t="s">
        <v>74</v>
      </c>
      <c r="BP864" t="s">
        <v>74</v>
      </c>
      <c r="BQ864" t="s">
        <v>74</v>
      </c>
      <c r="BR864" t="s">
        <v>101</v>
      </c>
      <c r="BS864" t="s">
        <v>15491</v>
      </c>
      <c r="BT864" t="str">
        <f>HYPERLINK("https%3A%2F%2Fwww.webofscience.com%2Fwos%2Fwoscc%2Ffull-record%2FWOS:000267690400004","View Full Record in Web of Science")</f>
        <v>View Full Record in Web of Science</v>
      </c>
    </row>
    <row r="865" spans="1:72" x14ac:dyDescent="0.15">
      <c r="A865" t="s">
        <v>72</v>
      </c>
      <c r="B865" t="s">
        <v>15492</v>
      </c>
      <c r="C865" t="s">
        <v>74</v>
      </c>
      <c r="D865" t="s">
        <v>74</v>
      </c>
      <c r="E865" t="s">
        <v>74</v>
      </c>
      <c r="F865" t="s">
        <v>15493</v>
      </c>
      <c r="G865" t="s">
        <v>74</v>
      </c>
      <c r="H865" t="s">
        <v>74</v>
      </c>
      <c r="I865" t="s">
        <v>15494</v>
      </c>
      <c r="J865" t="s">
        <v>721</v>
      </c>
      <c r="K865" t="s">
        <v>74</v>
      </c>
      <c r="L865" t="s">
        <v>74</v>
      </c>
      <c r="M865" t="s">
        <v>78</v>
      </c>
      <c r="N865" t="s">
        <v>79</v>
      </c>
      <c r="O865" t="s">
        <v>74</v>
      </c>
      <c r="P865" t="s">
        <v>74</v>
      </c>
      <c r="Q865" t="s">
        <v>74</v>
      </c>
      <c r="R865" t="s">
        <v>74</v>
      </c>
      <c r="S865" t="s">
        <v>74</v>
      </c>
      <c r="T865" t="s">
        <v>74</v>
      </c>
      <c r="U865" t="s">
        <v>15495</v>
      </c>
      <c r="V865" t="s">
        <v>15496</v>
      </c>
      <c r="W865" t="s">
        <v>15497</v>
      </c>
      <c r="X865" t="s">
        <v>15498</v>
      </c>
      <c r="Y865" t="s">
        <v>15499</v>
      </c>
      <c r="Z865" t="s">
        <v>15500</v>
      </c>
      <c r="AA865" t="s">
        <v>15501</v>
      </c>
      <c r="AB865" t="s">
        <v>15502</v>
      </c>
      <c r="AC865" t="s">
        <v>74</v>
      </c>
      <c r="AD865" t="s">
        <v>74</v>
      </c>
      <c r="AE865" t="s">
        <v>74</v>
      </c>
      <c r="AF865" t="s">
        <v>74</v>
      </c>
      <c r="AG865">
        <v>20</v>
      </c>
      <c r="AH865">
        <v>11</v>
      </c>
      <c r="AI865">
        <v>11</v>
      </c>
      <c r="AJ865">
        <v>3</v>
      </c>
      <c r="AK865">
        <v>16</v>
      </c>
      <c r="AL865" t="s">
        <v>226</v>
      </c>
      <c r="AM865" t="s">
        <v>227</v>
      </c>
      <c r="AN865" t="s">
        <v>228</v>
      </c>
      <c r="AO865" t="s">
        <v>731</v>
      </c>
      <c r="AP865" t="s">
        <v>732</v>
      </c>
      <c r="AQ865" t="s">
        <v>74</v>
      </c>
      <c r="AR865" t="s">
        <v>733</v>
      </c>
      <c r="AS865" t="s">
        <v>734</v>
      </c>
      <c r="AT865" t="s">
        <v>15503</v>
      </c>
      <c r="AU865">
        <v>2009</v>
      </c>
      <c r="AV865">
        <v>36</v>
      </c>
      <c r="AW865" t="s">
        <v>74</v>
      </c>
      <c r="AX865" t="s">
        <v>74</v>
      </c>
      <c r="AY865" t="s">
        <v>74</v>
      </c>
      <c r="AZ865" t="s">
        <v>74</v>
      </c>
      <c r="BA865" t="s">
        <v>74</v>
      </c>
      <c r="BB865" t="s">
        <v>74</v>
      </c>
      <c r="BC865" t="s">
        <v>74</v>
      </c>
      <c r="BD865" t="s">
        <v>15504</v>
      </c>
      <c r="BE865" t="s">
        <v>15505</v>
      </c>
      <c r="BF865" t="str">
        <f>HYPERLINK("http://dx.doi.org/10.1029/2009GL038603","http://dx.doi.org/10.1029/2009GL038603")</f>
        <v>http://dx.doi.org/10.1029/2009GL038603</v>
      </c>
      <c r="BG865" t="s">
        <v>74</v>
      </c>
      <c r="BH865" t="s">
        <v>74</v>
      </c>
      <c r="BI865">
        <v>6</v>
      </c>
      <c r="BJ865" t="s">
        <v>464</v>
      </c>
      <c r="BK865" t="s">
        <v>98</v>
      </c>
      <c r="BL865" t="s">
        <v>465</v>
      </c>
      <c r="BM865" t="s">
        <v>15506</v>
      </c>
      <c r="BN865" t="s">
        <v>74</v>
      </c>
      <c r="BO865" t="s">
        <v>263</v>
      </c>
      <c r="BP865" t="s">
        <v>74</v>
      </c>
      <c r="BQ865" t="s">
        <v>74</v>
      </c>
      <c r="BR865" t="s">
        <v>101</v>
      </c>
      <c r="BS865" t="s">
        <v>15507</v>
      </c>
      <c r="BT865" t="str">
        <f>HYPERLINK("https%3A%2F%2Fwww.webofscience.com%2Fwos%2Fwoscc%2Ffull-record%2FWOS:000267000700007","View Full Record in Web of Science")</f>
        <v>View Full Record in Web of Science</v>
      </c>
    </row>
    <row r="866" spans="1:72" x14ac:dyDescent="0.15">
      <c r="A866" t="s">
        <v>72</v>
      </c>
      <c r="B866" t="s">
        <v>15508</v>
      </c>
      <c r="C866" t="s">
        <v>74</v>
      </c>
      <c r="D866" t="s">
        <v>74</v>
      </c>
      <c r="E866" t="s">
        <v>74</v>
      </c>
      <c r="F866" t="s">
        <v>15509</v>
      </c>
      <c r="G866" t="s">
        <v>74</v>
      </c>
      <c r="H866" t="s">
        <v>74</v>
      </c>
      <c r="I866" t="s">
        <v>15510</v>
      </c>
      <c r="J866" t="s">
        <v>328</v>
      </c>
      <c r="K866" t="s">
        <v>74</v>
      </c>
      <c r="L866" t="s">
        <v>74</v>
      </c>
      <c r="M866" t="s">
        <v>78</v>
      </c>
      <c r="N866" t="s">
        <v>79</v>
      </c>
      <c r="O866" t="s">
        <v>74</v>
      </c>
      <c r="P866" t="s">
        <v>74</v>
      </c>
      <c r="Q866" t="s">
        <v>74</v>
      </c>
      <c r="R866" t="s">
        <v>74</v>
      </c>
      <c r="S866" t="s">
        <v>74</v>
      </c>
      <c r="T866" t="s">
        <v>74</v>
      </c>
      <c r="U866" t="s">
        <v>15511</v>
      </c>
      <c r="V866" t="s">
        <v>15512</v>
      </c>
      <c r="W866" t="s">
        <v>15513</v>
      </c>
      <c r="X866" t="s">
        <v>15514</v>
      </c>
      <c r="Y866" t="s">
        <v>1262</v>
      </c>
      <c r="Z866" t="s">
        <v>15515</v>
      </c>
      <c r="AA866" t="s">
        <v>15516</v>
      </c>
      <c r="AB866" t="s">
        <v>15517</v>
      </c>
      <c r="AC866" t="s">
        <v>15518</v>
      </c>
      <c r="AD866" t="s">
        <v>15519</v>
      </c>
      <c r="AE866" t="s">
        <v>15520</v>
      </c>
      <c r="AF866" t="s">
        <v>74</v>
      </c>
      <c r="AG866">
        <v>59</v>
      </c>
      <c r="AH866">
        <v>7</v>
      </c>
      <c r="AI866">
        <v>7</v>
      </c>
      <c r="AJ866">
        <v>0</v>
      </c>
      <c r="AK866">
        <v>7</v>
      </c>
      <c r="AL866" t="s">
        <v>340</v>
      </c>
      <c r="AM866" t="s">
        <v>341</v>
      </c>
      <c r="AN866" t="s">
        <v>342</v>
      </c>
      <c r="AO866" t="s">
        <v>343</v>
      </c>
      <c r="AP866" t="s">
        <v>344</v>
      </c>
      <c r="AQ866" t="s">
        <v>74</v>
      </c>
      <c r="AR866" t="s">
        <v>328</v>
      </c>
      <c r="AS866" t="s">
        <v>345</v>
      </c>
      <c r="AT866" t="s">
        <v>15521</v>
      </c>
      <c r="AU866">
        <v>2009</v>
      </c>
      <c r="AV866" t="s">
        <v>74</v>
      </c>
      <c r="AW866">
        <v>2</v>
      </c>
      <c r="AX866" t="s">
        <v>74</v>
      </c>
      <c r="AY866" t="s">
        <v>74</v>
      </c>
      <c r="AZ866" t="s">
        <v>74</v>
      </c>
      <c r="BA866" t="s">
        <v>74</v>
      </c>
      <c r="BB866">
        <v>320</v>
      </c>
      <c r="BC866">
        <v>327</v>
      </c>
      <c r="BD866" t="s">
        <v>74</v>
      </c>
      <c r="BE866" t="s">
        <v>15522</v>
      </c>
      <c r="BF866" t="str">
        <f>HYPERLINK("http://dx.doi.org/10.1643/CG-08-087","http://dx.doi.org/10.1643/CG-08-087")</f>
        <v>http://dx.doi.org/10.1643/CG-08-087</v>
      </c>
      <c r="BG866" t="s">
        <v>74</v>
      </c>
      <c r="BH866" t="s">
        <v>74</v>
      </c>
      <c r="BI866">
        <v>8</v>
      </c>
      <c r="BJ866" t="s">
        <v>207</v>
      </c>
      <c r="BK866" t="s">
        <v>98</v>
      </c>
      <c r="BL866" t="s">
        <v>207</v>
      </c>
      <c r="BM866" t="s">
        <v>15523</v>
      </c>
      <c r="BN866" t="s">
        <v>74</v>
      </c>
      <c r="BO866" t="s">
        <v>74</v>
      </c>
      <c r="BP866" t="s">
        <v>74</v>
      </c>
      <c r="BQ866" t="s">
        <v>74</v>
      </c>
      <c r="BR866" t="s">
        <v>101</v>
      </c>
      <c r="BS866" t="s">
        <v>15524</v>
      </c>
      <c r="BT866" t="str">
        <f>HYPERLINK("https%3A%2F%2Fwww.webofscience.com%2Fwos%2Fwoscc%2Ffull-record%2FWOS:000267151100015","View Full Record in Web of Science")</f>
        <v>View Full Record in Web of Science</v>
      </c>
    </row>
    <row r="867" spans="1:72" x14ac:dyDescent="0.15">
      <c r="A867" t="s">
        <v>72</v>
      </c>
      <c r="B867" t="s">
        <v>15525</v>
      </c>
      <c r="C867" t="s">
        <v>74</v>
      </c>
      <c r="D867" t="s">
        <v>74</v>
      </c>
      <c r="E867" t="s">
        <v>74</v>
      </c>
      <c r="F867" t="s">
        <v>15526</v>
      </c>
      <c r="G867" t="s">
        <v>74</v>
      </c>
      <c r="H867" t="s">
        <v>74</v>
      </c>
      <c r="I867" t="s">
        <v>15527</v>
      </c>
      <c r="J867" t="s">
        <v>789</v>
      </c>
      <c r="K867" t="s">
        <v>74</v>
      </c>
      <c r="L867" t="s">
        <v>74</v>
      </c>
      <c r="M867" t="s">
        <v>78</v>
      </c>
      <c r="N867" t="s">
        <v>79</v>
      </c>
      <c r="O867" t="s">
        <v>74</v>
      </c>
      <c r="P867" t="s">
        <v>74</v>
      </c>
      <c r="Q867" t="s">
        <v>74</v>
      </c>
      <c r="R867" t="s">
        <v>74</v>
      </c>
      <c r="S867" t="s">
        <v>74</v>
      </c>
      <c r="T867" t="s">
        <v>74</v>
      </c>
      <c r="U867" t="s">
        <v>15528</v>
      </c>
      <c r="V867" t="s">
        <v>15529</v>
      </c>
      <c r="W867" t="s">
        <v>15530</v>
      </c>
      <c r="X867" t="s">
        <v>15531</v>
      </c>
      <c r="Y867" t="s">
        <v>15532</v>
      </c>
      <c r="Z867" t="s">
        <v>13509</v>
      </c>
      <c r="AA867" t="s">
        <v>15533</v>
      </c>
      <c r="AB867" t="s">
        <v>15534</v>
      </c>
      <c r="AC867" t="s">
        <v>15535</v>
      </c>
      <c r="AD867" t="s">
        <v>15536</v>
      </c>
      <c r="AE867" t="s">
        <v>15537</v>
      </c>
      <c r="AF867" t="s">
        <v>74</v>
      </c>
      <c r="AG867">
        <v>48</v>
      </c>
      <c r="AH867">
        <v>29</v>
      </c>
      <c r="AI867">
        <v>31</v>
      </c>
      <c r="AJ867">
        <v>0</v>
      </c>
      <c r="AK867">
        <v>13</v>
      </c>
      <c r="AL867" t="s">
        <v>226</v>
      </c>
      <c r="AM867" t="s">
        <v>227</v>
      </c>
      <c r="AN867" t="s">
        <v>228</v>
      </c>
      <c r="AO867" t="s">
        <v>800</v>
      </c>
      <c r="AP867" t="s">
        <v>801</v>
      </c>
      <c r="AQ867" t="s">
        <v>74</v>
      </c>
      <c r="AR867" t="s">
        <v>802</v>
      </c>
      <c r="AS867" t="s">
        <v>803</v>
      </c>
      <c r="AT867" t="s">
        <v>15538</v>
      </c>
      <c r="AU867">
        <v>2009</v>
      </c>
      <c r="AV867">
        <v>114</v>
      </c>
      <c r="AW867" t="s">
        <v>74</v>
      </c>
      <c r="AX867" t="s">
        <v>74</v>
      </c>
      <c r="AY867" t="s">
        <v>74</v>
      </c>
      <c r="AZ867" t="s">
        <v>74</v>
      </c>
      <c r="BA867" t="s">
        <v>74</v>
      </c>
      <c r="BB867" t="s">
        <v>74</v>
      </c>
      <c r="BC867" t="s">
        <v>74</v>
      </c>
      <c r="BD867" t="s">
        <v>15539</v>
      </c>
      <c r="BE867" t="s">
        <v>15540</v>
      </c>
      <c r="BF867" t="str">
        <f>HYPERLINK("http://dx.doi.org/10.1029/2008JC005229","http://dx.doi.org/10.1029/2008JC005229")</f>
        <v>http://dx.doi.org/10.1029/2008JC005229</v>
      </c>
      <c r="BG867" t="s">
        <v>74</v>
      </c>
      <c r="BH867" t="s">
        <v>74</v>
      </c>
      <c r="BI867">
        <v>19</v>
      </c>
      <c r="BJ867" t="s">
        <v>806</v>
      </c>
      <c r="BK867" t="s">
        <v>98</v>
      </c>
      <c r="BL867" t="s">
        <v>806</v>
      </c>
      <c r="BM867" t="s">
        <v>15541</v>
      </c>
      <c r="BN867" t="s">
        <v>74</v>
      </c>
      <c r="BO867" t="s">
        <v>74</v>
      </c>
      <c r="BP867" t="s">
        <v>74</v>
      </c>
      <c r="BQ867" t="s">
        <v>74</v>
      </c>
      <c r="BR867" t="s">
        <v>101</v>
      </c>
      <c r="BS867" t="s">
        <v>15542</v>
      </c>
      <c r="BT867" t="str">
        <f>HYPERLINK("https%3A%2F%2Fwww.webofscience.com%2Fwos%2Fwoscc%2Ffull-record%2FWOS:000267002600002","View Full Record in Web of Science")</f>
        <v>View Full Record in Web of Science</v>
      </c>
    </row>
    <row r="868" spans="1:72" x14ac:dyDescent="0.15">
      <c r="A868" t="s">
        <v>72</v>
      </c>
      <c r="B868" t="s">
        <v>15543</v>
      </c>
      <c r="C868" t="s">
        <v>74</v>
      </c>
      <c r="D868" t="s">
        <v>74</v>
      </c>
      <c r="E868" t="s">
        <v>74</v>
      </c>
      <c r="F868" t="s">
        <v>15544</v>
      </c>
      <c r="G868" t="s">
        <v>74</v>
      </c>
      <c r="H868" t="s">
        <v>74</v>
      </c>
      <c r="I868" t="s">
        <v>15545</v>
      </c>
      <c r="J868" t="s">
        <v>721</v>
      </c>
      <c r="K868" t="s">
        <v>74</v>
      </c>
      <c r="L868" t="s">
        <v>74</v>
      </c>
      <c r="M868" t="s">
        <v>78</v>
      </c>
      <c r="N868" t="s">
        <v>79</v>
      </c>
      <c r="O868" t="s">
        <v>74</v>
      </c>
      <c r="P868" t="s">
        <v>74</v>
      </c>
      <c r="Q868" t="s">
        <v>74</v>
      </c>
      <c r="R868" t="s">
        <v>74</v>
      </c>
      <c r="S868" t="s">
        <v>74</v>
      </c>
      <c r="T868" t="s">
        <v>74</v>
      </c>
      <c r="U868" t="s">
        <v>15546</v>
      </c>
      <c r="V868" t="s">
        <v>15547</v>
      </c>
      <c r="W868" t="s">
        <v>15548</v>
      </c>
      <c r="X868" t="s">
        <v>9529</v>
      </c>
      <c r="Y868" t="s">
        <v>15549</v>
      </c>
      <c r="Z868" t="s">
        <v>15550</v>
      </c>
      <c r="AA868" t="s">
        <v>74</v>
      </c>
      <c r="AB868" t="s">
        <v>15551</v>
      </c>
      <c r="AC868" t="s">
        <v>15552</v>
      </c>
      <c r="AD868" t="s">
        <v>15552</v>
      </c>
      <c r="AE868" t="s">
        <v>15553</v>
      </c>
      <c r="AF868" t="s">
        <v>74</v>
      </c>
      <c r="AG868">
        <v>13</v>
      </c>
      <c r="AH868">
        <v>42</v>
      </c>
      <c r="AI868">
        <v>47</v>
      </c>
      <c r="AJ868">
        <v>1</v>
      </c>
      <c r="AK868">
        <v>32</v>
      </c>
      <c r="AL868" t="s">
        <v>226</v>
      </c>
      <c r="AM868" t="s">
        <v>227</v>
      </c>
      <c r="AN868" t="s">
        <v>228</v>
      </c>
      <c r="AO868" t="s">
        <v>731</v>
      </c>
      <c r="AP868" t="s">
        <v>732</v>
      </c>
      <c r="AQ868" t="s">
        <v>74</v>
      </c>
      <c r="AR868" t="s">
        <v>733</v>
      </c>
      <c r="AS868" t="s">
        <v>734</v>
      </c>
      <c r="AT868" t="s">
        <v>15554</v>
      </c>
      <c r="AU868">
        <v>2009</v>
      </c>
      <c r="AV868">
        <v>36</v>
      </c>
      <c r="AW868" t="s">
        <v>74</v>
      </c>
      <c r="AX868" t="s">
        <v>74</v>
      </c>
      <c r="AY868" t="s">
        <v>74</v>
      </c>
      <c r="AZ868" t="s">
        <v>74</v>
      </c>
      <c r="BA868" t="s">
        <v>74</v>
      </c>
      <c r="BB868" t="s">
        <v>74</v>
      </c>
      <c r="BC868" t="s">
        <v>74</v>
      </c>
      <c r="BD868" t="s">
        <v>15555</v>
      </c>
      <c r="BE868" t="s">
        <v>15556</v>
      </c>
      <c r="BF868" t="str">
        <f>HYPERLINK("http://dx.doi.org/10.1029/2009GL037304","http://dx.doi.org/10.1029/2009GL037304")</f>
        <v>http://dx.doi.org/10.1029/2009GL037304</v>
      </c>
      <c r="BG868" t="s">
        <v>74</v>
      </c>
      <c r="BH868" t="s">
        <v>74</v>
      </c>
      <c r="BI868">
        <v>4</v>
      </c>
      <c r="BJ868" t="s">
        <v>464</v>
      </c>
      <c r="BK868" t="s">
        <v>98</v>
      </c>
      <c r="BL868" t="s">
        <v>465</v>
      </c>
      <c r="BM868" t="s">
        <v>15557</v>
      </c>
      <c r="BN868" t="s">
        <v>74</v>
      </c>
      <c r="BO868" t="s">
        <v>627</v>
      </c>
      <c r="BP868" t="s">
        <v>74</v>
      </c>
      <c r="BQ868" t="s">
        <v>74</v>
      </c>
      <c r="BR868" t="s">
        <v>101</v>
      </c>
      <c r="BS868" t="s">
        <v>15558</v>
      </c>
      <c r="BT868" t="str">
        <f>HYPERLINK("https%3A%2F%2Fwww.webofscience.com%2Fwos%2Fwoscc%2Ffull-record%2FWOS:000267000200001","View Full Record in Web of Science")</f>
        <v>View Full Record in Web of Science</v>
      </c>
    </row>
    <row r="869" spans="1:72" x14ac:dyDescent="0.15">
      <c r="A869" t="s">
        <v>72</v>
      </c>
      <c r="B869" t="s">
        <v>15559</v>
      </c>
      <c r="C869" t="s">
        <v>74</v>
      </c>
      <c r="D869" t="s">
        <v>74</v>
      </c>
      <c r="E869" t="s">
        <v>74</v>
      </c>
      <c r="F869" t="s">
        <v>15560</v>
      </c>
      <c r="G869" t="s">
        <v>74</v>
      </c>
      <c r="H869" t="s">
        <v>74</v>
      </c>
      <c r="I869" t="s">
        <v>15561</v>
      </c>
      <c r="J869" t="s">
        <v>395</v>
      </c>
      <c r="K869" t="s">
        <v>74</v>
      </c>
      <c r="L869" t="s">
        <v>74</v>
      </c>
      <c r="M869" t="s">
        <v>78</v>
      </c>
      <c r="N869" t="s">
        <v>79</v>
      </c>
      <c r="O869" t="s">
        <v>74</v>
      </c>
      <c r="P869" t="s">
        <v>74</v>
      </c>
      <c r="Q869" t="s">
        <v>74</v>
      </c>
      <c r="R869" t="s">
        <v>74</v>
      </c>
      <c r="S869" t="s">
        <v>74</v>
      </c>
      <c r="T869" t="s">
        <v>74</v>
      </c>
      <c r="U869" t="s">
        <v>15562</v>
      </c>
      <c r="V869" t="s">
        <v>15563</v>
      </c>
      <c r="W869" t="s">
        <v>15564</v>
      </c>
      <c r="X869" t="s">
        <v>15565</v>
      </c>
      <c r="Y869" t="s">
        <v>15566</v>
      </c>
      <c r="Z869" t="s">
        <v>15567</v>
      </c>
      <c r="AA869" t="s">
        <v>15568</v>
      </c>
      <c r="AB869" t="s">
        <v>15569</v>
      </c>
      <c r="AC869" t="s">
        <v>15570</v>
      </c>
      <c r="AD869" t="s">
        <v>15571</v>
      </c>
      <c r="AE869" t="s">
        <v>15572</v>
      </c>
      <c r="AF869" t="s">
        <v>74</v>
      </c>
      <c r="AG869">
        <v>65</v>
      </c>
      <c r="AH869">
        <v>30</v>
      </c>
      <c r="AI869">
        <v>31</v>
      </c>
      <c r="AJ869">
        <v>0</v>
      </c>
      <c r="AK869">
        <v>12</v>
      </c>
      <c r="AL869" t="s">
        <v>226</v>
      </c>
      <c r="AM869" t="s">
        <v>227</v>
      </c>
      <c r="AN869" t="s">
        <v>228</v>
      </c>
      <c r="AO869" t="s">
        <v>407</v>
      </c>
      <c r="AP869" t="s">
        <v>408</v>
      </c>
      <c r="AQ869" t="s">
        <v>74</v>
      </c>
      <c r="AR869" t="s">
        <v>409</v>
      </c>
      <c r="AS869" t="s">
        <v>410</v>
      </c>
      <c r="AT869" t="s">
        <v>15573</v>
      </c>
      <c r="AU869">
        <v>2009</v>
      </c>
      <c r="AV869">
        <v>114</v>
      </c>
      <c r="AW869" t="s">
        <v>74</v>
      </c>
      <c r="AX869" t="s">
        <v>74</v>
      </c>
      <c r="AY869" t="s">
        <v>74</v>
      </c>
      <c r="AZ869" t="s">
        <v>74</v>
      </c>
      <c r="BA869" t="s">
        <v>74</v>
      </c>
      <c r="BB869" t="s">
        <v>74</v>
      </c>
      <c r="BC869" t="s">
        <v>74</v>
      </c>
      <c r="BD869" t="s">
        <v>15574</v>
      </c>
      <c r="BE869" t="s">
        <v>15575</v>
      </c>
      <c r="BF869" t="str">
        <f>HYPERLINK("http://dx.doi.org/10.1029/2008JD010475","http://dx.doi.org/10.1029/2008JD010475")</f>
        <v>http://dx.doi.org/10.1029/2008JD010475</v>
      </c>
      <c r="BG869" t="s">
        <v>74</v>
      </c>
      <c r="BH869" t="s">
        <v>74</v>
      </c>
      <c r="BI869">
        <v>14</v>
      </c>
      <c r="BJ869" t="s">
        <v>413</v>
      </c>
      <c r="BK869" t="s">
        <v>98</v>
      </c>
      <c r="BL869" t="s">
        <v>413</v>
      </c>
      <c r="BM869" t="s">
        <v>15576</v>
      </c>
      <c r="BN869" t="s">
        <v>74</v>
      </c>
      <c r="BO869" t="s">
        <v>263</v>
      </c>
      <c r="BP869" t="s">
        <v>74</v>
      </c>
      <c r="BQ869" t="s">
        <v>74</v>
      </c>
      <c r="BR869" t="s">
        <v>101</v>
      </c>
      <c r="BS869" t="s">
        <v>15577</v>
      </c>
      <c r="BT869" t="str">
        <f>HYPERLINK("https%3A%2F%2Fwww.webofscience.com%2Fwos%2Fwoscc%2Ffull-record%2FWOS:000267001300001","View Full Record in Web of Science")</f>
        <v>View Full Record in Web of Science</v>
      </c>
    </row>
    <row r="870" spans="1:72" x14ac:dyDescent="0.15">
      <c r="A870" t="s">
        <v>72</v>
      </c>
      <c r="B870" t="s">
        <v>15578</v>
      </c>
      <c r="C870" t="s">
        <v>74</v>
      </c>
      <c r="D870" t="s">
        <v>74</v>
      </c>
      <c r="E870" t="s">
        <v>74</v>
      </c>
      <c r="F870" t="s">
        <v>15579</v>
      </c>
      <c r="G870" t="s">
        <v>74</v>
      </c>
      <c r="H870" t="s">
        <v>74</v>
      </c>
      <c r="I870" t="s">
        <v>15580</v>
      </c>
      <c r="J870" t="s">
        <v>6546</v>
      </c>
      <c r="K870" t="s">
        <v>74</v>
      </c>
      <c r="L870" t="s">
        <v>74</v>
      </c>
      <c r="M870" t="s">
        <v>78</v>
      </c>
      <c r="N870" t="s">
        <v>79</v>
      </c>
      <c r="O870" t="s">
        <v>74</v>
      </c>
      <c r="P870" t="s">
        <v>74</v>
      </c>
      <c r="Q870" t="s">
        <v>74</v>
      </c>
      <c r="R870" t="s">
        <v>74</v>
      </c>
      <c r="S870" t="s">
        <v>74</v>
      </c>
      <c r="T870" t="s">
        <v>15581</v>
      </c>
      <c r="U870" t="s">
        <v>15582</v>
      </c>
      <c r="V870" t="s">
        <v>15583</v>
      </c>
      <c r="W870" t="s">
        <v>15584</v>
      </c>
      <c r="X870" t="s">
        <v>15585</v>
      </c>
      <c r="Y870" t="s">
        <v>15586</v>
      </c>
      <c r="Z870" t="s">
        <v>15587</v>
      </c>
      <c r="AA870" t="s">
        <v>15588</v>
      </c>
      <c r="AB870" t="s">
        <v>15589</v>
      </c>
      <c r="AC870" t="s">
        <v>15590</v>
      </c>
      <c r="AD870" t="s">
        <v>15591</v>
      </c>
      <c r="AE870" t="s">
        <v>15592</v>
      </c>
      <c r="AF870" t="s">
        <v>74</v>
      </c>
      <c r="AG870">
        <v>25</v>
      </c>
      <c r="AH870">
        <v>98</v>
      </c>
      <c r="AI870">
        <v>104</v>
      </c>
      <c r="AJ870">
        <v>1</v>
      </c>
      <c r="AK870">
        <v>48</v>
      </c>
      <c r="AL870" t="s">
        <v>432</v>
      </c>
      <c r="AM870" t="s">
        <v>433</v>
      </c>
      <c r="AN870" t="s">
        <v>434</v>
      </c>
      <c r="AO870" t="s">
        <v>6559</v>
      </c>
      <c r="AP870" t="s">
        <v>15593</v>
      </c>
      <c r="AQ870" t="s">
        <v>74</v>
      </c>
      <c r="AR870" t="s">
        <v>15594</v>
      </c>
      <c r="AS870" t="s">
        <v>6561</v>
      </c>
      <c r="AT870" t="s">
        <v>15595</v>
      </c>
      <c r="AU870">
        <v>2009</v>
      </c>
      <c r="AV870">
        <v>276</v>
      </c>
      <c r="AW870">
        <v>1664</v>
      </c>
      <c r="AX870" t="s">
        <v>74</v>
      </c>
      <c r="AY870" t="s">
        <v>74</v>
      </c>
      <c r="AZ870" t="s">
        <v>74</v>
      </c>
      <c r="BA870" t="s">
        <v>74</v>
      </c>
      <c r="BB870">
        <v>1965</v>
      </c>
      <c r="BC870">
        <v>1969</v>
      </c>
      <c r="BD870" t="s">
        <v>74</v>
      </c>
      <c r="BE870" t="s">
        <v>15596</v>
      </c>
      <c r="BF870" t="str">
        <f>HYPERLINK("http://dx.doi.org/10.1098/rspb.2009.0098","http://dx.doi.org/10.1098/rspb.2009.0098")</f>
        <v>http://dx.doi.org/10.1098/rspb.2009.0098</v>
      </c>
      <c r="BG870" t="s">
        <v>74</v>
      </c>
      <c r="BH870" t="s">
        <v>74</v>
      </c>
      <c r="BI870">
        <v>5</v>
      </c>
      <c r="BJ870" t="s">
        <v>440</v>
      </c>
      <c r="BK870" t="s">
        <v>98</v>
      </c>
      <c r="BL870" t="s">
        <v>441</v>
      </c>
      <c r="BM870" t="s">
        <v>15597</v>
      </c>
      <c r="BN870">
        <v>19324746</v>
      </c>
      <c r="BO870" t="s">
        <v>239</v>
      </c>
      <c r="BP870" t="s">
        <v>74</v>
      </c>
      <c r="BQ870" t="s">
        <v>74</v>
      </c>
      <c r="BR870" t="s">
        <v>101</v>
      </c>
      <c r="BS870" t="s">
        <v>15598</v>
      </c>
      <c r="BT870" t="str">
        <f>HYPERLINK("https%3A%2F%2Fwww.webofscience.com%2Fwos%2Fwoscc%2Ffull-record%2FWOS:000265450700005","View Full Record in Web of Science")</f>
        <v>View Full Record in Web of Science</v>
      </c>
    </row>
    <row r="871" spans="1:72" x14ac:dyDescent="0.15">
      <c r="A871" t="s">
        <v>72</v>
      </c>
      <c r="B871" t="s">
        <v>15599</v>
      </c>
      <c r="C871" t="s">
        <v>74</v>
      </c>
      <c r="D871" t="s">
        <v>74</v>
      </c>
      <c r="E871" t="s">
        <v>74</v>
      </c>
      <c r="F871" t="s">
        <v>15600</v>
      </c>
      <c r="G871" t="s">
        <v>74</v>
      </c>
      <c r="H871" t="s">
        <v>74</v>
      </c>
      <c r="I871" t="s">
        <v>15601</v>
      </c>
      <c r="J871" t="s">
        <v>721</v>
      </c>
      <c r="K871" t="s">
        <v>74</v>
      </c>
      <c r="L871" t="s">
        <v>74</v>
      </c>
      <c r="M871" t="s">
        <v>78</v>
      </c>
      <c r="N871" t="s">
        <v>79</v>
      </c>
      <c r="O871" t="s">
        <v>74</v>
      </c>
      <c r="P871" t="s">
        <v>74</v>
      </c>
      <c r="Q871" t="s">
        <v>74</v>
      </c>
      <c r="R871" t="s">
        <v>74</v>
      </c>
      <c r="S871" t="s">
        <v>74</v>
      </c>
      <c r="T871" t="s">
        <v>74</v>
      </c>
      <c r="U871" t="s">
        <v>15602</v>
      </c>
      <c r="V871" t="s">
        <v>15603</v>
      </c>
      <c r="W871" t="s">
        <v>15604</v>
      </c>
      <c r="X871" t="s">
        <v>1309</v>
      </c>
      <c r="Y871" t="s">
        <v>15605</v>
      </c>
      <c r="Z871" t="s">
        <v>15606</v>
      </c>
      <c r="AA871" t="s">
        <v>15607</v>
      </c>
      <c r="AB871" t="s">
        <v>15608</v>
      </c>
      <c r="AC871" t="s">
        <v>74</v>
      </c>
      <c r="AD871" t="s">
        <v>74</v>
      </c>
      <c r="AE871" t="s">
        <v>74</v>
      </c>
      <c r="AF871" t="s">
        <v>74</v>
      </c>
      <c r="AG871">
        <v>19</v>
      </c>
      <c r="AH871">
        <v>14</v>
      </c>
      <c r="AI871">
        <v>14</v>
      </c>
      <c r="AJ871">
        <v>0</v>
      </c>
      <c r="AK871">
        <v>2</v>
      </c>
      <c r="AL871" t="s">
        <v>226</v>
      </c>
      <c r="AM871" t="s">
        <v>227</v>
      </c>
      <c r="AN871" t="s">
        <v>228</v>
      </c>
      <c r="AO871" t="s">
        <v>731</v>
      </c>
      <c r="AP871" t="s">
        <v>74</v>
      </c>
      <c r="AQ871" t="s">
        <v>74</v>
      </c>
      <c r="AR871" t="s">
        <v>733</v>
      </c>
      <c r="AS871" t="s">
        <v>734</v>
      </c>
      <c r="AT871" t="s">
        <v>15609</v>
      </c>
      <c r="AU871">
        <v>2009</v>
      </c>
      <c r="AV871">
        <v>36</v>
      </c>
      <c r="AW871" t="s">
        <v>74</v>
      </c>
      <c r="AX871" t="s">
        <v>74</v>
      </c>
      <c r="AY871" t="s">
        <v>74</v>
      </c>
      <c r="AZ871" t="s">
        <v>74</v>
      </c>
      <c r="BA871" t="s">
        <v>74</v>
      </c>
      <c r="BB871" t="s">
        <v>74</v>
      </c>
      <c r="BC871" t="s">
        <v>74</v>
      </c>
      <c r="BD871" t="s">
        <v>15610</v>
      </c>
      <c r="BE871" t="s">
        <v>15611</v>
      </c>
      <c r="BF871" t="str">
        <f>HYPERLINK("http://dx.doi.org/10.1029/2009GL037817","http://dx.doi.org/10.1029/2009GL037817")</f>
        <v>http://dx.doi.org/10.1029/2009GL037817</v>
      </c>
      <c r="BG871" t="s">
        <v>74</v>
      </c>
      <c r="BH871" t="s">
        <v>74</v>
      </c>
      <c r="BI871">
        <v>6</v>
      </c>
      <c r="BJ871" t="s">
        <v>464</v>
      </c>
      <c r="BK871" t="s">
        <v>98</v>
      </c>
      <c r="BL871" t="s">
        <v>465</v>
      </c>
      <c r="BM871" t="s">
        <v>15612</v>
      </c>
      <c r="BN871" t="s">
        <v>74</v>
      </c>
      <c r="BO871" t="s">
        <v>263</v>
      </c>
      <c r="BP871" t="s">
        <v>74</v>
      </c>
      <c r="BQ871" t="s">
        <v>74</v>
      </c>
      <c r="BR871" t="s">
        <v>101</v>
      </c>
      <c r="BS871" t="s">
        <v>15613</v>
      </c>
      <c r="BT871" t="str">
        <f>HYPERLINK("https%3A%2F%2Fwww.webofscience.com%2Fwos%2Fwoscc%2Ffull-record%2FWOS:000266741800003","View Full Record in Web of Science")</f>
        <v>View Full Record in Web of Science</v>
      </c>
    </row>
    <row r="872" spans="1:72" x14ac:dyDescent="0.15">
      <c r="A872" t="s">
        <v>72</v>
      </c>
      <c r="B872" t="s">
        <v>15614</v>
      </c>
      <c r="C872" t="s">
        <v>74</v>
      </c>
      <c r="D872" t="s">
        <v>74</v>
      </c>
      <c r="E872" t="s">
        <v>74</v>
      </c>
      <c r="F872" t="s">
        <v>15615</v>
      </c>
      <c r="G872" t="s">
        <v>74</v>
      </c>
      <c r="H872" t="s">
        <v>74</v>
      </c>
      <c r="I872" t="s">
        <v>15616</v>
      </c>
      <c r="J872" t="s">
        <v>395</v>
      </c>
      <c r="K872" t="s">
        <v>74</v>
      </c>
      <c r="L872" t="s">
        <v>74</v>
      </c>
      <c r="M872" t="s">
        <v>78</v>
      </c>
      <c r="N872" t="s">
        <v>79</v>
      </c>
      <c r="O872" t="s">
        <v>74</v>
      </c>
      <c r="P872" t="s">
        <v>74</v>
      </c>
      <c r="Q872" t="s">
        <v>74</v>
      </c>
      <c r="R872" t="s">
        <v>74</v>
      </c>
      <c r="S872" t="s">
        <v>74</v>
      </c>
      <c r="T872" t="s">
        <v>74</v>
      </c>
      <c r="U872" t="s">
        <v>15617</v>
      </c>
      <c r="V872" t="s">
        <v>15618</v>
      </c>
      <c r="W872" t="s">
        <v>15619</v>
      </c>
      <c r="X872" t="s">
        <v>15620</v>
      </c>
      <c r="Y872" t="s">
        <v>15621</v>
      </c>
      <c r="Z872" t="s">
        <v>15622</v>
      </c>
      <c r="AA872" t="s">
        <v>15623</v>
      </c>
      <c r="AB872" t="s">
        <v>15624</v>
      </c>
      <c r="AC872" t="s">
        <v>15625</v>
      </c>
      <c r="AD872" t="s">
        <v>15626</v>
      </c>
      <c r="AE872" t="s">
        <v>15627</v>
      </c>
      <c r="AF872" t="s">
        <v>74</v>
      </c>
      <c r="AG872">
        <v>60</v>
      </c>
      <c r="AH872">
        <v>107</v>
      </c>
      <c r="AI872">
        <v>123</v>
      </c>
      <c r="AJ872">
        <v>1</v>
      </c>
      <c r="AK872">
        <v>27</v>
      </c>
      <c r="AL872" t="s">
        <v>226</v>
      </c>
      <c r="AM872" t="s">
        <v>227</v>
      </c>
      <c r="AN872" t="s">
        <v>228</v>
      </c>
      <c r="AO872" t="s">
        <v>407</v>
      </c>
      <c r="AP872" t="s">
        <v>408</v>
      </c>
      <c r="AQ872" t="s">
        <v>74</v>
      </c>
      <c r="AR872" t="s">
        <v>409</v>
      </c>
      <c r="AS872" t="s">
        <v>410</v>
      </c>
      <c r="AT872" t="s">
        <v>15609</v>
      </c>
      <c r="AU872">
        <v>2009</v>
      </c>
      <c r="AV872">
        <v>114</v>
      </c>
      <c r="AW872" t="s">
        <v>74</v>
      </c>
      <c r="AX872" t="s">
        <v>74</v>
      </c>
      <c r="AY872" t="s">
        <v>74</v>
      </c>
      <c r="AZ872" t="s">
        <v>74</v>
      </c>
      <c r="BA872" t="s">
        <v>74</v>
      </c>
      <c r="BB872" t="s">
        <v>74</v>
      </c>
      <c r="BC872" t="s">
        <v>74</v>
      </c>
      <c r="BD872" t="s">
        <v>15628</v>
      </c>
      <c r="BE872" t="s">
        <v>15629</v>
      </c>
      <c r="BF872" t="str">
        <f>HYPERLINK("http://dx.doi.org/10.1029/2008JD011501","http://dx.doi.org/10.1029/2008JD011501")</f>
        <v>http://dx.doi.org/10.1029/2008JD011501</v>
      </c>
      <c r="BG872" t="s">
        <v>74</v>
      </c>
      <c r="BH872" t="s">
        <v>74</v>
      </c>
      <c r="BI872">
        <v>11</v>
      </c>
      <c r="BJ872" t="s">
        <v>413</v>
      </c>
      <c r="BK872" t="s">
        <v>98</v>
      </c>
      <c r="BL872" t="s">
        <v>413</v>
      </c>
      <c r="BM872" t="s">
        <v>15630</v>
      </c>
      <c r="BN872" t="s">
        <v>74</v>
      </c>
      <c r="BO872" t="s">
        <v>74</v>
      </c>
      <c r="BP872" t="s">
        <v>74</v>
      </c>
      <c r="BQ872" t="s">
        <v>74</v>
      </c>
      <c r="BR872" t="s">
        <v>101</v>
      </c>
      <c r="BS872" t="s">
        <v>15631</v>
      </c>
      <c r="BT872" t="str">
        <f>HYPERLINK("https%3A%2F%2Fwww.webofscience.com%2Fwos%2Fwoscc%2Ffull-record%2FWOS:000266742500004","View Full Record in Web of Science")</f>
        <v>View Full Record in Web of Science</v>
      </c>
    </row>
    <row r="873" spans="1:72" x14ac:dyDescent="0.15">
      <c r="A873" t="s">
        <v>72</v>
      </c>
      <c r="B873" t="s">
        <v>15632</v>
      </c>
      <c r="C873" t="s">
        <v>74</v>
      </c>
      <c r="D873" t="s">
        <v>74</v>
      </c>
      <c r="E873" t="s">
        <v>74</v>
      </c>
      <c r="F873" t="s">
        <v>15633</v>
      </c>
      <c r="G873" t="s">
        <v>74</v>
      </c>
      <c r="H873" t="s">
        <v>74</v>
      </c>
      <c r="I873" t="s">
        <v>15634</v>
      </c>
      <c r="J873" t="s">
        <v>987</v>
      </c>
      <c r="K873" t="s">
        <v>74</v>
      </c>
      <c r="L873" t="s">
        <v>74</v>
      </c>
      <c r="M873" t="s">
        <v>78</v>
      </c>
      <c r="N873" t="s">
        <v>79</v>
      </c>
      <c r="O873" t="s">
        <v>74</v>
      </c>
      <c r="P873" t="s">
        <v>74</v>
      </c>
      <c r="Q873" t="s">
        <v>74</v>
      </c>
      <c r="R873" t="s">
        <v>74</v>
      </c>
      <c r="S873" t="s">
        <v>74</v>
      </c>
      <c r="T873" t="s">
        <v>74</v>
      </c>
      <c r="U873" t="s">
        <v>15635</v>
      </c>
      <c r="V873" t="s">
        <v>15636</v>
      </c>
      <c r="W873" t="s">
        <v>15637</v>
      </c>
      <c r="X873" t="s">
        <v>15638</v>
      </c>
      <c r="Y873" t="s">
        <v>15639</v>
      </c>
      <c r="Z873" t="s">
        <v>15640</v>
      </c>
      <c r="AA873" t="s">
        <v>15641</v>
      </c>
      <c r="AB873" t="s">
        <v>15642</v>
      </c>
      <c r="AC873" t="s">
        <v>15643</v>
      </c>
      <c r="AD873" t="s">
        <v>15644</v>
      </c>
      <c r="AE873" t="s">
        <v>15645</v>
      </c>
      <c r="AF873" t="s">
        <v>74</v>
      </c>
      <c r="AG873">
        <v>24</v>
      </c>
      <c r="AH873">
        <v>8</v>
      </c>
      <c r="AI873">
        <v>9</v>
      </c>
      <c r="AJ873">
        <v>0</v>
      </c>
      <c r="AK873">
        <v>2</v>
      </c>
      <c r="AL873" t="s">
        <v>226</v>
      </c>
      <c r="AM873" t="s">
        <v>227</v>
      </c>
      <c r="AN873" t="s">
        <v>228</v>
      </c>
      <c r="AO873" t="s">
        <v>997</v>
      </c>
      <c r="AP873" t="s">
        <v>998</v>
      </c>
      <c r="AQ873" t="s">
        <v>74</v>
      </c>
      <c r="AR873" t="s">
        <v>999</v>
      </c>
      <c r="AS873" t="s">
        <v>1000</v>
      </c>
      <c r="AT873" t="s">
        <v>15609</v>
      </c>
      <c r="AU873">
        <v>2009</v>
      </c>
      <c r="AV873">
        <v>114</v>
      </c>
      <c r="AW873" t="s">
        <v>74</v>
      </c>
      <c r="AX873" t="s">
        <v>74</v>
      </c>
      <c r="AY873" t="s">
        <v>74</v>
      </c>
      <c r="AZ873" t="s">
        <v>74</v>
      </c>
      <c r="BA873" t="s">
        <v>74</v>
      </c>
      <c r="BB873" t="s">
        <v>74</v>
      </c>
      <c r="BC873" t="s">
        <v>74</v>
      </c>
      <c r="BD873" t="s">
        <v>15646</v>
      </c>
      <c r="BE873" t="s">
        <v>15647</v>
      </c>
      <c r="BF873" t="str">
        <f>HYPERLINK("http://dx.doi.org/10.1029/2008JA013496","http://dx.doi.org/10.1029/2008JA013496")</f>
        <v>http://dx.doi.org/10.1029/2008JA013496</v>
      </c>
      <c r="BG873" t="s">
        <v>74</v>
      </c>
      <c r="BH873" t="s">
        <v>74</v>
      </c>
      <c r="BI873">
        <v>13</v>
      </c>
      <c r="BJ873" t="s">
        <v>1003</v>
      </c>
      <c r="BK873" t="s">
        <v>98</v>
      </c>
      <c r="BL873" t="s">
        <v>1003</v>
      </c>
      <c r="BM873" t="s">
        <v>15648</v>
      </c>
      <c r="BN873" t="s">
        <v>74</v>
      </c>
      <c r="BO873" t="s">
        <v>74</v>
      </c>
      <c r="BP873" t="s">
        <v>74</v>
      </c>
      <c r="BQ873" t="s">
        <v>74</v>
      </c>
      <c r="BR873" t="s">
        <v>101</v>
      </c>
      <c r="BS873" t="s">
        <v>15649</v>
      </c>
      <c r="BT873" t="str">
        <f>HYPERLINK("https%3A%2F%2Fwww.webofscience.com%2Fwos%2Fwoscc%2Ffull-record%2FWOS:000266747100001","View Full Record in Web of Science")</f>
        <v>View Full Record in Web of Science</v>
      </c>
    </row>
    <row r="874" spans="1:72" x14ac:dyDescent="0.15">
      <c r="A874" t="s">
        <v>72</v>
      </c>
      <c r="B874" t="s">
        <v>15650</v>
      </c>
      <c r="C874" t="s">
        <v>74</v>
      </c>
      <c r="D874" t="s">
        <v>74</v>
      </c>
      <c r="E874" t="s">
        <v>74</v>
      </c>
      <c r="F874" t="s">
        <v>15651</v>
      </c>
      <c r="G874" t="s">
        <v>74</v>
      </c>
      <c r="H874" t="s">
        <v>74</v>
      </c>
      <c r="I874" t="s">
        <v>15652</v>
      </c>
      <c r="J874" t="s">
        <v>721</v>
      </c>
      <c r="K874" t="s">
        <v>74</v>
      </c>
      <c r="L874" t="s">
        <v>74</v>
      </c>
      <c r="M874" t="s">
        <v>78</v>
      </c>
      <c r="N874" t="s">
        <v>79</v>
      </c>
      <c r="O874" t="s">
        <v>74</v>
      </c>
      <c r="P874" t="s">
        <v>74</v>
      </c>
      <c r="Q874" t="s">
        <v>74</v>
      </c>
      <c r="R874" t="s">
        <v>74</v>
      </c>
      <c r="S874" t="s">
        <v>74</v>
      </c>
      <c r="T874" t="s">
        <v>74</v>
      </c>
      <c r="U874" t="s">
        <v>15653</v>
      </c>
      <c r="V874" t="s">
        <v>15654</v>
      </c>
      <c r="W874" t="s">
        <v>15655</v>
      </c>
      <c r="X874" t="s">
        <v>14867</v>
      </c>
      <c r="Y874" t="s">
        <v>15656</v>
      </c>
      <c r="Z874" t="s">
        <v>15657</v>
      </c>
      <c r="AA874" t="s">
        <v>15658</v>
      </c>
      <c r="AB874" t="s">
        <v>15659</v>
      </c>
      <c r="AC874" t="s">
        <v>15660</v>
      </c>
      <c r="AD874" t="s">
        <v>15661</v>
      </c>
      <c r="AE874" t="s">
        <v>74</v>
      </c>
      <c r="AF874" t="s">
        <v>74</v>
      </c>
      <c r="AG874">
        <v>31</v>
      </c>
      <c r="AH874">
        <v>85</v>
      </c>
      <c r="AI874">
        <v>89</v>
      </c>
      <c r="AJ874">
        <v>0</v>
      </c>
      <c r="AK874">
        <v>18</v>
      </c>
      <c r="AL874" t="s">
        <v>226</v>
      </c>
      <c r="AM874" t="s">
        <v>227</v>
      </c>
      <c r="AN874" t="s">
        <v>228</v>
      </c>
      <c r="AO874" t="s">
        <v>731</v>
      </c>
      <c r="AP874" t="s">
        <v>732</v>
      </c>
      <c r="AQ874" t="s">
        <v>74</v>
      </c>
      <c r="AR874" t="s">
        <v>733</v>
      </c>
      <c r="AS874" t="s">
        <v>734</v>
      </c>
      <c r="AT874" t="s">
        <v>15662</v>
      </c>
      <c r="AU874">
        <v>2009</v>
      </c>
      <c r="AV874">
        <v>36</v>
      </c>
      <c r="AW874" t="s">
        <v>74</v>
      </c>
      <c r="AX874" t="s">
        <v>74</v>
      </c>
      <c r="AY874" t="s">
        <v>74</v>
      </c>
      <c r="AZ874" t="s">
        <v>74</v>
      </c>
      <c r="BA874" t="s">
        <v>74</v>
      </c>
      <c r="BB874" t="s">
        <v>74</v>
      </c>
      <c r="BC874" t="s">
        <v>74</v>
      </c>
      <c r="BD874" t="s">
        <v>15663</v>
      </c>
      <c r="BE874" t="s">
        <v>15664</v>
      </c>
      <c r="BF874" t="str">
        <f>HYPERLINK("http://dx.doi.org/10.1029/2009GL038162","http://dx.doi.org/10.1029/2009GL038162")</f>
        <v>http://dx.doi.org/10.1029/2009GL038162</v>
      </c>
      <c r="BG874" t="s">
        <v>74</v>
      </c>
      <c r="BH874" t="s">
        <v>74</v>
      </c>
      <c r="BI874">
        <v>6</v>
      </c>
      <c r="BJ874" t="s">
        <v>464</v>
      </c>
      <c r="BK874" t="s">
        <v>98</v>
      </c>
      <c r="BL874" t="s">
        <v>465</v>
      </c>
      <c r="BM874" t="s">
        <v>15665</v>
      </c>
      <c r="BN874" t="s">
        <v>74</v>
      </c>
      <c r="BO874" t="s">
        <v>1381</v>
      </c>
      <c r="BP874" t="s">
        <v>74</v>
      </c>
      <c r="BQ874" t="s">
        <v>74</v>
      </c>
      <c r="BR874" t="s">
        <v>101</v>
      </c>
      <c r="BS874" t="s">
        <v>15666</v>
      </c>
      <c r="BT874" t="str">
        <f>HYPERLINK("https%3A%2F%2Fwww.webofscience.com%2Fwos%2Fwoscc%2Ffull-record%2FWOS:000266741700007","View Full Record in Web of Science")</f>
        <v>View Full Record in Web of Science</v>
      </c>
    </row>
    <row r="875" spans="1:72" x14ac:dyDescent="0.15">
      <c r="A875" t="s">
        <v>72</v>
      </c>
      <c r="B875" t="s">
        <v>15667</v>
      </c>
      <c r="C875" t="s">
        <v>74</v>
      </c>
      <c r="D875" t="s">
        <v>74</v>
      </c>
      <c r="E875" t="s">
        <v>74</v>
      </c>
      <c r="F875" t="s">
        <v>15668</v>
      </c>
      <c r="G875" t="s">
        <v>74</v>
      </c>
      <c r="H875" t="s">
        <v>74</v>
      </c>
      <c r="I875" t="s">
        <v>15669</v>
      </c>
      <c r="J875" t="s">
        <v>522</v>
      </c>
      <c r="K875" t="s">
        <v>74</v>
      </c>
      <c r="L875" t="s">
        <v>74</v>
      </c>
      <c r="M875" t="s">
        <v>78</v>
      </c>
      <c r="N875" t="s">
        <v>79</v>
      </c>
      <c r="O875" t="s">
        <v>74</v>
      </c>
      <c r="P875" t="s">
        <v>74</v>
      </c>
      <c r="Q875" t="s">
        <v>74</v>
      </c>
      <c r="R875" t="s">
        <v>74</v>
      </c>
      <c r="S875" t="s">
        <v>74</v>
      </c>
      <c r="T875" t="s">
        <v>74</v>
      </c>
      <c r="U875" t="s">
        <v>15670</v>
      </c>
      <c r="V875" t="s">
        <v>15671</v>
      </c>
      <c r="W875" t="s">
        <v>15672</v>
      </c>
      <c r="X875" t="s">
        <v>15673</v>
      </c>
      <c r="Y875" t="s">
        <v>15674</v>
      </c>
      <c r="Z875" t="s">
        <v>15675</v>
      </c>
      <c r="AA875" t="s">
        <v>15676</v>
      </c>
      <c r="AB875" t="s">
        <v>15677</v>
      </c>
      <c r="AC875" t="s">
        <v>15678</v>
      </c>
      <c r="AD875" t="s">
        <v>15679</v>
      </c>
      <c r="AE875" t="s">
        <v>15680</v>
      </c>
      <c r="AF875" t="s">
        <v>74</v>
      </c>
      <c r="AG875">
        <v>30</v>
      </c>
      <c r="AH875">
        <v>134</v>
      </c>
      <c r="AI875">
        <v>167</v>
      </c>
      <c r="AJ875">
        <v>2</v>
      </c>
      <c r="AK875">
        <v>68</v>
      </c>
      <c r="AL875" t="s">
        <v>2890</v>
      </c>
      <c r="AM875" t="s">
        <v>433</v>
      </c>
      <c r="AN875" t="s">
        <v>3957</v>
      </c>
      <c r="AO875" t="s">
        <v>532</v>
      </c>
      <c r="AP875" t="s">
        <v>533</v>
      </c>
      <c r="AQ875" t="s">
        <v>74</v>
      </c>
      <c r="AR875" t="s">
        <v>522</v>
      </c>
      <c r="AS875" t="s">
        <v>534</v>
      </c>
      <c r="AT875" t="s">
        <v>15662</v>
      </c>
      <c r="AU875">
        <v>2009</v>
      </c>
      <c r="AV875">
        <v>459</v>
      </c>
      <c r="AW875">
        <v>7247</v>
      </c>
      <c r="AX875" t="s">
        <v>74</v>
      </c>
      <c r="AY875" t="s">
        <v>74</v>
      </c>
      <c r="AZ875" t="s">
        <v>74</v>
      </c>
      <c r="BA875" t="s">
        <v>74</v>
      </c>
      <c r="BB875">
        <v>690</v>
      </c>
      <c r="BC875">
        <v>693</v>
      </c>
      <c r="BD875" t="s">
        <v>74</v>
      </c>
      <c r="BE875" t="s">
        <v>15681</v>
      </c>
      <c r="BF875" t="str">
        <f>HYPERLINK("http://dx.doi.org/10.1038/nature08024","http://dx.doi.org/10.1038/nature08024")</f>
        <v>http://dx.doi.org/10.1038/nature08024</v>
      </c>
      <c r="BG875" t="s">
        <v>74</v>
      </c>
      <c r="BH875" t="s">
        <v>74</v>
      </c>
      <c r="BI875">
        <v>4</v>
      </c>
      <c r="BJ875" t="s">
        <v>388</v>
      </c>
      <c r="BK875" t="s">
        <v>98</v>
      </c>
      <c r="BL875" t="s">
        <v>389</v>
      </c>
      <c r="BM875" t="s">
        <v>15682</v>
      </c>
      <c r="BN875">
        <v>19494912</v>
      </c>
      <c r="BO875" t="s">
        <v>74</v>
      </c>
      <c r="BP875" t="s">
        <v>74</v>
      </c>
      <c r="BQ875" t="s">
        <v>74</v>
      </c>
      <c r="BR875" t="s">
        <v>101</v>
      </c>
      <c r="BS875" t="s">
        <v>15683</v>
      </c>
      <c r="BT875" t="str">
        <f>HYPERLINK("https%3A%2F%2Fwww.webofscience.com%2Fwos%2Fwoscc%2Ffull-record%2FWOS:000266608600041","View Full Record in Web of Science")</f>
        <v>View Full Record in Web of Science</v>
      </c>
    </row>
    <row r="876" spans="1:72" x14ac:dyDescent="0.15">
      <c r="A876" t="s">
        <v>72</v>
      </c>
      <c r="B876" t="s">
        <v>15684</v>
      </c>
      <c r="C876" t="s">
        <v>74</v>
      </c>
      <c r="D876" t="s">
        <v>74</v>
      </c>
      <c r="E876" t="s">
        <v>74</v>
      </c>
      <c r="F876" t="s">
        <v>15685</v>
      </c>
      <c r="G876" t="s">
        <v>74</v>
      </c>
      <c r="H876" t="s">
        <v>74</v>
      </c>
      <c r="I876" t="s">
        <v>15686</v>
      </c>
      <c r="J876" t="s">
        <v>214</v>
      </c>
      <c r="K876" t="s">
        <v>74</v>
      </c>
      <c r="L876" t="s">
        <v>74</v>
      </c>
      <c r="M876" t="s">
        <v>78</v>
      </c>
      <c r="N876" t="s">
        <v>79</v>
      </c>
      <c r="O876" t="s">
        <v>74</v>
      </c>
      <c r="P876" t="s">
        <v>74</v>
      </c>
      <c r="Q876" t="s">
        <v>74</v>
      </c>
      <c r="R876" t="s">
        <v>74</v>
      </c>
      <c r="S876" t="s">
        <v>74</v>
      </c>
      <c r="T876" t="s">
        <v>74</v>
      </c>
      <c r="U876" t="s">
        <v>15687</v>
      </c>
      <c r="V876" t="s">
        <v>15688</v>
      </c>
      <c r="W876" t="s">
        <v>15689</v>
      </c>
      <c r="X876" t="s">
        <v>15690</v>
      </c>
      <c r="Y876" t="s">
        <v>15691</v>
      </c>
      <c r="Z876" t="s">
        <v>15692</v>
      </c>
      <c r="AA876" t="s">
        <v>74</v>
      </c>
      <c r="AB876" t="s">
        <v>74</v>
      </c>
      <c r="AC876" t="s">
        <v>74</v>
      </c>
      <c r="AD876" t="s">
        <v>74</v>
      </c>
      <c r="AE876" t="s">
        <v>74</v>
      </c>
      <c r="AF876" t="s">
        <v>74</v>
      </c>
      <c r="AG876">
        <v>33</v>
      </c>
      <c r="AH876">
        <v>26</v>
      </c>
      <c r="AI876">
        <v>26</v>
      </c>
      <c r="AJ876">
        <v>2</v>
      </c>
      <c r="AK876">
        <v>12</v>
      </c>
      <c r="AL876" t="s">
        <v>226</v>
      </c>
      <c r="AM876" t="s">
        <v>227</v>
      </c>
      <c r="AN876" t="s">
        <v>228</v>
      </c>
      <c r="AO876" t="s">
        <v>229</v>
      </c>
      <c r="AP876" t="s">
        <v>230</v>
      </c>
      <c r="AQ876" t="s">
        <v>74</v>
      </c>
      <c r="AR876" t="s">
        <v>231</v>
      </c>
      <c r="AS876" t="s">
        <v>232</v>
      </c>
      <c r="AT876" t="s">
        <v>15693</v>
      </c>
      <c r="AU876">
        <v>2009</v>
      </c>
      <c r="AV876">
        <v>23</v>
      </c>
      <c r="AW876" t="s">
        <v>74</v>
      </c>
      <c r="AX876" t="s">
        <v>74</v>
      </c>
      <c r="AY876" t="s">
        <v>74</v>
      </c>
      <c r="AZ876" t="s">
        <v>74</v>
      </c>
      <c r="BA876" t="s">
        <v>74</v>
      </c>
      <c r="BB876" t="s">
        <v>74</v>
      </c>
      <c r="BC876" t="s">
        <v>74</v>
      </c>
      <c r="BD876" t="s">
        <v>15694</v>
      </c>
      <c r="BE876" t="s">
        <v>15695</v>
      </c>
      <c r="BF876" t="str">
        <f>HYPERLINK("http://dx.doi.org/10.1029/2008GB003266","http://dx.doi.org/10.1029/2008GB003266")</f>
        <v>http://dx.doi.org/10.1029/2008GB003266</v>
      </c>
      <c r="BG876" t="s">
        <v>74</v>
      </c>
      <c r="BH876" t="s">
        <v>74</v>
      </c>
      <c r="BI876">
        <v>13</v>
      </c>
      <c r="BJ876" t="s">
        <v>236</v>
      </c>
      <c r="BK876" t="s">
        <v>98</v>
      </c>
      <c r="BL876" t="s">
        <v>237</v>
      </c>
      <c r="BM876" t="s">
        <v>15696</v>
      </c>
      <c r="BN876" t="s">
        <v>74</v>
      </c>
      <c r="BO876" t="s">
        <v>263</v>
      </c>
      <c r="BP876" t="s">
        <v>74</v>
      </c>
      <c r="BQ876" t="s">
        <v>74</v>
      </c>
      <c r="BR876" t="s">
        <v>101</v>
      </c>
      <c r="BS876" t="s">
        <v>15697</v>
      </c>
      <c r="BT876" t="str">
        <f>HYPERLINK("https%3A%2F%2Fwww.webofscience.com%2Fwos%2Fwoscc%2Ffull-record%2FWOS:000266742000001","View Full Record in Web of Science")</f>
        <v>View Full Record in Web of Science</v>
      </c>
    </row>
    <row r="877" spans="1:72" x14ac:dyDescent="0.15">
      <c r="A877" t="s">
        <v>72</v>
      </c>
      <c r="B877" t="s">
        <v>15698</v>
      </c>
      <c r="C877" t="s">
        <v>74</v>
      </c>
      <c r="D877" t="s">
        <v>74</v>
      </c>
      <c r="E877" t="s">
        <v>74</v>
      </c>
      <c r="F877" t="s">
        <v>15699</v>
      </c>
      <c r="G877" t="s">
        <v>74</v>
      </c>
      <c r="H877" t="s">
        <v>74</v>
      </c>
      <c r="I877" t="s">
        <v>15700</v>
      </c>
      <c r="J877" t="s">
        <v>244</v>
      </c>
      <c r="K877" t="s">
        <v>74</v>
      </c>
      <c r="L877" t="s">
        <v>74</v>
      </c>
      <c r="M877" t="s">
        <v>78</v>
      </c>
      <c r="N877" t="s">
        <v>79</v>
      </c>
      <c r="O877" t="s">
        <v>74</v>
      </c>
      <c r="P877" t="s">
        <v>74</v>
      </c>
      <c r="Q877" t="s">
        <v>74</v>
      </c>
      <c r="R877" t="s">
        <v>74</v>
      </c>
      <c r="S877" t="s">
        <v>74</v>
      </c>
      <c r="T877" t="s">
        <v>74</v>
      </c>
      <c r="U877" t="s">
        <v>15701</v>
      </c>
      <c r="V877" t="s">
        <v>15702</v>
      </c>
      <c r="W877" t="s">
        <v>15703</v>
      </c>
      <c r="X877" t="s">
        <v>15704</v>
      </c>
      <c r="Y877" t="s">
        <v>15705</v>
      </c>
      <c r="Z877" t="s">
        <v>15706</v>
      </c>
      <c r="AA877" t="s">
        <v>15707</v>
      </c>
      <c r="AB877" t="s">
        <v>15708</v>
      </c>
      <c r="AC877" t="s">
        <v>15709</v>
      </c>
      <c r="AD877" t="s">
        <v>15710</v>
      </c>
      <c r="AE877" t="s">
        <v>15711</v>
      </c>
      <c r="AF877" t="s">
        <v>74</v>
      </c>
      <c r="AG877">
        <v>80</v>
      </c>
      <c r="AH877">
        <v>33</v>
      </c>
      <c r="AI877">
        <v>34</v>
      </c>
      <c r="AJ877">
        <v>2</v>
      </c>
      <c r="AK877">
        <v>23</v>
      </c>
      <c r="AL877" t="s">
        <v>226</v>
      </c>
      <c r="AM877" t="s">
        <v>227</v>
      </c>
      <c r="AN877" t="s">
        <v>228</v>
      </c>
      <c r="AO877" t="s">
        <v>255</v>
      </c>
      <c r="AP877" t="s">
        <v>256</v>
      </c>
      <c r="AQ877" t="s">
        <v>74</v>
      </c>
      <c r="AR877" t="s">
        <v>257</v>
      </c>
      <c r="AS877" t="s">
        <v>258</v>
      </c>
      <c r="AT877" t="s">
        <v>15693</v>
      </c>
      <c r="AU877">
        <v>2009</v>
      </c>
      <c r="AV877">
        <v>114</v>
      </c>
      <c r="AW877" t="s">
        <v>74</v>
      </c>
      <c r="AX877" t="s">
        <v>74</v>
      </c>
      <c r="AY877" t="s">
        <v>74</v>
      </c>
      <c r="AZ877" t="s">
        <v>74</v>
      </c>
      <c r="BA877" t="s">
        <v>74</v>
      </c>
      <c r="BB877" t="s">
        <v>74</v>
      </c>
      <c r="BC877" t="s">
        <v>74</v>
      </c>
      <c r="BD877" t="s">
        <v>15712</v>
      </c>
      <c r="BE877" t="s">
        <v>15713</v>
      </c>
      <c r="BF877" t="str">
        <f>HYPERLINK("http://dx.doi.org/10.1029/2008JB005650","http://dx.doi.org/10.1029/2008JB005650")</f>
        <v>http://dx.doi.org/10.1029/2008JB005650</v>
      </c>
      <c r="BG877" t="s">
        <v>74</v>
      </c>
      <c r="BH877" t="s">
        <v>74</v>
      </c>
      <c r="BI877">
        <v>20</v>
      </c>
      <c r="BJ877" t="s">
        <v>261</v>
      </c>
      <c r="BK877" t="s">
        <v>98</v>
      </c>
      <c r="BL877" t="s">
        <v>261</v>
      </c>
      <c r="BM877" t="s">
        <v>15714</v>
      </c>
      <c r="BN877" t="s">
        <v>74</v>
      </c>
      <c r="BO877" t="s">
        <v>74</v>
      </c>
      <c r="BP877" t="s">
        <v>74</v>
      </c>
      <c r="BQ877" t="s">
        <v>74</v>
      </c>
      <c r="BR877" t="s">
        <v>101</v>
      </c>
      <c r="BS877" t="s">
        <v>15715</v>
      </c>
      <c r="BT877" t="str">
        <f>HYPERLINK("https%3A%2F%2Fwww.webofscience.com%2Fwos%2Fwoscc%2Ffull-record%2FWOS:000266746100001","View Full Record in Web of Science")</f>
        <v>View Full Record in Web of Science</v>
      </c>
    </row>
    <row r="878" spans="1:72" x14ac:dyDescent="0.15">
      <c r="A878" t="s">
        <v>72</v>
      </c>
      <c r="B878" t="s">
        <v>15716</v>
      </c>
      <c r="C878" t="s">
        <v>74</v>
      </c>
      <c r="D878" t="s">
        <v>74</v>
      </c>
      <c r="E878" t="s">
        <v>74</v>
      </c>
      <c r="F878" t="s">
        <v>15717</v>
      </c>
      <c r="G878" t="s">
        <v>74</v>
      </c>
      <c r="H878" t="s">
        <v>74</v>
      </c>
      <c r="I878" t="s">
        <v>15718</v>
      </c>
      <c r="J878" t="s">
        <v>472</v>
      </c>
      <c r="K878" t="s">
        <v>74</v>
      </c>
      <c r="L878" t="s">
        <v>74</v>
      </c>
      <c r="M878" t="s">
        <v>78</v>
      </c>
      <c r="N878" t="s">
        <v>79</v>
      </c>
      <c r="O878" t="s">
        <v>74</v>
      </c>
      <c r="P878" t="s">
        <v>74</v>
      </c>
      <c r="Q878" t="s">
        <v>74</v>
      </c>
      <c r="R878" t="s">
        <v>74</v>
      </c>
      <c r="S878" t="s">
        <v>74</v>
      </c>
      <c r="T878" t="s">
        <v>74</v>
      </c>
      <c r="U878" t="s">
        <v>15719</v>
      </c>
      <c r="V878" t="s">
        <v>15720</v>
      </c>
      <c r="W878" t="s">
        <v>15721</v>
      </c>
      <c r="X878" t="s">
        <v>6305</v>
      </c>
      <c r="Y878" t="s">
        <v>15722</v>
      </c>
      <c r="Z878" t="s">
        <v>15723</v>
      </c>
      <c r="AA878" t="s">
        <v>15724</v>
      </c>
      <c r="AB878" t="s">
        <v>15725</v>
      </c>
      <c r="AC878" t="s">
        <v>15726</v>
      </c>
      <c r="AD878" t="s">
        <v>15727</v>
      </c>
      <c r="AE878" t="s">
        <v>15728</v>
      </c>
      <c r="AF878" t="s">
        <v>74</v>
      </c>
      <c r="AG878">
        <v>97</v>
      </c>
      <c r="AH878">
        <v>57</v>
      </c>
      <c r="AI878">
        <v>64</v>
      </c>
      <c r="AJ878">
        <v>1</v>
      </c>
      <c r="AK878">
        <v>25</v>
      </c>
      <c r="AL878" t="s">
        <v>226</v>
      </c>
      <c r="AM878" t="s">
        <v>227</v>
      </c>
      <c r="AN878" t="s">
        <v>228</v>
      </c>
      <c r="AO878" t="s">
        <v>483</v>
      </c>
      <c r="AP878" t="s">
        <v>484</v>
      </c>
      <c r="AQ878" t="s">
        <v>74</v>
      </c>
      <c r="AR878" t="s">
        <v>472</v>
      </c>
      <c r="AS878" t="s">
        <v>485</v>
      </c>
      <c r="AT878" t="s">
        <v>15693</v>
      </c>
      <c r="AU878">
        <v>2009</v>
      </c>
      <c r="AV878">
        <v>24</v>
      </c>
      <c r="AW878" t="s">
        <v>74</v>
      </c>
      <c r="AX878" t="s">
        <v>74</v>
      </c>
      <c r="AY878" t="s">
        <v>74</v>
      </c>
      <c r="AZ878" t="s">
        <v>74</v>
      </c>
      <c r="BA878" t="s">
        <v>74</v>
      </c>
      <c r="BB878" t="s">
        <v>74</v>
      </c>
      <c r="BC878" t="s">
        <v>74</v>
      </c>
      <c r="BD878" t="s">
        <v>15729</v>
      </c>
      <c r="BE878" t="s">
        <v>15730</v>
      </c>
      <c r="BF878" t="str">
        <f>HYPERLINK("http://dx.doi.org/10.1029/2008PA001693","http://dx.doi.org/10.1029/2008PA001693")</f>
        <v>http://dx.doi.org/10.1029/2008PA001693</v>
      </c>
      <c r="BG878" t="s">
        <v>74</v>
      </c>
      <c r="BH878" t="s">
        <v>74</v>
      </c>
      <c r="BI878">
        <v>20</v>
      </c>
      <c r="BJ878" t="s">
        <v>488</v>
      </c>
      <c r="BK878" t="s">
        <v>98</v>
      </c>
      <c r="BL878" t="s">
        <v>489</v>
      </c>
      <c r="BM878" t="s">
        <v>15731</v>
      </c>
      <c r="BN878" t="s">
        <v>74</v>
      </c>
      <c r="BO878" t="s">
        <v>239</v>
      </c>
      <c r="BP878" t="s">
        <v>74</v>
      </c>
      <c r="BQ878" t="s">
        <v>74</v>
      </c>
      <c r="BR878" t="s">
        <v>101</v>
      </c>
      <c r="BS878" t="s">
        <v>15732</v>
      </c>
      <c r="BT878" t="str">
        <f>HYPERLINK("https%3A%2F%2Fwww.webofscience.com%2Fwos%2Fwoscc%2Ffull-record%2FWOS:000266747700001","View Full Record in Web of Science")</f>
        <v>View Full Record in Web of Science</v>
      </c>
    </row>
    <row r="879" spans="1:72" x14ac:dyDescent="0.15">
      <c r="A879" t="s">
        <v>72</v>
      </c>
      <c r="B879" t="s">
        <v>15733</v>
      </c>
      <c r="C879" t="s">
        <v>74</v>
      </c>
      <c r="D879" t="s">
        <v>74</v>
      </c>
      <c r="E879" t="s">
        <v>74</v>
      </c>
      <c r="F879" t="s">
        <v>15734</v>
      </c>
      <c r="G879" t="s">
        <v>74</v>
      </c>
      <c r="H879" t="s">
        <v>74</v>
      </c>
      <c r="I879" t="s">
        <v>15735</v>
      </c>
      <c r="J879" t="s">
        <v>3984</v>
      </c>
      <c r="K879" t="s">
        <v>74</v>
      </c>
      <c r="L879" t="s">
        <v>74</v>
      </c>
      <c r="M879" t="s">
        <v>78</v>
      </c>
      <c r="N879" t="s">
        <v>79</v>
      </c>
      <c r="O879" t="s">
        <v>74</v>
      </c>
      <c r="P879" t="s">
        <v>74</v>
      </c>
      <c r="Q879" t="s">
        <v>74</v>
      </c>
      <c r="R879" t="s">
        <v>74</v>
      </c>
      <c r="S879" t="s">
        <v>74</v>
      </c>
      <c r="T879" t="s">
        <v>15736</v>
      </c>
      <c r="U879" t="s">
        <v>15737</v>
      </c>
      <c r="V879" t="s">
        <v>15738</v>
      </c>
      <c r="W879" t="s">
        <v>15739</v>
      </c>
      <c r="X879" t="s">
        <v>15740</v>
      </c>
      <c r="Y879" t="s">
        <v>15741</v>
      </c>
      <c r="Z879" t="s">
        <v>15742</v>
      </c>
      <c r="AA879" t="s">
        <v>15743</v>
      </c>
      <c r="AB879" t="s">
        <v>15744</v>
      </c>
      <c r="AC879" t="s">
        <v>15745</v>
      </c>
      <c r="AD879" t="s">
        <v>15746</v>
      </c>
      <c r="AE879" t="s">
        <v>15747</v>
      </c>
      <c r="AF879" t="s">
        <v>74</v>
      </c>
      <c r="AG879">
        <v>18</v>
      </c>
      <c r="AH879">
        <v>3</v>
      </c>
      <c r="AI879">
        <v>3</v>
      </c>
      <c r="AJ879">
        <v>0</v>
      </c>
      <c r="AK879">
        <v>5</v>
      </c>
      <c r="AL879" t="s">
        <v>1978</v>
      </c>
      <c r="AM879" t="s">
        <v>1895</v>
      </c>
      <c r="AN879" t="s">
        <v>1979</v>
      </c>
      <c r="AO879" t="s">
        <v>3993</v>
      </c>
      <c r="AP879" t="s">
        <v>3994</v>
      </c>
      <c r="AQ879" t="s">
        <v>74</v>
      </c>
      <c r="AR879" t="s">
        <v>3995</v>
      </c>
      <c r="AS879" t="s">
        <v>3996</v>
      </c>
      <c r="AT879" t="s">
        <v>15748</v>
      </c>
      <c r="AU879">
        <v>2009</v>
      </c>
      <c r="AV879">
        <v>43</v>
      </c>
      <c r="AW879">
        <v>11</v>
      </c>
      <c r="AX879" t="s">
        <v>74</v>
      </c>
      <c r="AY879" t="s">
        <v>74</v>
      </c>
      <c r="AZ879" t="s">
        <v>74</v>
      </c>
      <c r="BA879" t="s">
        <v>74</v>
      </c>
      <c r="BB879">
        <v>1660</v>
      </c>
      <c r="BC879">
        <v>1668</v>
      </c>
      <c r="BD879" t="s">
        <v>74</v>
      </c>
      <c r="BE879" t="s">
        <v>15749</v>
      </c>
      <c r="BF879" t="str">
        <f>HYPERLINK("http://dx.doi.org/10.1016/j.asr.2008.03.034","http://dx.doi.org/10.1016/j.asr.2008.03.034")</f>
        <v>http://dx.doi.org/10.1016/j.asr.2008.03.034</v>
      </c>
      <c r="BG879" t="s">
        <v>74</v>
      </c>
      <c r="BH879" t="s">
        <v>74</v>
      </c>
      <c r="BI879">
        <v>9</v>
      </c>
      <c r="BJ879" t="s">
        <v>3999</v>
      </c>
      <c r="BK879" t="s">
        <v>98</v>
      </c>
      <c r="BL879" t="s">
        <v>4000</v>
      </c>
      <c r="BM879" t="s">
        <v>15750</v>
      </c>
      <c r="BN879" t="s">
        <v>74</v>
      </c>
      <c r="BO879" t="s">
        <v>74</v>
      </c>
      <c r="BP879" t="s">
        <v>74</v>
      </c>
      <c r="BQ879" t="s">
        <v>74</v>
      </c>
      <c r="BR879" t="s">
        <v>101</v>
      </c>
      <c r="BS879" t="s">
        <v>15751</v>
      </c>
      <c r="BT879" t="str">
        <f>HYPERLINK("https%3A%2F%2Fwww.webofscience.com%2Fwos%2Fwoscc%2Ffull-record%2FWOS:000266848400010","View Full Record in Web of Science")</f>
        <v>View Full Record in Web of Science</v>
      </c>
    </row>
    <row r="880" spans="1:72" x14ac:dyDescent="0.15">
      <c r="A880" t="s">
        <v>72</v>
      </c>
      <c r="B880" t="s">
        <v>15752</v>
      </c>
      <c r="C880" t="s">
        <v>74</v>
      </c>
      <c r="D880" t="s">
        <v>74</v>
      </c>
      <c r="E880" t="s">
        <v>74</v>
      </c>
      <c r="F880" t="s">
        <v>15753</v>
      </c>
      <c r="G880" t="s">
        <v>74</v>
      </c>
      <c r="H880" t="s">
        <v>74</v>
      </c>
      <c r="I880" t="s">
        <v>15754</v>
      </c>
      <c r="J880" t="s">
        <v>395</v>
      </c>
      <c r="K880" t="s">
        <v>74</v>
      </c>
      <c r="L880" t="s">
        <v>74</v>
      </c>
      <c r="M880" t="s">
        <v>78</v>
      </c>
      <c r="N880" t="s">
        <v>79</v>
      </c>
      <c r="O880" t="s">
        <v>74</v>
      </c>
      <c r="P880" t="s">
        <v>74</v>
      </c>
      <c r="Q880" t="s">
        <v>74</v>
      </c>
      <c r="R880" t="s">
        <v>74</v>
      </c>
      <c r="S880" t="s">
        <v>74</v>
      </c>
      <c r="T880" t="s">
        <v>74</v>
      </c>
      <c r="U880" t="s">
        <v>15755</v>
      </c>
      <c r="V880" t="s">
        <v>15756</v>
      </c>
      <c r="W880" t="s">
        <v>15757</v>
      </c>
      <c r="X880" t="s">
        <v>15758</v>
      </c>
      <c r="Y880" t="s">
        <v>15759</v>
      </c>
      <c r="Z880" t="s">
        <v>15760</v>
      </c>
      <c r="AA880" t="s">
        <v>15761</v>
      </c>
      <c r="AB880" t="s">
        <v>15762</v>
      </c>
      <c r="AC880" t="s">
        <v>15763</v>
      </c>
      <c r="AD880" t="s">
        <v>15764</v>
      </c>
      <c r="AE880" t="s">
        <v>15765</v>
      </c>
      <c r="AF880" t="s">
        <v>74</v>
      </c>
      <c r="AG880">
        <v>33</v>
      </c>
      <c r="AH880">
        <v>18</v>
      </c>
      <c r="AI880">
        <v>21</v>
      </c>
      <c r="AJ880">
        <v>0</v>
      </c>
      <c r="AK880">
        <v>4</v>
      </c>
      <c r="AL880" t="s">
        <v>226</v>
      </c>
      <c r="AM880" t="s">
        <v>227</v>
      </c>
      <c r="AN880" t="s">
        <v>228</v>
      </c>
      <c r="AO880" t="s">
        <v>407</v>
      </c>
      <c r="AP880" t="s">
        <v>74</v>
      </c>
      <c r="AQ880" t="s">
        <v>74</v>
      </c>
      <c r="AR880" t="s">
        <v>409</v>
      </c>
      <c r="AS880" t="s">
        <v>410</v>
      </c>
      <c r="AT880" t="s">
        <v>15748</v>
      </c>
      <c r="AU880">
        <v>2009</v>
      </c>
      <c r="AV880">
        <v>114</v>
      </c>
      <c r="AW880" t="s">
        <v>74</v>
      </c>
      <c r="AX880" t="s">
        <v>74</v>
      </c>
      <c r="AY880" t="s">
        <v>74</v>
      </c>
      <c r="AZ880" t="s">
        <v>74</v>
      </c>
      <c r="BA880" t="s">
        <v>74</v>
      </c>
      <c r="BB880" t="s">
        <v>74</v>
      </c>
      <c r="BC880" t="s">
        <v>74</v>
      </c>
      <c r="BD880" t="s">
        <v>15766</v>
      </c>
      <c r="BE880" t="s">
        <v>15767</v>
      </c>
      <c r="BF880" t="str">
        <f>HYPERLINK("http://dx.doi.org/10.1029/2008JD010608","http://dx.doi.org/10.1029/2008JD010608")</f>
        <v>http://dx.doi.org/10.1029/2008JD010608</v>
      </c>
      <c r="BG880" t="s">
        <v>74</v>
      </c>
      <c r="BH880" t="s">
        <v>74</v>
      </c>
      <c r="BI880">
        <v>17</v>
      </c>
      <c r="BJ880" t="s">
        <v>413</v>
      </c>
      <c r="BK880" t="s">
        <v>98</v>
      </c>
      <c r="BL880" t="s">
        <v>413</v>
      </c>
      <c r="BM880" t="s">
        <v>15768</v>
      </c>
      <c r="BN880" t="s">
        <v>74</v>
      </c>
      <c r="BO880" t="s">
        <v>239</v>
      </c>
      <c r="BP880" t="s">
        <v>74</v>
      </c>
      <c r="BQ880" t="s">
        <v>74</v>
      </c>
      <c r="BR880" t="s">
        <v>101</v>
      </c>
      <c r="BS880" t="s">
        <v>15769</v>
      </c>
      <c r="BT880" t="str">
        <f>HYPERLINK("https%3A%2F%2Fwww.webofscience.com%2Fwos%2Fwoscc%2Ffull-record%2FWOS:000266742200003","View Full Record in Web of Science")</f>
        <v>View Full Record in Web of Science</v>
      </c>
    </row>
    <row r="881" spans="1:72" x14ac:dyDescent="0.15">
      <c r="A881" t="s">
        <v>72</v>
      </c>
      <c r="B881" t="s">
        <v>15770</v>
      </c>
      <c r="C881" t="s">
        <v>74</v>
      </c>
      <c r="D881" t="s">
        <v>74</v>
      </c>
      <c r="E881" t="s">
        <v>74</v>
      </c>
      <c r="F881" t="s">
        <v>15771</v>
      </c>
      <c r="G881" t="s">
        <v>74</v>
      </c>
      <c r="H881" t="s">
        <v>74</v>
      </c>
      <c r="I881" t="s">
        <v>15772</v>
      </c>
      <c r="J881" t="s">
        <v>15773</v>
      </c>
      <c r="K881" t="s">
        <v>74</v>
      </c>
      <c r="L881" t="s">
        <v>74</v>
      </c>
      <c r="M881" t="s">
        <v>78</v>
      </c>
      <c r="N881" t="s">
        <v>79</v>
      </c>
      <c r="O881" t="s">
        <v>74</v>
      </c>
      <c r="P881" t="s">
        <v>74</v>
      </c>
      <c r="Q881" t="s">
        <v>74</v>
      </c>
      <c r="R881" t="s">
        <v>74</v>
      </c>
      <c r="S881" t="s">
        <v>74</v>
      </c>
      <c r="T881" t="s">
        <v>74</v>
      </c>
      <c r="U881" t="s">
        <v>15774</v>
      </c>
      <c r="V881" t="s">
        <v>15775</v>
      </c>
      <c r="W881" t="s">
        <v>15776</v>
      </c>
      <c r="X881" t="s">
        <v>15777</v>
      </c>
      <c r="Y881" t="s">
        <v>15778</v>
      </c>
      <c r="Z881" t="s">
        <v>15779</v>
      </c>
      <c r="AA881" t="s">
        <v>15780</v>
      </c>
      <c r="AB881" t="s">
        <v>15781</v>
      </c>
      <c r="AC881" t="s">
        <v>15782</v>
      </c>
      <c r="AD881" t="s">
        <v>15783</v>
      </c>
      <c r="AE881" t="s">
        <v>15784</v>
      </c>
      <c r="AF881" t="s">
        <v>74</v>
      </c>
      <c r="AG881">
        <v>21</v>
      </c>
      <c r="AH881">
        <v>7</v>
      </c>
      <c r="AI881">
        <v>8</v>
      </c>
      <c r="AJ881">
        <v>0</v>
      </c>
      <c r="AK881">
        <v>4</v>
      </c>
      <c r="AL881" t="s">
        <v>226</v>
      </c>
      <c r="AM881" t="s">
        <v>227</v>
      </c>
      <c r="AN881" t="s">
        <v>228</v>
      </c>
      <c r="AO881" t="s">
        <v>15785</v>
      </c>
      <c r="AP881" t="s">
        <v>74</v>
      </c>
      <c r="AQ881" t="s">
        <v>74</v>
      </c>
      <c r="AR881" t="s">
        <v>15786</v>
      </c>
      <c r="AS881" t="s">
        <v>15787</v>
      </c>
      <c r="AT881" t="s">
        <v>15748</v>
      </c>
      <c r="AU881">
        <v>2009</v>
      </c>
      <c r="AV881">
        <v>44</v>
      </c>
      <c r="AW881" t="s">
        <v>74</v>
      </c>
      <c r="AX881" t="s">
        <v>74</v>
      </c>
      <c r="AY881" t="s">
        <v>74</v>
      </c>
      <c r="AZ881" t="s">
        <v>74</v>
      </c>
      <c r="BA881" t="s">
        <v>74</v>
      </c>
      <c r="BB881" t="s">
        <v>74</v>
      </c>
      <c r="BC881" t="s">
        <v>74</v>
      </c>
      <c r="BD881" t="s">
        <v>15788</v>
      </c>
      <c r="BE881" t="s">
        <v>15789</v>
      </c>
      <c r="BF881" t="str">
        <f>HYPERLINK("http://dx.doi.org/10.1029/2008RS004111","http://dx.doi.org/10.1029/2008RS004111")</f>
        <v>http://dx.doi.org/10.1029/2008RS004111</v>
      </c>
      <c r="BG881" t="s">
        <v>74</v>
      </c>
      <c r="BH881" t="s">
        <v>74</v>
      </c>
      <c r="BI881">
        <v>12</v>
      </c>
      <c r="BJ881" t="s">
        <v>15790</v>
      </c>
      <c r="BK881" t="s">
        <v>98</v>
      </c>
      <c r="BL881" t="s">
        <v>15790</v>
      </c>
      <c r="BM881" t="s">
        <v>15791</v>
      </c>
      <c r="BN881" t="s">
        <v>74</v>
      </c>
      <c r="BO881" t="s">
        <v>74</v>
      </c>
      <c r="BP881" t="s">
        <v>74</v>
      </c>
      <c r="BQ881" t="s">
        <v>74</v>
      </c>
      <c r="BR881" t="s">
        <v>101</v>
      </c>
      <c r="BS881" t="s">
        <v>15792</v>
      </c>
      <c r="BT881" t="str">
        <f>HYPERLINK("https%3A%2F%2Fwww.webofscience.com%2Fwos%2Fwoscc%2Ffull-record%2FWOS:000266748300003","View Full Record in Web of Science")</f>
        <v>View Full Record in Web of Science</v>
      </c>
    </row>
    <row r="882" spans="1:72" x14ac:dyDescent="0.15">
      <c r="A882" t="s">
        <v>72</v>
      </c>
      <c r="B882" t="s">
        <v>15793</v>
      </c>
      <c r="C882" t="s">
        <v>74</v>
      </c>
      <c r="D882" t="s">
        <v>74</v>
      </c>
      <c r="E882" t="s">
        <v>74</v>
      </c>
      <c r="F882" t="s">
        <v>15794</v>
      </c>
      <c r="G882" t="s">
        <v>74</v>
      </c>
      <c r="H882" t="s">
        <v>74</v>
      </c>
      <c r="I882" t="s">
        <v>15795</v>
      </c>
      <c r="J882" t="s">
        <v>15796</v>
      </c>
      <c r="K882" t="s">
        <v>74</v>
      </c>
      <c r="L882" t="s">
        <v>74</v>
      </c>
      <c r="M882" t="s">
        <v>78</v>
      </c>
      <c r="N882" t="s">
        <v>79</v>
      </c>
      <c r="O882" t="s">
        <v>74</v>
      </c>
      <c r="P882" t="s">
        <v>74</v>
      </c>
      <c r="Q882" t="s">
        <v>74</v>
      </c>
      <c r="R882" t="s">
        <v>74</v>
      </c>
      <c r="S882" t="s">
        <v>74</v>
      </c>
      <c r="T882" t="s">
        <v>15797</v>
      </c>
      <c r="U882" t="s">
        <v>74</v>
      </c>
      <c r="V882" t="s">
        <v>15798</v>
      </c>
      <c r="W882" t="s">
        <v>15799</v>
      </c>
      <c r="X882" t="s">
        <v>15800</v>
      </c>
      <c r="Y882" t="s">
        <v>15801</v>
      </c>
      <c r="Z882" t="s">
        <v>15802</v>
      </c>
      <c r="AA882" t="s">
        <v>74</v>
      </c>
      <c r="AB882" t="s">
        <v>15803</v>
      </c>
      <c r="AC882" t="s">
        <v>15804</v>
      </c>
      <c r="AD882" t="s">
        <v>7582</v>
      </c>
      <c r="AE882" t="s">
        <v>15805</v>
      </c>
      <c r="AF882" t="s">
        <v>74</v>
      </c>
      <c r="AG882">
        <v>14</v>
      </c>
      <c r="AH882">
        <v>3</v>
      </c>
      <c r="AI882">
        <v>3</v>
      </c>
      <c r="AJ882">
        <v>0</v>
      </c>
      <c r="AK882">
        <v>4</v>
      </c>
      <c r="AL882" t="s">
        <v>1019</v>
      </c>
      <c r="AM882" t="s">
        <v>1020</v>
      </c>
      <c r="AN882" t="s">
        <v>1021</v>
      </c>
      <c r="AO882" t="s">
        <v>15806</v>
      </c>
      <c r="AP882" t="s">
        <v>15807</v>
      </c>
      <c r="AQ882" t="s">
        <v>74</v>
      </c>
      <c r="AR882" t="s">
        <v>15808</v>
      </c>
      <c r="AS882" t="s">
        <v>15809</v>
      </c>
      <c r="AT882" t="s">
        <v>15810</v>
      </c>
      <c r="AU882">
        <v>2009</v>
      </c>
      <c r="AV882">
        <v>57</v>
      </c>
      <c r="AW882">
        <v>2</v>
      </c>
      <c r="AX882" t="s">
        <v>74</v>
      </c>
      <c r="AY882" t="s">
        <v>74</v>
      </c>
      <c r="AZ882" t="s">
        <v>74</v>
      </c>
      <c r="BA882" t="s">
        <v>74</v>
      </c>
      <c r="BB882">
        <v>494</v>
      </c>
      <c r="BC882">
        <v>508</v>
      </c>
      <c r="BD882" t="s">
        <v>74</v>
      </c>
      <c r="BE882" t="s">
        <v>15811</v>
      </c>
      <c r="BF882" t="str">
        <f>HYPERLINK("http://dx.doi.org/10.2478/s11600-009-0002-0","http://dx.doi.org/10.2478/s11600-009-0002-0")</f>
        <v>http://dx.doi.org/10.2478/s11600-009-0002-0</v>
      </c>
      <c r="BG882" t="s">
        <v>74</v>
      </c>
      <c r="BH882" t="s">
        <v>74</v>
      </c>
      <c r="BI882">
        <v>15</v>
      </c>
      <c r="BJ882" t="s">
        <v>261</v>
      </c>
      <c r="BK882" t="s">
        <v>98</v>
      </c>
      <c r="BL882" t="s">
        <v>261</v>
      </c>
      <c r="BM882" t="s">
        <v>15812</v>
      </c>
      <c r="BN882" t="s">
        <v>74</v>
      </c>
      <c r="BO882" t="s">
        <v>74</v>
      </c>
      <c r="BP882" t="s">
        <v>74</v>
      </c>
      <c r="BQ882" t="s">
        <v>74</v>
      </c>
      <c r="BR882" t="s">
        <v>101</v>
      </c>
      <c r="BS882" t="s">
        <v>15813</v>
      </c>
      <c r="BT882" t="str">
        <f>HYPERLINK("https%3A%2F%2Fwww.webofscience.com%2Fwos%2Fwoscc%2Ffull-record%2FWOS:000264603000015","View Full Record in Web of Science")</f>
        <v>View Full Record in Web of Science</v>
      </c>
    </row>
    <row r="883" spans="1:72" x14ac:dyDescent="0.15">
      <c r="A883" t="s">
        <v>72</v>
      </c>
      <c r="B883" t="s">
        <v>15814</v>
      </c>
      <c r="C883" t="s">
        <v>74</v>
      </c>
      <c r="D883" t="s">
        <v>74</v>
      </c>
      <c r="E883" t="s">
        <v>74</v>
      </c>
      <c r="F883" t="s">
        <v>15815</v>
      </c>
      <c r="G883" t="s">
        <v>74</v>
      </c>
      <c r="H883" t="s">
        <v>74</v>
      </c>
      <c r="I883" t="s">
        <v>15816</v>
      </c>
      <c r="J883" t="s">
        <v>15817</v>
      </c>
      <c r="K883" t="s">
        <v>74</v>
      </c>
      <c r="L883" t="s">
        <v>74</v>
      </c>
      <c r="M883" t="s">
        <v>78</v>
      </c>
      <c r="N883" t="s">
        <v>79</v>
      </c>
      <c r="O883" t="s">
        <v>74</v>
      </c>
      <c r="P883" t="s">
        <v>74</v>
      </c>
      <c r="Q883" t="s">
        <v>74</v>
      </c>
      <c r="R883" t="s">
        <v>74</v>
      </c>
      <c r="S883" t="s">
        <v>74</v>
      </c>
      <c r="T883" t="s">
        <v>15818</v>
      </c>
      <c r="U883" t="s">
        <v>15819</v>
      </c>
      <c r="V883" t="s">
        <v>15820</v>
      </c>
      <c r="W883" t="s">
        <v>15821</v>
      </c>
      <c r="X883" t="s">
        <v>15822</v>
      </c>
      <c r="Y883" t="s">
        <v>15823</v>
      </c>
      <c r="Z883" t="s">
        <v>15824</v>
      </c>
      <c r="AA883" t="s">
        <v>15825</v>
      </c>
      <c r="AB883" t="s">
        <v>15826</v>
      </c>
      <c r="AC883" t="s">
        <v>15827</v>
      </c>
      <c r="AD883" t="s">
        <v>15828</v>
      </c>
      <c r="AE883" t="s">
        <v>15829</v>
      </c>
      <c r="AF883" t="s">
        <v>74</v>
      </c>
      <c r="AG883">
        <v>58</v>
      </c>
      <c r="AH883">
        <v>38</v>
      </c>
      <c r="AI883">
        <v>40</v>
      </c>
      <c r="AJ883">
        <v>0</v>
      </c>
      <c r="AK883">
        <v>10</v>
      </c>
      <c r="AL883" t="s">
        <v>15830</v>
      </c>
      <c r="AM883" t="s">
        <v>15831</v>
      </c>
      <c r="AN883" t="s">
        <v>15832</v>
      </c>
      <c r="AO883" t="s">
        <v>15833</v>
      </c>
      <c r="AP883" t="s">
        <v>15834</v>
      </c>
      <c r="AQ883" t="s">
        <v>74</v>
      </c>
      <c r="AR883" t="s">
        <v>15835</v>
      </c>
      <c r="AS883" t="s">
        <v>15836</v>
      </c>
      <c r="AT883" t="s">
        <v>15837</v>
      </c>
      <c r="AU883">
        <v>2009</v>
      </c>
      <c r="AV883">
        <v>52</v>
      </c>
      <c r="AW883" t="s">
        <v>288</v>
      </c>
      <c r="AX883" t="s">
        <v>74</v>
      </c>
      <c r="AY883" t="s">
        <v>74</v>
      </c>
      <c r="AZ883" t="s">
        <v>74</v>
      </c>
      <c r="BA883" t="s">
        <v>74</v>
      </c>
      <c r="BB883">
        <v>391</v>
      </c>
      <c r="BC883">
        <v>416</v>
      </c>
      <c r="BD883" t="s">
        <v>74</v>
      </c>
      <c r="BE883" t="s">
        <v>74</v>
      </c>
      <c r="BF883" t="s">
        <v>74</v>
      </c>
      <c r="BG883" t="s">
        <v>74</v>
      </c>
      <c r="BH883" t="s">
        <v>74</v>
      </c>
      <c r="BI883">
        <v>26</v>
      </c>
      <c r="BJ883" t="s">
        <v>261</v>
      </c>
      <c r="BK883" t="s">
        <v>98</v>
      </c>
      <c r="BL883" t="s">
        <v>261</v>
      </c>
      <c r="BM883" t="s">
        <v>15838</v>
      </c>
      <c r="BN883" t="s">
        <v>74</v>
      </c>
      <c r="BO883" t="s">
        <v>74</v>
      </c>
      <c r="BP883" t="s">
        <v>74</v>
      </c>
      <c r="BQ883" t="s">
        <v>74</v>
      </c>
      <c r="BR883" t="s">
        <v>101</v>
      </c>
      <c r="BS883" t="s">
        <v>15839</v>
      </c>
      <c r="BT883" t="str">
        <f>HYPERLINK("https%3A%2F%2Fwww.webofscience.com%2Fwos%2Fwoscc%2Ffull-record%2FWOS:000271616600012","View Full Record in Web of Science")</f>
        <v>View Full Record in Web of Science</v>
      </c>
    </row>
    <row r="884" spans="1:72" x14ac:dyDescent="0.15">
      <c r="A884" t="s">
        <v>72</v>
      </c>
      <c r="B884" t="s">
        <v>1221</v>
      </c>
      <c r="C884" t="s">
        <v>74</v>
      </c>
      <c r="D884" t="s">
        <v>74</v>
      </c>
      <c r="E884" t="s">
        <v>74</v>
      </c>
      <c r="F884" t="s">
        <v>15840</v>
      </c>
      <c r="G884" t="s">
        <v>74</v>
      </c>
      <c r="H884" t="s">
        <v>74</v>
      </c>
      <c r="I884" t="s">
        <v>15841</v>
      </c>
      <c r="J884" t="s">
        <v>1224</v>
      </c>
      <c r="K884" t="s">
        <v>74</v>
      </c>
      <c r="L884" t="s">
        <v>74</v>
      </c>
      <c r="M884" t="s">
        <v>78</v>
      </c>
      <c r="N884" t="s">
        <v>523</v>
      </c>
      <c r="O884" t="s">
        <v>74</v>
      </c>
      <c r="P884" t="s">
        <v>74</v>
      </c>
      <c r="Q884" t="s">
        <v>74</v>
      </c>
      <c r="R884" t="s">
        <v>74</v>
      </c>
      <c r="S884" t="s">
        <v>74</v>
      </c>
      <c r="T884" t="s">
        <v>74</v>
      </c>
      <c r="U884" t="s">
        <v>74</v>
      </c>
      <c r="V884" t="s">
        <v>74</v>
      </c>
      <c r="W884" t="s">
        <v>74</v>
      </c>
      <c r="X884" t="s">
        <v>74</v>
      </c>
      <c r="Y884" t="s">
        <v>74</v>
      </c>
      <c r="Z884" t="s">
        <v>74</v>
      </c>
      <c r="AA884" t="s">
        <v>74</v>
      </c>
      <c r="AB884" t="s">
        <v>1225</v>
      </c>
      <c r="AC884" t="s">
        <v>74</v>
      </c>
      <c r="AD884" t="s">
        <v>74</v>
      </c>
      <c r="AE884" t="s">
        <v>74</v>
      </c>
      <c r="AF884" t="s">
        <v>74</v>
      </c>
      <c r="AG884">
        <v>0</v>
      </c>
      <c r="AH884">
        <v>0</v>
      </c>
      <c r="AI884">
        <v>0</v>
      </c>
      <c r="AJ884">
        <v>0</v>
      </c>
      <c r="AK884">
        <v>1</v>
      </c>
      <c r="AL884" t="s">
        <v>1226</v>
      </c>
      <c r="AM884" t="s">
        <v>684</v>
      </c>
      <c r="AN884" t="s">
        <v>1227</v>
      </c>
      <c r="AO884" t="s">
        <v>1228</v>
      </c>
      <c r="AP884" t="s">
        <v>74</v>
      </c>
      <c r="AQ884" t="s">
        <v>74</v>
      </c>
      <c r="AR884" t="s">
        <v>1229</v>
      </c>
      <c r="AS884" t="s">
        <v>1230</v>
      </c>
      <c r="AT884" t="s">
        <v>15810</v>
      </c>
      <c r="AU884">
        <v>2009</v>
      </c>
      <c r="AV884">
        <v>21</v>
      </c>
      <c r="AW884">
        <v>3</v>
      </c>
      <c r="AX884" t="s">
        <v>74</v>
      </c>
      <c r="AY884" t="s">
        <v>74</v>
      </c>
      <c r="AZ884" t="s">
        <v>74</v>
      </c>
      <c r="BA884" t="s">
        <v>74</v>
      </c>
      <c r="BB884">
        <v>177</v>
      </c>
      <c r="BC884">
        <v>177</v>
      </c>
      <c r="BD884" t="s">
        <v>74</v>
      </c>
      <c r="BE884" t="s">
        <v>15842</v>
      </c>
      <c r="BF884" t="str">
        <f>HYPERLINK("http://dx.doi.org/10.1017/S0954102009001941","http://dx.doi.org/10.1017/S0954102009001941")</f>
        <v>http://dx.doi.org/10.1017/S0954102009001941</v>
      </c>
      <c r="BG884" t="s">
        <v>74</v>
      </c>
      <c r="BH884" t="s">
        <v>74</v>
      </c>
      <c r="BI884">
        <v>1</v>
      </c>
      <c r="BJ884" t="s">
        <v>1232</v>
      </c>
      <c r="BK884" t="s">
        <v>98</v>
      </c>
      <c r="BL884" t="s">
        <v>1233</v>
      </c>
      <c r="BM884" t="s">
        <v>15843</v>
      </c>
      <c r="BN884" t="s">
        <v>74</v>
      </c>
      <c r="BO884" t="s">
        <v>263</v>
      </c>
      <c r="BP884" t="s">
        <v>74</v>
      </c>
      <c r="BQ884" t="s">
        <v>74</v>
      </c>
      <c r="BR884" t="s">
        <v>101</v>
      </c>
      <c r="BS884" t="s">
        <v>15844</v>
      </c>
      <c r="BT884" t="str">
        <f>HYPERLINK("https%3A%2F%2Fwww.webofscience.com%2Fwos%2Fwoscc%2Ffull-record%2FWOS:000267196400001","View Full Record in Web of Science")</f>
        <v>View Full Record in Web of Science</v>
      </c>
    </row>
    <row r="885" spans="1:72" x14ac:dyDescent="0.15">
      <c r="A885" t="s">
        <v>72</v>
      </c>
      <c r="B885" t="s">
        <v>15845</v>
      </c>
      <c r="C885" t="s">
        <v>74</v>
      </c>
      <c r="D885" t="s">
        <v>74</v>
      </c>
      <c r="E885" t="s">
        <v>74</v>
      </c>
      <c r="F885" t="s">
        <v>15846</v>
      </c>
      <c r="G885" t="s">
        <v>74</v>
      </c>
      <c r="H885" t="s">
        <v>74</v>
      </c>
      <c r="I885" t="s">
        <v>15847</v>
      </c>
      <c r="J885" t="s">
        <v>1224</v>
      </c>
      <c r="K885" t="s">
        <v>74</v>
      </c>
      <c r="L885" t="s">
        <v>74</v>
      </c>
      <c r="M885" t="s">
        <v>78</v>
      </c>
      <c r="N885" t="s">
        <v>1965</v>
      </c>
      <c r="O885" t="s">
        <v>15848</v>
      </c>
      <c r="P885">
        <v>2008</v>
      </c>
      <c r="Q885" t="s">
        <v>15849</v>
      </c>
      <c r="R885" t="s">
        <v>74</v>
      </c>
      <c r="S885" t="s">
        <v>74</v>
      </c>
      <c r="T885" t="s">
        <v>15850</v>
      </c>
      <c r="U885" t="s">
        <v>15851</v>
      </c>
      <c r="V885" t="s">
        <v>15852</v>
      </c>
      <c r="W885" t="s">
        <v>15853</v>
      </c>
      <c r="X885" t="s">
        <v>991</v>
      </c>
      <c r="Y885" t="s">
        <v>15854</v>
      </c>
      <c r="Z885" t="s">
        <v>15855</v>
      </c>
      <c r="AA885" t="s">
        <v>15856</v>
      </c>
      <c r="AB885" t="s">
        <v>15857</v>
      </c>
      <c r="AC885" t="s">
        <v>74</v>
      </c>
      <c r="AD885" t="s">
        <v>74</v>
      </c>
      <c r="AE885" t="s">
        <v>74</v>
      </c>
      <c r="AF885" t="s">
        <v>74</v>
      </c>
      <c r="AG885">
        <v>19</v>
      </c>
      <c r="AH885">
        <v>46</v>
      </c>
      <c r="AI885">
        <v>55</v>
      </c>
      <c r="AJ885">
        <v>1</v>
      </c>
      <c r="AK885">
        <v>33</v>
      </c>
      <c r="AL885" t="s">
        <v>1226</v>
      </c>
      <c r="AM885" t="s">
        <v>684</v>
      </c>
      <c r="AN885" t="s">
        <v>1227</v>
      </c>
      <c r="AO885" t="s">
        <v>1228</v>
      </c>
      <c r="AP885" t="s">
        <v>1250</v>
      </c>
      <c r="AQ885" t="s">
        <v>74</v>
      </c>
      <c r="AR885" t="s">
        <v>1229</v>
      </c>
      <c r="AS885" t="s">
        <v>1230</v>
      </c>
      <c r="AT885" t="s">
        <v>15810</v>
      </c>
      <c r="AU885">
        <v>2009</v>
      </c>
      <c r="AV885">
        <v>21</v>
      </c>
      <c r="AW885">
        <v>3</v>
      </c>
      <c r="AX885" t="s">
        <v>74</v>
      </c>
      <c r="AY885" t="s">
        <v>74</v>
      </c>
      <c r="AZ885" t="s">
        <v>74</v>
      </c>
      <c r="BA885" t="s">
        <v>74</v>
      </c>
      <c r="BB885">
        <v>179</v>
      </c>
      <c r="BC885">
        <v>188</v>
      </c>
      <c r="BD885" t="s">
        <v>74</v>
      </c>
      <c r="BE885" t="s">
        <v>15858</v>
      </c>
      <c r="BF885" t="str">
        <f>HYPERLINK("http://dx.doi.org/10.1017/S0954102009001874","http://dx.doi.org/10.1017/S0954102009001874")</f>
        <v>http://dx.doi.org/10.1017/S0954102009001874</v>
      </c>
      <c r="BG885" t="s">
        <v>74</v>
      </c>
      <c r="BH885" t="s">
        <v>74</v>
      </c>
      <c r="BI885">
        <v>10</v>
      </c>
      <c r="BJ885" t="s">
        <v>1232</v>
      </c>
      <c r="BK885" t="s">
        <v>1986</v>
      </c>
      <c r="BL885" t="s">
        <v>1233</v>
      </c>
      <c r="BM885" t="s">
        <v>15843</v>
      </c>
      <c r="BN885" t="s">
        <v>74</v>
      </c>
      <c r="BO885" t="s">
        <v>74</v>
      </c>
      <c r="BP885" t="s">
        <v>74</v>
      </c>
      <c r="BQ885" t="s">
        <v>74</v>
      </c>
      <c r="BR885" t="s">
        <v>101</v>
      </c>
      <c r="BS885" t="s">
        <v>15859</v>
      </c>
      <c r="BT885" t="str">
        <f>HYPERLINK("https%3A%2F%2Fwww.webofscience.com%2Fwos%2Fwoscc%2Ffull-record%2FWOS:000267196400002","View Full Record in Web of Science")</f>
        <v>View Full Record in Web of Science</v>
      </c>
    </row>
    <row r="886" spans="1:72" x14ac:dyDescent="0.15">
      <c r="A886" t="s">
        <v>72</v>
      </c>
      <c r="B886" t="s">
        <v>15860</v>
      </c>
      <c r="C886" t="s">
        <v>74</v>
      </c>
      <c r="D886" t="s">
        <v>74</v>
      </c>
      <c r="E886" t="s">
        <v>74</v>
      </c>
      <c r="F886" t="s">
        <v>15861</v>
      </c>
      <c r="G886" t="s">
        <v>74</v>
      </c>
      <c r="H886" t="s">
        <v>74</v>
      </c>
      <c r="I886" t="s">
        <v>15862</v>
      </c>
      <c r="J886" t="s">
        <v>1224</v>
      </c>
      <c r="K886" t="s">
        <v>74</v>
      </c>
      <c r="L886" t="s">
        <v>74</v>
      </c>
      <c r="M886" t="s">
        <v>78</v>
      </c>
      <c r="N886" t="s">
        <v>79</v>
      </c>
      <c r="O886" t="s">
        <v>74</v>
      </c>
      <c r="P886" t="s">
        <v>74</v>
      </c>
      <c r="Q886" t="s">
        <v>74</v>
      </c>
      <c r="R886" t="s">
        <v>74</v>
      </c>
      <c r="S886" t="s">
        <v>74</v>
      </c>
      <c r="T886" t="s">
        <v>15863</v>
      </c>
      <c r="U886" t="s">
        <v>15864</v>
      </c>
      <c r="V886" t="s">
        <v>15865</v>
      </c>
      <c r="W886" t="s">
        <v>15866</v>
      </c>
      <c r="X886" t="s">
        <v>15867</v>
      </c>
      <c r="Y886" t="s">
        <v>15868</v>
      </c>
      <c r="Z886" t="s">
        <v>15869</v>
      </c>
      <c r="AA886" t="s">
        <v>15870</v>
      </c>
      <c r="AB886" t="s">
        <v>15871</v>
      </c>
      <c r="AC886" t="s">
        <v>15872</v>
      </c>
      <c r="AD886" t="s">
        <v>15873</v>
      </c>
      <c r="AE886" t="s">
        <v>15874</v>
      </c>
      <c r="AF886" t="s">
        <v>74</v>
      </c>
      <c r="AG886">
        <v>48</v>
      </c>
      <c r="AH886">
        <v>26</v>
      </c>
      <c r="AI886">
        <v>29</v>
      </c>
      <c r="AJ886">
        <v>0</v>
      </c>
      <c r="AK886">
        <v>30</v>
      </c>
      <c r="AL886" t="s">
        <v>1226</v>
      </c>
      <c r="AM886" t="s">
        <v>684</v>
      </c>
      <c r="AN886" t="s">
        <v>1227</v>
      </c>
      <c r="AO886" t="s">
        <v>1228</v>
      </c>
      <c r="AP886" t="s">
        <v>74</v>
      </c>
      <c r="AQ886" t="s">
        <v>74</v>
      </c>
      <c r="AR886" t="s">
        <v>1229</v>
      </c>
      <c r="AS886" t="s">
        <v>1230</v>
      </c>
      <c r="AT886" t="s">
        <v>15810</v>
      </c>
      <c r="AU886">
        <v>2009</v>
      </c>
      <c r="AV886">
        <v>21</v>
      </c>
      <c r="AW886">
        <v>3</v>
      </c>
      <c r="AX886" t="s">
        <v>74</v>
      </c>
      <c r="AY886" t="s">
        <v>74</v>
      </c>
      <c r="AZ886" t="s">
        <v>74</v>
      </c>
      <c r="BA886" t="s">
        <v>74</v>
      </c>
      <c r="BB886">
        <v>189</v>
      </c>
      <c r="BC886">
        <v>196</v>
      </c>
      <c r="BD886" t="s">
        <v>74</v>
      </c>
      <c r="BE886" t="s">
        <v>15875</v>
      </c>
      <c r="BF886" t="str">
        <f>HYPERLINK("http://dx.doi.org/10.1017/S0954102008001569","http://dx.doi.org/10.1017/S0954102008001569")</f>
        <v>http://dx.doi.org/10.1017/S0954102008001569</v>
      </c>
      <c r="BG886" t="s">
        <v>74</v>
      </c>
      <c r="BH886" t="s">
        <v>74</v>
      </c>
      <c r="BI886">
        <v>8</v>
      </c>
      <c r="BJ886" t="s">
        <v>1232</v>
      </c>
      <c r="BK886" t="s">
        <v>98</v>
      </c>
      <c r="BL886" t="s">
        <v>1233</v>
      </c>
      <c r="BM886" t="s">
        <v>15843</v>
      </c>
      <c r="BN886" t="s">
        <v>74</v>
      </c>
      <c r="BO886" t="s">
        <v>74</v>
      </c>
      <c r="BP886" t="s">
        <v>74</v>
      </c>
      <c r="BQ886" t="s">
        <v>74</v>
      </c>
      <c r="BR886" t="s">
        <v>101</v>
      </c>
      <c r="BS886" t="s">
        <v>15876</v>
      </c>
      <c r="BT886" t="str">
        <f>HYPERLINK("https%3A%2F%2Fwww.webofscience.com%2Fwos%2Fwoscc%2Ffull-record%2FWOS:000267196400003","View Full Record in Web of Science")</f>
        <v>View Full Record in Web of Science</v>
      </c>
    </row>
    <row r="887" spans="1:72" x14ac:dyDescent="0.15">
      <c r="A887" t="s">
        <v>72</v>
      </c>
      <c r="B887" t="s">
        <v>15877</v>
      </c>
      <c r="C887" t="s">
        <v>74</v>
      </c>
      <c r="D887" t="s">
        <v>74</v>
      </c>
      <c r="E887" t="s">
        <v>74</v>
      </c>
      <c r="F887" t="s">
        <v>15878</v>
      </c>
      <c r="G887" t="s">
        <v>74</v>
      </c>
      <c r="H887" t="s">
        <v>74</v>
      </c>
      <c r="I887" t="s">
        <v>15879</v>
      </c>
      <c r="J887" t="s">
        <v>1224</v>
      </c>
      <c r="K887" t="s">
        <v>74</v>
      </c>
      <c r="L887" t="s">
        <v>74</v>
      </c>
      <c r="M887" t="s">
        <v>78</v>
      </c>
      <c r="N887" t="s">
        <v>79</v>
      </c>
      <c r="O887" t="s">
        <v>74</v>
      </c>
      <c r="P887" t="s">
        <v>74</v>
      </c>
      <c r="Q887" t="s">
        <v>74</v>
      </c>
      <c r="R887" t="s">
        <v>74</v>
      </c>
      <c r="S887" t="s">
        <v>74</v>
      </c>
      <c r="T887" t="s">
        <v>15880</v>
      </c>
      <c r="U887" t="s">
        <v>15881</v>
      </c>
      <c r="V887" t="s">
        <v>15882</v>
      </c>
      <c r="W887" t="s">
        <v>15883</v>
      </c>
      <c r="X887" t="s">
        <v>15884</v>
      </c>
      <c r="Y887" t="s">
        <v>15885</v>
      </c>
      <c r="Z887" t="s">
        <v>15886</v>
      </c>
      <c r="AA887" t="s">
        <v>15887</v>
      </c>
      <c r="AB887" t="s">
        <v>15888</v>
      </c>
      <c r="AC887" t="s">
        <v>15889</v>
      </c>
      <c r="AD887" t="s">
        <v>15890</v>
      </c>
      <c r="AE887" t="s">
        <v>15891</v>
      </c>
      <c r="AF887" t="s">
        <v>74</v>
      </c>
      <c r="AG887">
        <v>53</v>
      </c>
      <c r="AH887">
        <v>5</v>
      </c>
      <c r="AI887">
        <v>5</v>
      </c>
      <c r="AJ887">
        <v>0</v>
      </c>
      <c r="AK887">
        <v>12</v>
      </c>
      <c r="AL887" t="s">
        <v>1226</v>
      </c>
      <c r="AM887" t="s">
        <v>684</v>
      </c>
      <c r="AN887" t="s">
        <v>1227</v>
      </c>
      <c r="AO887" t="s">
        <v>1228</v>
      </c>
      <c r="AP887" t="s">
        <v>1250</v>
      </c>
      <c r="AQ887" t="s">
        <v>74</v>
      </c>
      <c r="AR887" t="s">
        <v>1229</v>
      </c>
      <c r="AS887" t="s">
        <v>1230</v>
      </c>
      <c r="AT887" t="s">
        <v>15810</v>
      </c>
      <c r="AU887">
        <v>2009</v>
      </c>
      <c r="AV887">
        <v>21</v>
      </c>
      <c r="AW887">
        <v>3</v>
      </c>
      <c r="AX887" t="s">
        <v>74</v>
      </c>
      <c r="AY887" t="s">
        <v>74</v>
      </c>
      <c r="AZ887" t="s">
        <v>74</v>
      </c>
      <c r="BA887" t="s">
        <v>74</v>
      </c>
      <c r="BB887">
        <v>197</v>
      </c>
      <c r="BC887">
        <v>207</v>
      </c>
      <c r="BD887" t="s">
        <v>74</v>
      </c>
      <c r="BE887" t="s">
        <v>15892</v>
      </c>
      <c r="BF887" t="str">
        <f>HYPERLINK("http://dx.doi.org/10.1017/S0954102008001697","http://dx.doi.org/10.1017/S0954102008001697")</f>
        <v>http://dx.doi.org/10.1017/S0954102008001697</v>
      </c>
      <c r="BG887" t="s">
        <v>74</v>
      </c>
      <c r="BH887" t="s">
        <v>74</v>
      </c>
      <c r="BI887">
        <v>11</v>
      </c>
      <c r="BJ887" t="s">
        <v>1232</v>
      </c>
      <c r="BK887" t="s">
        <v>98</v>
      </c>
      <c r="BL887" t="s">
        <v>1233</v>
      </c>
      <c r="BM887" t="s">
        <v>15843</v>
      </c>
      <c r="BN887" t="s">
        <v>74</v>
      </c>
      <c r="BO887" t="s">
        <v>1119</v>
      </c>
      <c r="BP887" t="s">
        <v>74</v>
      </c>
      <c r="BQ887" t="s">
        <v>74</v>
      </c>
      <c r="BR887" t="s">
        <v>101</v>
      </c>
      <c r="BS887" t="s">
        <v>15893</v>
      </c>
      <c r="BT887" t="str">
        <f>HYPERLINK("https%3A%2F%2Fwww.webofscience.com%2Fwos%2Fwoscc%2Ffull-record%2FWOS:000267196400004","View Full Record in Web of Science")</f>
        <v>View Full Record in Web of Science</v>
      </c>
    </row>
    <row r="888" spans="1:72" x14ac:dyDescent="0.15">
      <c r="A888" t="s">
        <v>72</v>
      </c>
      <c r="B888" t="s">
        <v>15894</v>
      </c>
      <c r="C888" t="s">
        <v>74</v>
      </c>
      <c r="D888" t="s">
        <v>74</v>
      </c>
      <c r="E888" t="s">
        <v>74</v>
      </c>
      <c r="F888" t="s">
        <v>15895</v>
      </c>
      <c r="G888" t="s">
        <v>74</v>
      </c>
      <c r="H888" t="s">
        <v>74</v>
      </c>
      <c r="I888" t="s">
        <v>15896</v>
      </c>
      <c r="J888" t="s">
        <v>1224</v>
      </c>
      <c r="K888" t="s">
        <v>74</v>
      </c>
      <c r="L888" t="s">
        <v>74</v>
      </c>
      <c r="M888" t="s">
        <v>78</v>
      </c>
      <c r="N888" t="s">
        <v>79</v>
      </c>
      <c r="O888" t="s">
        <v>74</v>
      </c>
      <c r="P888" t="s">
        <v>74</v>
      </c>
      <c r="Q888" t="s">
        <v>74</v>
      </c>
      <c r="R888" t="s">
        <v>74</v>
      </c>
      <c r="S888" t="s">
        <v>74</v>
      </c>
      <c r="T888" t="s">
        <v>15897</v>
      </c>
      <c r="U888" t="s">
        <v>15898</v>
      </c>
      <c r="V888" t="s">
        <v>15899</v>
      </c>
      <c r="W888" t="s">
        <v>15900</v>
      </c>
      <c r="X888" t="s">
        <v>15901</v>
      </c>
      <c r="Y888" t="s">
        <v>15902</v>
      </c>
      <c r="Z888" t="s">
        <v>15903</v>
      </c>
      <c r="AA888" t="s">
        <v>15904</v>
      </c>
      <c r="AB888" t="s">
        <v>15905</v>
      </c>
      <c r="AC888" t="s">
        <v>15906</v>
      </c>
      <c r="AD888" t="s">
        <v>15907</v>
      </c>
      <c r="AE888" t="s">
        <v>15908</v>
      </c>
      <c r="AF888" t="s">
        <v>74</v>
      </c>
      <c r="AG888">
        <v>42</v>
      </c>
      <c r="AH888">
        <v>45</v>
      </c>
      <c r="AI888">
        <v>47</v>
      </c>
      <c r="AJ888">
        <v>0</v>
      </c>
      <c r="AK888">
        <v>39</v>
      </c>
      <c r="AL888" t="s">
        <v>1226</v>
      </c>
      <c r="AM888" t="s">
        <v>684</v>
      </c>
      <c r="AN888" t="s">
        <v>1227</v>
      </c>
      <c r="AO888" t="s">
        <v>1228</v>
      </c>
      <c r="AP888" t="s">
        <v>74</v>
      </c>
      <c r="AQ888" t="s">
        <v>74</v>
      </c>
      <c r="AR888" t="s">
        <v>1229</v>
      </c>
      <c r="AS888" t="s">
        <v>1230</v>
      </c>
      <c r="AT888" t="s">
        <v>15810</v>
      </c>
      <c r="AU888">
        <v>2009</v>
      </c>
      <c r="AV888">
        <v>21</v>
      </c>
      <c r="AW888">
        <v>3</v>
      </c>
      <c r="AX888" t="s">
        <v>74</v>
      </c>
      <c r="AY888" t="s">
        <v>74</v>
      </c>
      <c r="AZ888" t="s">
        <v>74</v>
      </c>
      <c r="BA888" t="s">
        <v>74</v>
      </c>
      <c r="BB888">
        <v>209</v>
      </c>
      <c r="BC888">
        <v>220</v>
      </c>
      <c r="BD888" t="s">
        <v>74</v>
      </c>
      <c r="BE888" t="s">
        <v>15909</v>
      </c>
      <c r="BF888" t="str">
        <f>HYPERLINK("http://dx.doi.org/10.1017/S0954102009001734","http://dx.doi.org/10.1017/S0954102009001734")</f>
        <v>http://dx.doi.org/10.1017/S0954102009001734</v>
      </c>
      <c r="BG888" t="s">
        <v>74</v>
      </c>
      <c r="BH888" t="s">
        <v>74</v>
      </c>
      <c r="BI888">
        <v>12</v>
      </c>
      <c r="BJ888" t="s">
        <v>1232</v>
      </c>
      <c r="BK888" t="s">
        <v>98</v>
      </c>
      <c r="BL888" t="s">
        <v>1233</v>
      </c>
      <c r="BM888" t="s">
        <v>15843</v>
      </c>
      <c r="BN888" t="s">
        <v>74</v>
      </c>
      <c r="BO888" t="s">
        <v>74</v>
      </c>
      <c r="BP888" t="s">
        <v>74</v>
      </c>
      <c r="BQ888" t="s">
        <v>74</v>
      </c>
      <c r="BR888" t="s">
        <v>101</v>
      </c>
      <c r="BS888" t="s">
        <v>15910</v>
      </c>
      <c r="BT888" t="str">
        <f>HYPERLINK("https%3A%2F%2Fwww.webofscience.com%2Fwos%2Fwoscc%2Ffull-record%2FWOS:000267196400005","View Full Record in Web of Science")</f>
        <v>View Full Record in Web of Science</v>
      </c>
    </row>
    <row r="889" spans="1:72" x14ac:dyDescent="0.15">
      <c r="A889" t="s">
        <v>72</v>
      </c>
      <c r="B889" t="s">
        <v>15911</v>
      </c>
      <c r="C889" t="s">
        <v>74</v>
      </c>
      <c r="D889" t="s">
        <v>74</v>
      </c>
      <c r="E889" t="s">
        <v>74</v>
      </c>
      <c r="F889" t="s">
        <v>15912</v>
      </c>
      <c r="G889" t="s">
        <v>74</v>
      </c>
      <c r="H889" t="s">
        <v>74</v>
      </c>
      <c r="I889" t="s">
        <v>15913</v>
      </c>
      <c r="J889" t="s">
        <v>1224</v>
      </c>
      <c r="K889" t="s">
        <v>74</v>
      </c>
      <c r="L889" t="s">
        <v>74</v>
      </c>
      <c r="M889" t="s">
        <v>78</v>
      </c>
      <c r="N889" t="s">
        <v>79</v>
      </c>
      <c r="O889" t="s">
        <v>74</v>
      </c>
      <c r="P889" t="s">
        <v>74</v>
      </c>
      <c r="Q889" t="s">
        <v>74</v>
      </c>
      <c r="R889" t="s">
        <v>74</v>
      </c>
      <c r="S889" t="s">
        <v>74</v>
      </c>
      <c r="T889" t="s">
        <v>15914</v>
      </c>
      <c r="U889" t="s">
        <v>15915</v>
      </c>
      <c r="V889" t="s">
        <v>15916</v>
      </c>
      <c r="W889" t="s">
        <v>15917</v>
      </c>
      <c r="X889" t="s">
        <v>15918</v>
      </c>
      <c r="Y889" t="s">
        <v>15919</v>
      </c>
      <c r="Z889" t="s">
        <v>15920</v>
      </c>
      <c r="AA889" t="s">
        <v>74</v>
      </c>
      <c r="AB889" t="s">
        <v>15921</v>
      </c>
      <c r="AC889" t="s">
        <v>74</v>
      </c>
      <c r="AD889" t="s">
        <v>74</v>
      </c>
      <c r="AE889" t="s">
        <v>74</v>
      </c>
      <c r="AF889" t="s">
        <v>74</v>
      </c>
      <c r="AG889">
        <v>40</v>
      </c>
      <c r="AH889">
        <v>1</v>
      </c>
      <c r="AI889">
        <v>1</v>
      </c>
      <c r="AJ889">
        <v>0</v>
      </c>
      <c r="AK889">
        <v>10</v>
      </c>
      <c r="AL889" t="s">
        <v>1226</v>
      </c>
      <c r="AM889" t="s">
        <v>684</v>
      </c>
      <c r="AN889" t="s">
        <v>1227</v>
      </c>
      <c r="AO889" t="s">
        <v>1228</v>
      </c>
      <c r="AP889" t="s">
        <v>74</v>
      </c>
      <c r="AQ889" t="s">
        <v>74</v>
      </c>
      <c r="AR889" t="s">
        <v>1229</v>
      </c>
      <c r="AS889" t="s">
        <v>1230</v>
      </c>
      <c r="AT889" t="s">
        <v>15810</v>
      </c>
      <c r="AU889">
        <v>2009</v>
      </c>
      <c r="AV889">
        <v>21</v>
      </c>
      <c r="AW889">
        <v>3</v>
      </c>
      <c r="AX889" t="s">
        <v>74</v>
      </c>
      <c r="AY889" t="s">
        <v>74</v>
      </c>
      <c r="AZ889" t="s">
        <v>74</v>
      </c>
      <c r="BA889" t="s">
        <v>74</v>
      </c>
      <c r="BB889">
        <v>221</v>
      </c>
      <c r="BC889">
        <v>227</v>
      </c>
      <c r="BD889" t="s">
        <v>74</v>
      </c>
      <c r="BE889" t="s">
        <v>15922</v>
      </c>
      <c r="BF889" t="str">
        <f>HYPERLINK("http://dx.doi.org/10.1017/S0954102009001746","http://dx.doi.org/10.1017/S0954102009001746")</f>
        <v>http://dx.doi.org/10.1017/S0954102009001746</v>
      </c>
      <c r="BG889" t="s">
        <v>74</v>
      </c>
      <c r="BH889" t="s">
        <v>74</v>
      </c>
      <c r="BI889">
        <v>7</v>
      </c>
      <c r="BJ889" t="s">
        <v>1232</v>
      </c>
      <c r="BK889" t="s">
        <v>98</v>
      </c>
      <c r="BL889" t="s">
        <v>1233</v>
      </c>
      <c r="BM889" t="s">
        <v>15843</v>
      </c>
      <c r="BN889" t="s">
        <v>74</v>
      </c>
      <c r="BO889" t="s">
        <v>239</v>
      </c>
      <c r="BP889" t="s">
        <v>74</v>
      </c>
      <c r="BQ889" t="s">
        <v>74</v>
      </c>
      <c r="BR889" t="s">
        <v>101</v>
      </c>
      <c r="BS889" t="s">
        <v>15923</v>
      </c>
      <c r="BT889" t="str">
        <f>HYPERLINK("https%3A%2F%2Fwww.webofscience.com%2Fwos%2Fwoscc%2Ffull-record%2FWOS:000267196400006","View Full Record in Web of Science")</f>
        <v>View Full Record in Web of Science</v>
      </c>
    </row>
    <row r="890" spans="1:72" x14ac:dyDescent="0.15">
      <c r="A890" t="s">
        <v>72</v>
      </c>
      <c r="B890" t="s">
        <v>15924</v>
      </c>
      <c r="C890" t="s">
        <v>74</v>
      </c>
      <c r="D890" t="s">
        <v>74</v>
      </c>
      <c r="E890" t="s">
        <v>74</v>
      </c>
      <c r="F890" t="s">
        <v>15925</v>
      </c>
      <c r="G890" t="s">
        <v>74</v>
      </c>
      <c r="H890" t="s">
        <v>74</v>
      </c>
      <c r="I890" t="s">
        <v>15926</v>
      </c>
      <c r="J890" t="s">
        <v>1224</v>
      </c>
      <c r="K890" t="s">
        <v>74</v>
      </c>
      <c r="L890" t="s">
        <v>74</v>
      </c>
      <c r="M890" t="s">
        <v>78</v>
      </c>
      <c r="N890" t="s">
        <v>79</v>
      </c>
      <c r="O890" t="s">
        <v>74</v>
      </c>
      <c r="P890" t="s">
        <v>74</v>
      </c>
      <c r="Q890" t="s">
        <v>74</v>
      </c>
      <c r="R890" t="s">
        <v>74</v>
      </c>
      <c r="S890" t="s">
        <v>74</v>
      </c>
      <c r="T890" t="s">
        <v>15927</v>
      </c>
      <c r="U890" t="s">
        <v>15928</v>
      </c>
      <c r="V890" t="s">
        <v>15929</v>
      </c>
      <c r="W890" t="s">
        <v>15930</v>
      </c>
      <c r="X890" t="s">
        <v>15931</v>
      </c>
      <c r="Y890" t="s">
        <v>15932</v>
      </c>
      <c r="Z890" t="s">
        <v>15933</v>
      </c>
      <c r="AA890" t="s">
        <v>15934</v>
      </c>
      <c r="AB890" t="s">
        <v>15935</v>
      </c>
      <c r="AC890" t="s">
        <v>15936</v>
      </c>
      <c r="AD890" t="s">
        <v>15937</v>
      </c>
      <c r="AE890" t="s">
        <v>15938</v>
      </c>
      <c r="AF890" t="s">
        <v>74</v>
      </c>
      <c r="AG890">
        <v>30</v>
      </c>
      <c r="AH890">
        <v>37</v>
      </c>
      <c r="AI890">
        <v>42</v>
      </c>
      <c r="AJ890">
        <v>0</v>
      </c>
      <c r="AK890">
        <v>14</v>
      </c>
      <c r="AL890" t="s">
        <v>1226</v>
      </c>
      <c r="AM890" t="s">
        <v>684</v>
      </c>
      <c r="AN890" t="s">
        <v>1227</v>
      </c>
      <c r="AO890" t="s">
        <v>1228</v>
      </c>
      <c r="AP890" t="s">
        <v>1250</v>
      </c>
      <c r="AQ890" t="s">
        <v>74</v>
      </c>
      <c r="AR890" t="s">
        <v>1229</v>
      </c>
      <c r="AS890" t="s">
        <v>1230</v>
      </c>
      <c r="AT890" t="s">
        <v>15810</v>
      </c>
      <c r="AU890">
        <v>2009</v>
      </c>
      <c r="AV890">
        <v>21</v>
      </c>
      <c r="AW890">
        <v>3</v>
      </c>
      <c r="AX890" t="s">
        <v>74</v>
      </c>
      <c r="AY890" t="s">
        <v>74</v>
      </c>
      <c r="AZ890" t="s">
        <v>74</v>
      </c>
      <c r="BA890" t="s">
        <v>74</v>
      </c>
      <c r="BB890">
        <v>229</v>
      </c>
      <c r="BC890">
        <v>236</v>
      </c>
      <c r="BD890" t="s">
        <v>74</v>
      </c>
      <c r="BE890" t="s">
        <v>15939</v>
      </c>
      <c r="BF890" t="str">
        <f>HYPERLINK("http://dx.doi.org/10.1017/S0954102009001795","http://dx.doi.org/10.1017/S0954102009001795")</f>
        <v>http://dx.doi.org/10.1017/S0954102009001795</v>
      </c>
      <c r="BG890" t="s">
        <v>74</v>
      </c>
      <c r="BH890" t="s">
        <v>74</v>
      </c>
      <c r="BI890">
        <v>8</v>
      </c>
      <c r="BJ890" t="s">
        <v>1232</v>
      </c>
      <c r="BK890" t="s">
        <v>98</v>
      </c>
      <c r="BL890" t="s">
        <v>1233</v>
      </c>
      <c r="BM890" t="s">
        <v>15843</v>
      </c>
      <c r="BN890" t="s">
        <v>74</v>
      </c>
      <c r="BO890" t="s">
        <v>1381</v>
      </c>
      <c r="BP890" t="s">
        <v>74</v>
      </c>
      <c r="BQ890" t="s">
        <v>74</v>
      </c>
      <c r="BR890" t="s">
        <v>101</v>
      </c>
      <c r="BS890" t="s">
        <v>15940</v>
      </c>
      <c r="BT890" t="str">
        <f>HYPERLINK("https%3A%2F%2Fwww.webofscience.com%2Fwos%2Fwoscc%2Ffull-record%2FWOS:000267196400007","View Full Record in Web of Science")</f>
        <v>View Full Record in Web of Science</v>
      </c>
    </row>
    <row r="891" spans="1:72" x14ac:dyDescent="0.15">
      <c r="A891" t="s">
        <v>72</v>
      </c>
      <c r="B891" t="s">
        <v>15941</v>
      </c>
      <c r="C891" t="s">
        <v>74</v>
      </c>
      <c r="D891" t="s">
        <v>74</v>
      </c>
      <c r="E891" t="s">
        <v>74</v>
      </c>
      <c r="F891" t="s">
        <v>15942</v>
      </c>
      <c r="G891" t="s">
        <v>74</v>
      </c>
      <c r="H891" t="s">
        <v>74</v>
      </c>
      <c r="I891" t="s">
        <v>15943</v>
      </c>
      <c r="J891" t="s">
        <v>1224</v>
      </c>
      <c r="K891" t="s">
        <v>74</v>
      </c>
      <c r="L891" t="s">
        <v>74</v>
      </c>
      <c r="M891" t="s">
        <v>78</v>
      </c>
      <c r="N891" t="s">
        <v>79</v>
      </c>
      <c r="O891" t="s">
        <v>74</v>
      </c>
      <c r="P891" t="s">
        <v>74</v>
      </c>
      <c r="Q891" t="s">
        <v>74</v>
      </c>
      <c r="R891" t="s">
        <v>74</v>
      </c>
      <c r="S891" t="s">
        <v>74</v>
      </c>
      <c r="T891" t="s">
        <v>15944</v>
      </c>
      <c r="U891" t="s">
        <v>15945</v>
      </c>
      <c r="V891" t="s">
        <v>15946</v>
      </c>
      <c r="W891" t="s">
        <v>15947</v>
      </c>
      <c r="X891" t="s">
        <v>15948</v>
      </c>
      <c r="Y891" t="s">
        <v>15949</v>
      </c>
      <c r="Z891" t="s">
        <v>3289</v>
      </c>
      <c r="AA891" t="s">
        <v>15950</v>
      </c>
      <c r="AB891" t="s">
        <v>15951</v>
      </c>
      <c r="AC891" t="s">
        <v>74</v>
      </c>
      <c r="AD891" t="s">
        <v>74</v>
      </c>
      <c r="AE891" t="s">
        <v>74</v>
      </c>
      <c r="AF891" t="s">
        <v>74</v>
      </c>
      <c r="AG891">
        <v>22</v>
      </c>
      <c r="AH891">
        <v>11</v>
      </c>
      <c r="AI891">
        <v>12</v>
      </c>
      <c r="AJ891">
        <v>0</v>
      </c>
      <c r="AK891">
        <v>12</v>
      </c>
      <c r="AL891" t="s">
        <v>1226</v>
      </c>
      <c r="AM891" t="s">
        <v>684</v>
      </c>
      <c r="AN891" t="s">
        <v>1227</v>
      </c>
      <c r="AO891" t="s">
        <v>1228</v>
      </c>
      <c r="AP891" t="s">
        <v>74</v>
      </c>
      <c r="AQ891" t="s">
        <v>74</v>
      </c>
      <c r="AR891" t="s">
        <v>1229</v>
      </c>
      <c r="AS891" t="s">
        <v>1230</v>
      </c>
      <c r="AT891" t="s">
        <v>15810</v>
      </c>
      <c r="AU891">
        <v>2009</v>
      </c>
      <c r="AV891">
        <v>21</v>
      </c>
      <c r="AW891">
        <v>3</v>
      </c>
      <c r="AX891" t="s">
        <v>74</v>
      </c>
      <c r="AY891" t="s">
        <v>74</v>
      </c>
      <c r="AZ891" t="s">
        <v>74</v>
      </c>
      <c r="BA891" t="s">
        <v>74</v>
      </c>
      <c r="BB891">
        <v>237</v>
      </c>
      <c r="BC891">
        <v>241</v>
      </c>
      <c r="BD891" t="s">
        <v>74</v>
      </c>
      <c r="BE891" t="s">
        <v>15952</v>
      </c>
      <c r="BF891" t="str">
        <f>HYPERLINK("http://dx.doi.org/10.1017/S0954102009001898","http://dx.doi.org/10.1017/S0954102009001898")</f>
        <v>http://dx.doi.org/10.1017/S0954102009001898</v>
      </c>
      <c r="BG891" t="s">
        <v>74</v>
      </c>
      <c r="BH891" t="s">
        <v>74</v>
      </c>
      <c r="BI891">
        <v>5</v>
      </c>
      <c r="BJ891" t="s">
        <v>1232</v>
      </c>
      <c r="BK891" t="s">
        <v>98</v>
      </c>
      <c r="BL891" t="s">
        <v>1233</v>
      </c>
      <c r="BM891" t="s">
        <v>15843</v>
      </c>
      <c r="BN891" t="s">
        <v>74</v>
      </c>
      <c r="BO891" t="s">
        <v>74</v>
      </c>
      <c r="BP891" t="s">
        <v>74</v>
      </c>
      <c r="BQ891" t="s">
        <v>74</v>
      </c>
      <c r="BR891" t="s">
        <v>101</v>
      </c>
      <c r="BS891" t="s">
        <v>15953</v>
      </c>
      <c r="BT891" t="str">
        <f>HYPERLINK("https%3A%2F%2Fwww.webofscience.com%2Fwos%2Fwoscc%2Ffull-record%2FWOS:000267196400008","View Full Record in Web of Science")</f>
        <v>View Full Record in Web of Science</v>
      </c>
    </row>
    <row r="892" spans="1:72" x14ac:dyDescent="0.15">
      <c r="A892" t="s">
        <v>72</v>
      </c>
      <c r="B892" t="s">
        <v>15954</v>
      </c>
      <c r="C892" t="s">
        <v>74</v>
      </c>
      <c r="D892" t="s">
        <v>74</v>
      </c>
      <c r="E892" t="s">
        <v>74</v>
      </c>
      <c r="F892" t="s">
        <v>15955</v>
      </c>
      <c r="G892" t="s">
        <v>74</v>
      </c>
      <c r="H892" t="s">
        <v>74</v>
      </c>
      <c r="I892" t="s">
        <v>15956</v>
      </c>
      <c r="J892" t="s">
        <v>1224</v>
      </c>
      <c r="K892" t="s">
        <v>74</v>
      </c>
      <c r="L892" t="s">
        <v>74</v>
      </c>
      <c r="M892" t="s">
        <v>78</v>
      </c>
      <c r="N892" t="s">
        <v>79</v>
      </c>
      <c r="O892" t="s">
        <v>74</v>
      </c>
      <c r="P892" t="s">
        <v>74</v>
      </c>
      <c r="Q892" t="s">
        <v>74</v>
      </c>
      <c r="R892" t="s">
        <v>74</v>
      </c>
      <c r="S892" t="s">
        <v>74</v>
      </c>
      <c r="T892" t="s">
        <v>15957</v>
      </c>
      <c r="U892" t="s">
        <v>15958</v>
      </c>
      <c r="V892" t="s">
        <v>15959</v>
      </c>
      <c r="W892" t="s">
        <v>15960</v>
      </c>
      <c r="X892" t="s">
        <v>15961</v>
      </c>
      <c r="Y892" t="s">
        <v>15962</v>
      </c>
      <c r="Z892" t="s">
        <v>15963</v>
      </c>
      <c r="AA892" t="s">
        <v>74</v>
      </c>
      <c r="AB892" t="s">
        <v>15964</v>
      </c>
      <c r="AC892" t="s">
        <v>15965</v>
      </c>
      <c r="AD892" t="s">
        <v>15965</v>
      </c>
      <c r="AE892" t="s">
        <v>15966</v>
      </c>
      <c r="AF892" t="s">
        <v>74</v>
      </c>
      <c r="AG892">
        <v>36</v>
      </c>
      <c r="AH892">
        <v>6</v>
      </c>
      <c r="AI892">
        <v>6</v>
      </c>
      <c r="AJ892">
        <v>1</v>
      </c>
      <c r="AK892">
        <v>12</v>
      </c>
      <c r="AL892" t="s">
        <v>1226</v>
      </c>
      <c r="AM892" t="s">
        <v>684</v>
      </c>
      <c r="AN892" t="s">
        <v>1227</v>
      </c>
      <c r="AO892" t="s">
        <v>1228</v>
      </c>
      <c r="AP892" t="s">
        <v>74</v>
      </c>
      <c r="AQ892" t="s">
        <v>74</v>
      </c>
      <c r="AR892" t="s">
        <v>1229</v>
      </c>
      <c r="AS892" t="s">
        <v>1230</v>
      </c>
      <c r="AT892" t="s">
        <v>15810</v>
      </c>
      <c r="AU892">
        <v>2009</v>
      </c>
      <c r="AV892">
        <v>21</v>
      </c>
      <c r="AW892">
        <v>3</v>
      </c>
      <c r="AX892" t="s">
        <v>74</v>
      </c>
      <c r="AY892" t="s">
        <v>74</v>
      </c>
      <c r="AZ892" t="s">
        <v>74</v>
      </c>
      <c r="BA892" t="s">
        <v>74</v>
      </c>
      <c r="BB892">
        <v>243</v>
      </c>
      <c r="BC892">
        <v>254</v>
      </c>
      <c r="BD892" t="s">
        <v>74</v>
      </c>
      <c r="BE892" t="s">
        <v>15967</v>
      </c>
      <c r="BF892" t="str">
        <f>HYPERLINK("http://dx.doi.org/10.1017/S0954102009001904","http://dx.doi.org/10.1017/S0954102009001904")</f>
        <v>http://dx.doi.org/10.1017/S0954102009001904</v>
      </c>
      <c r="BG892" t="s">
        <v>74</v>
      </c>
      <c r="BH892" t="s">
        <v>74</v>
      </c>
      <c r="BI892">
        <v>12</v>
      </c>
      <c r="BJ892" t="s">
        <v>1232</v>
      </c>
      <c r="BK892" t="s">
        <v>98</v>
      </c>
      <c r="BL892" t="s">
        <v>1233</v>
      </c>
      <c r="BM892" t="s">
        <v>15843</v>
      </c>
      <c r="BN892" t="s">
        <v>74</v>
      </c>
      <c r="BO892" t="s">
        <v>74</v>
      </c>
      <c r="BP892" t="s">
        <v>74</v>
      </c>
      <c r="BQ892" t="s">
        <v>74</v>
      </c>
      <c r="BR892" t="s">
        <v>101</v>
      </c>
      <c r="BS892" t="s">
        <v>15968</v>
      </c>
      <c r="BT892" t="str">
        <f>HYPERLINK("https%3A%2F%2Fwww.webofscience.com%2Fwos%2Fwoscc%2Ffull-record%2FWOS:000267196400009","View Full Record in Web of Science")</f>
        <v>View Full Record in Web of Science</v>
      </c>
    </row>
    <row r="893" spans="1:72" x14ac:dyDescent="0.15">
      <c r="A893" t="s">
        <v>72</v>
      </c>
      <c r="B893" t="s">
        <v>15969</v>
      </c>
      <c r="C893" t="s">
        <v>74</v>
      </c>
      <c r="D893" t="s">
        <v>74</v>
      </c>
      <c r="E893" t="s">
        <v>74</v>
      </c>
      <c r="F893" t="s">
        <v>15970</v>
      </c>
      <c r="G893" t="s">
        <v>74</v>
      </c>
      <c r="H893" t="s">
        <v>74</v>
      </c>
      <c r="I893" t="s">
        <v>15971</v>
      </c>
      <c r="J893" t="s">
        <v>1224</v>
      </c>
      <c r="K893" t="s">
        <v>74</v>
      </c>
      <c r="L893" t="s">
        <v>74</v>
      </c>
      <c r="M893" t="s">
        <v>78</v>
      </c>
      <c r="N893" t="s">
        <v>79</v>
      </c>
      <c r="O893" t="s">
        <v>74</v>
      </c>
      <c r="P893" t="s">
        <v>74</v>
      </c>
      <c r="Q893" t="s">
        <v>74</v>
      </c>
      <c r="R893" t="s">
        <v>74</v>
      </c>
      <c r="S893" t="s">
        <v>74</v>
      </c>
      <c r="T893" t="s">
        <v>15972</v>
      </c>
      <c r="U893" t="s">
        <v>15973</v>
      </c>
      <c r="V893" t="s">
        <v>15974</v>
      </c>
      <c r="W893" t="s">
        <v>15975</v>
      </c>
      <c r="X893" t="s">
        <v>15976</v>
      </c>
      <c r="Y893" t="s">
        <v>15977</v>
      </c>
      <c r="Z893" t="s">
        <v>15978</v>
      </c>
      <c r="AA893" t="s">
        <v>15979</v>
      </c>
      <c r="AB893" t="s">
        <v>74</v>
      </c>
      <c r="AC893" t="s">
        <v>15980</v>
      </c>
      <c r="AD893" t="s">
        <v>15981</v>
      </c>
      <c r="AE893" t="s">
        <v>15982</v>
      </c>
      <c r="AF893" t="s">
        <v>74</v>
      </c>
      <c r="AG893">
        <v>51</v>
      </c>
      <c r="AH893">
        <v>12</v>
      </c>
      <c r="AI893">
        <v>12</v>
      </c>
      <c r="AJ893">
        <v>0</v>
      </c>
      <c r="AK893">
        <v>14</v>
      </c>
      <c r="AL893" t="s">
        <v>1226</v>
      </c>
      <c r="AM893" t="s">
        <v>684</v>
      </c>
      <c r="AN893" t="s">
        <v>1227</v>
      </c>
      <c r="AO893" t="s">
        <v>1228</v>
      </c>
      <c r="AP893" t="s">
        <v>1250</v>
      </c>
      <c r="AQ893" t="s">
        <v>74</v>
      </c>
      <c r="AR893" t="s">
        <v>1229</v>
      </c>
      <c r="AS893" t="s">
        <v>1230</v>
      </c>
      <c r="AT893" t="s">
        <v>15810</v>
      </c>
      <c r="AU893">
        <v>2009</v>
      </c>
      <c r="AV893">
        <v>21</v>
      </c>
      <c r="AW893">
        <v>3</v>
      </c>
      <c r="AX893" t="s">
        <v>74</v>
      </c>
      <c r="AY893" t="s">
        <v>74</v>
      </c>
      <c r="AZ893" t="s">
        <v>74</v>
      </c>
      <c r="BA893" t="s">
        <v>74</v>
      </c>
      <c r="BB893">
        <v>255</v>
      </c>
      <c r="BC893">
        <v>267</v>
      </c>
      <c r="BD893" t="s">
        <v>74</v>
      </c>
      <c r="BE893" t="s">
        <v>15983</v>
      </c>
      <c r="BF893" t="str">
        <f>HYPERLINK("http://dx.doi.org/10.1017/S0954102009001783","http://dx.doi.org/10.1017/S0954102009001783")</f>
        <v>http://dx.doi.org/10.1017/S0954102009001783</v>
      </c>
      <c r="BG893" t="s">
        <v>74</v>
      </c>
      <c r="BH893" t="s">
        <v>74</v>
      </c>
      <c r="BI893">
        <v>13</v>
      </c>
      <c r="BJ893" t="s">
        <v>1232</v>
      </c>
      <c r="BK893" t="s">
        <v>98</v>
      </c>
      <c r="BL893" t="s">
        <v>1233</v>
      </c>
      <c r="BM893" t="s">
        <v>15843</v>
      </c>
      <c r="BN893" t="s">
        <v>74</v>
      </c>
      <c r="BO893" t="s">
        <v>74</v>
      </c>
      <c r="BP893" t="s">
        <v>74</v>
      </c>
      <c r="BQ893" t="s">
        <v>74</v>
      </c>
      <c r="BR893" t="s">
        <v>101</v>
      </c>
      <c r="BS893" t="s">
        <v>15984</v>
      </c>
      <c r="BT893" t="str">
        <f>HYPERLINK("https%3A%2F%2Fwww.webofscience.com%2Fwos%2Fwoscc%2Ffull-record%2FWOS:000267196400010","View Full Record in Web of Science")</f>
        <v>View Full Record in Web of Science</v>
      </c>
    </row>
    <row r="894" spans="1:72" x14ac:dyDescent="0.15">
      <c r="A894" t="s">
        <v>72</v>
      </c>
      <c r="B894" t="s">
        <v>15985</v>
      </c>
      <c r="C894" t="s">
        <v>74</v>
      </c>
      <c r="D894" t="s">
        <v>74</v>
      </c>
      <c r="E894" t="s">
        <v>74</v>
      </c>
      <c r="F894" t="s">
        <v>15986</v>
      </c>
      <c r="G894" t="s">
        <v>74</v>
      </c>
      <c r="H894" t="s">
        <v>74</v>
      </c>
      <c r="I894" t="s">
        <v>15987</v>
      </c>
      <c r="J894" t="s">
        <v>1224</v>
      </c>
      <c r="K894" t="s">
        <v>74</v>
      </c>
      <c r="L894" t="s">
        <v>74</v>
      </c>
      <c r="M894" t="s">
        <v>78</v>
      </c>
      <c r="N894" t="s">
        <v>79</v>
      </c>
      <c r="O894" t="s">
        <v>74</v>
      </c>
      <c r="P894" t="s">
        <v>74</v>
      </c>
      <c r="Q894" t="s">
        <v>74</v>
      </c>
      <c r="R894" t="s">
        <v>74</v>
      </c>
      <c r="S894" t="s">
        <v>74</v>
      </c>
      <c r="T894" t="s">
        <v>15988</v>
      </c>
      <c r="U894" t="s">
        <v>15989</v>
      </c>
      <c r="V894" t="s">
        <v>15990</v>
      </c>
      <c r="W894" t="s">
        <v>15991</v>
      </c>
      <c r="X894" t="s">
        <v>15992</v>
      </c>
      <c r="Y894" t="s">
        <v>15993</v>
      </c>
      <c r="Z894" t="s">
        <v>15994</v>
      </c>
      <c r="AA894" t="s">
        <v>74</v>
      </c>
      <c r="AB894" t="s">
        <v>15888</v>
      </c>
      <c r="AC894" t="s">
        <v>15995</v>
      </c>
      <c r="AD894" t="s">
        <v>15996</v>
      </c>
      <c r="AE894" t="s">
        <v>15997</v>
      </c>
      <c r="AF894" t="s">
        <v>74</v>
      </c>
      <c r="AG894">
        <v>52</v>
      </c>
      <c r="AH894">
        <v>21</v>
      </c>
      <c r="AI894">
        <v>21</v>
      </c>
      <c r="AJ894">
        <v>2</v>
      </c>
      <c r="AK894">
        <v>8</v>
      </c>
      <c r="AL894" t="s">
        <v>1226</v>
      </c>
      <c r="AM894" t="s">
        <v>684</v>
      </c>
      <c r="AN894" t="s">
        <v>1227</v>
      </c>
      <c r="AO894" t="s">
        <v>1228</v>
      </c>
      <c r="AP894" t="s">
        <v>1250</v>
      </c>
      <c r="AQ894" t="s">
        <v>74</v>
      </c>
      <c r="AR894" t="s">
        <v>1229</v>
      </c>
      <c r="AS894" t="s">
        <v>1230</v>
      </c>
      <c r="AT894" t="s">
        <v>15810</v>
      </c>
      <c r="AU894">
        <v>2009</v>
      </c>
      <c r="AV894">
        <v>21</v>
      </c>
      <c r="AW894">
        <v>3</v>
      </c>
      <c r="AX894" t="s">
        <v>74</v>
      </c>
      <c r="AY894" t="s">
        <v>74</v>
      </c>
      <c r="AZ894" t="s">
        <v>74</v>
      </c>
      <c r="BA894" t="s">
        <v>74</v>
      </c>
      <c r="BB894">
        <v>269</v>
      </c>
      <c r="BC894">
        <v>278</v>
      </c>
      <c r="BD894" t="s">
        <v>74</v>
      </c>
      <c r="BE894" t="s">
        <v>15998</v>
      </c>
      <c r="BF894" t="str">
        <f>HYPERLINK("http://dx.doi.org/10.1017/S0954102009001801","http://dx.doi.org/10.1017/S0954102009001801")</f>
        <v>http://dx.doi.org/10.1017/S0954102009001801</v>
      </c>
      <c r="BG894" t="s">
        <v>74</v>
      </c>
      <c r="BH894" t="s">
        <v>74</v>
      </c>
      <c r="BI894">
        <v>10</v>
      </c>
      <c r="BJ894" t="s">
        <v>1232</v>
      </c>
      <c r="BK894" t="s">
        <v>98</v>
      </c>
      <c r="BL894" t="s">
        <v>1233</v>
      </c>
      <c r="BM894" t="s">
        <v>15843</v>
      </c>
      <c r="BN894" t="s">
        <v>74</v>
      </c>
      <c r="BO894" t="s">
        <v>74</v>
      </c>
      <c r="BP894" t="s">
        <v>74</v>
      </c>
      <c r="BQ894" t="s">
        <v>74</v>
      </c>
      <c r="BR894" t="s">
        <v>101</v>
      </c>
      <c r="BS894" t="s">
        <v>15999</v>
      </c>
      <c r="BT894" t="str">
        <f>HYPERLINK("https%3A%2F%2Fwww.webofscience.com%2Fwos%2Fwoscc%2Ffull-record%2FWOS:000267196400011","View Full Record in Web of Science")</f>
        <v>View Full Record in Web of Science</v>
      </c>
    </row>
    <row r="895" spans="1:72" x14ac:dyDescent="0.15">
      <c r="A895" t="s">
        <v>72</v>
      </c>
      <c r="B895" t="s">
        <v>16000</v>
      </c>
      <c r="C895" t="s">
        <v>74</v>
      </c>
      <c r="D895" t="s">
        <v>74</v>
      </c>
      <c r="E895" t="s">
        <v>74</v>
      </c>
      <c r="F895" t="s">
        <v>16001</v>
      </c>
      <c r="G895" t="s">
        <v>74</v>
      </c>
      <c r="H895" t="s">
        <v>74</v>
      </c>
      <c r="I895" t="s">
        <v>16002</v>
      </c>
      <c r="J895" t="s">
        <v>1224</v>
      </c>
      <c r="K895" t="s">
        <v>74</v>
      </c>
      <c r="L895" t="s">
        <v>74</v>
      </c>
      <c r="M895" t="s">
        <v>78</v>
      </c>
      <c r="N895" t="s">
        <v>79</v>
      </c>
      <c r="O895" t="s">
        <v>74</v>
      </c>
      <c r="P895" t="s">
        <v>74</v>
      </c>
      <c r="Q895" t="s">
        <v>74</v>
      </c>
      <c r="R895" t="s">
        <v>74</v>
      </c>
      <c r="S895" t="s">
        <v>74</v>
      </c>
      <c r="T895" t="s">
        <v>16003</v>
      </c>
      <c r="U895" t="s">
        <v>16004</v>
      </c>
      <c r="V895" t="s">
        <v>16005</v>
      </c>
      <c r="W895" t="s">
        <v>16006</v>
      </c>
      <c r="X895" t="s">
        <v>16007</v>
      </c>
      <c r="Y895" t="s">
        <v>16008</v>
      </c>
      <c r="Z895" t="s">
        <v>16009</v>
      </c>
      <c r="AA895" t="s">
        <v>16010</v>
      </c>
      <c r="AB895" t="s">
        <v>16011</v>
      </c>
      <c r="AC895" t="s">
        <v>16012</v>
      </c>
      <c r="AD895" t="s">
        <v>16012</v>
      </c>
      <c r="AE895" t="s">
        <v>16013</v>
      </c>
      <c r="AF895" t="s">
        <v>74</v>
      </c>
      <c r="AG895">
        <v>28</v>
      </c>
      <c r="AH895">
        <v>19</v>
      </c>
      <c r="AI895">
        <v>19</v>
      </c>
      <c r="AJ895">
        <v>0</v>
      </c>
      <c r="AK895">
        <v>6</v>
      </c>
      <c r="AL895" t="s">
        <v>1226</v>
      </c>
      <c r="AM895" t="s">
        <v>684</v>
      </c>
      <c r="AN895" t="s">
        <v>1227</v>
      </c>
      <c r="AO895" t="s">
        <v>1228</v>
      </c>
      <c r="AP895" t="s">
        <v>1250</v>
      </c>
      <c r="AQ895" t="s">
        <v>74</v>
      </c>
      <c r="AR895" t="s">
        <v>1229</v>
      </c>
      <c r="AS895" t="s">
        <v>1230</v>
      </c>
      <c r="AT895" t="s">
        <v>15810</v>
      </c>
      <c r="AU895">
        <v>2009</v>
      </c>
      <c r="AV895">
        <v>21</v>
      </c>
      <c r="AW895">
        <v>3</v>
      </c>
      <c r="AX895" t="s">
        <v>74</v>
      </c>
      <c r="AY895" t="s">
        <v>74</v>
      </c>
      <c r="AZ895" t="s">
        <v>74</v>
      </c>
      <c r="BA895" t="s">
        <v>74</v>
      </c>
      <c r="BB895">
        <v>279</v>
      </c>
      <c r="BC895">
        <v>284</v>
      </c>
      <c r="BD895" t="s">
        <v>74</v>
      </c>
      <c r="BE895" t="s">
        <v>16014</v>
      </c>
      <c r="BF895" t="str">
        <f>HYPERLINK("http://dx.doi.org/10.1017/S0954102009001813","http://dx.doi.org/10.1017/S0954102009001813")</f>
        <v>http://dx.doi.org/10.1017/S0954102009001813</v>
      </c>
      <c r="BG895" t="s">
        <v>74</v>
      </c>
      <c r="BH895" t="s">
        <v>74</v>
      </c>
      <c r="BI895">
        <v>6</v>
      </c>
      <c r="BJ895" t="s">
        <v>1232</v>
      </c>
      <c r="BK895" t="s">
        <v>98</v>
      </c>
      <c r="BL895" t="s">
        <v>1233</v>
      </c>
      <c r="BM895" t="s">
        <v>15843</v>
      </c>
      <c r="BN895" t="s">
        <v>74</v>
      </c>
      <c r="BO895" t="s">
        <v>74</v>
      </c>
      <c r="BP895" t="s">
        <v>74</v>
      </c>
      <c r="BQ895" t="s">
        <v>74</v>
      </c>
      <c r="BR895" t="s">
        <v>101</v>
      </c>
      <c r="BS895" t="s">
        <v>16015</v>
      </c>
      <c r="BT895" t="str">
        <f>HYPERLINK("https%3A%2F%2Fwww.webofscience.com%2Fwos%2Fwoscc%2Ffull-record%2FWOS:000267196400012","View Full Record in Web of Science")</f>
        <v>View Full Record in Web of Science</v>
      </c>
    </row>
    <row r="896" spans="1:72" x14ac:dyDescent="0.15">
      <c r="A896" t="s">
        <v>72</v>
      </c>
      <c r="B896" t="s">
        <v>16016</v>
      </c>
      <c r="C896" t="s">
        <v>74</v>
      </c>
      <c r="D896" t="s">
        <v>74</v>
      </c>
      <c r="E896" t="s">
        <v>74</v>
      </c>
      <c r="F896" t="s">
        <v>16017</v>
      </c>
      <c r="G896" t="s">
        <v>74</v>
      </c>
      <c r="H896" t="s">
        <v>74</v>
      </c>
      <c r="I896" t="s">
        <v>16018</v>
      </c>
      <c r="J896" t="s">
        <v>1224</v>
      </c>
      <c r="K896" t="s">
        <v>74</v>
      </c>
      <c r="L896" t="s">
        <v>74</v>
      </c>
      <c r="M896" t="s">
        <v>78</v>
      </c>
      <c r="N896" t="s">
        <v>79</v>
      </c>
      <c r="O896" t="s">
        <v>74</v>
      </c>
      <c r="P896" t="s">
        <v>74</v>
      </c>
      <c r="Q896" t="s">
        <v>74</v>
      </c>
      <c r="R896" t="s">
        <v>74</v>
      </c>
      <c r="S896" t="s">
        <v>74</v>
      </c>
      <c r="T896" t="s">
        <v>16019</v>
      </c>
      <c r="U896" t="s">
        <v>16020</v>
      </c>
      <c r="V896" t="s">
        <v>16021</v>
      </c>
      <c r="W896" t="s">
        <v>16022</v>
      </c>
      <c r="X896" t="s">
        <v>16023</v>
      </c>
      <c r="Y896" t="s">
        <v>16024</v>
      </c>
      <c r="Z896" t="s">
        <v>16025</v>
      </c>
      <c r="AA896" t="s">
        <v>16026</v>
      </c>
      <c r="AB896" t="s">
        <v>16027</v>
      </c>
      <c r="AC896" t="s">
        <v>16028</v>
      </c>
      <c r="AD896" t="s">
        <v>16028</v>
      </c>
      <c r="AE896" t="s">
        <v>16029</v>
      </c>
      <c r="AF896" t="s">
        <v>74</v>
      </c>
      <c r="AG896">
        <v>44</v>
      </c>
      <c r="AH896">
        <v>22</v>
      </c>
      <c r="AI896">
        <v>24</v>
      </c>
      <c r="AJ896">
        <v>0</v>
      </c>
      <c r="AK896">
        <v>6</v>
      </c>
      <c r="AL896" t="s">
        <v>1226</v>
      </c>
      <c r="AM896" t="s">
        <v>684</v>
      </c>
      <c r="AN896" t="s">
        <v>1227</v>
      </c>
      <c r="AO896" t="s">
        <v>1228</v>
      </c>
      <c r="AP896" t="s">
        <v>1250</v>
      </c>
      <c r="AQ896" t="s">
        <v>74</v>
      </c>
      <c r="AR896" t="s">
        <v>1229</v>
      </c>
      <c r="AS896" t="s">
        <v>1230</v>
      </c>
      <c r="AT896" t="s">
        <v>15810</v>
      </c>
      <c r="AU896">
        <v>2009</v>
      </c>
      <c r="AV896">
        <v>21</v>
      </c>
      <c r="AW896">
        <v>3</v>
      </c>
      <c r="AX896" t="s">
        <v>74</v>
      </c>
      <c r="AY896" t="s">
        <v>74</v>
      </c>
      <c r="AZ896" t="s">
        <v>74</v>
      </c>
      <c r="BA896" t="s">
        <v>74</v>
      </c>
      <c r="BB896">
        <v>285</v>
      </c>
      <c r="BC896">
        <v>297</v>
      </c>
      <c r="BD896" t="s">
        <v>74</v>
      </c>
      <c r="BE896" t="s">
        <v>16030</v>
      </c>
      <c r="BF896" t="str">
        <f>HYPERLINK("http://dx.doi.org/10.1017/S0954102009001916","http://dx.doi.org/10.1017/S0954102009001916")</f>
        <v>http://dx.doi.org/10.1017/S0954102009001916</v>
      </c>
      <c r="BG896" t="s">
        <v>74</v>
      </c>
      <c r="BH896" t="s">
        <v>74</v>
      </c>
      <c r="BI896">
        <v>13</v>
      </c>
      <c r="BJ896" t="s">
        <v>1232</v>
      </c>
      <c r="BK896" t="s">
        <v>98</v>
      </c>
      <c r="BL896" t="s">
        <v>1233</v>
      </c>
      <c r="BM896" t="s">
        <v>15843</v>
      </c>
      <c r="BN896" t="s">
        <v>74</v>
      </c>
      <c r="BO896" t="s">
        <v>239</v>
      </c>
      <c r="BP896" t="s">
        <v>74</v>
      </c>
      <c r="BQ896" t="s">
        <v>74</v>
      </c>
      <c r="BR896" t="s">
        <v>101</v>
      </c>
      <c r="BS896" t="s">
        <v>16031</v>
      </c>
      <c r="BT896" t="str">
        <f>HYPERLINK("https%3A%2F%2Fwww.webofscience.com%2Fwos%2Fwoscc%2Ffull-record%2FWOS:000267196400013","View Full Record in Web of Science")</f>
        <v>View Full Record in Web of Science</v>
      </c>
    </row>
    <row r="897" spans="1:72" x14ac:dyDescent="0.15">
      <c r="A897" t="s">
        <v>72</v>
      </c>
      <c r="B897" t="s">
        <v>16032</v>
      </c>
      <c r="C897" t="s">
        <v>74</v>
      </c>
      <c r="D897" t="s">
        <v>74</v>
      </c>
      <c r="E897" t="s">
        <v>74</v>
      </c>
      <c r="F897" t="s">
        <v>16033</v>
      </c>
      <c r="G897" t="s">
        <v>74</v>
      </c>
      <c r="H897" t="s">
        <v>74</v>
      </c>
      <c r="I897" t="s">
        <v>16034</v>
      </c>
      <c r="J897" t="s">
        <v>1224</v>
      </c>
      <c r="K897" t="s">
        <v>74</v>
      </c>
      <c r="L897" t="s">
        <v>74</v>
      </c>
      <c r="M897" t="s">
        <v>78</v>
      </c>
      <c r="N897" t="s">
        <v>79</v>
      </c>
      <c r="O897" t="s">
        <v>74</v>
      </c>
      <c r="P897" t="s">
        <v>74</v>
      </c>
      <c r="Q897" t="s">
        <v>74</v>
      </c>
      <c r="R897" t="s">
        <v>74</v>
      </c>
      <c r="S897" t="s">
        <v>74</v>
      </c>
      <c r="T897" t="s">
        <v>74</v>
      </c>
      <c r="U897" t="s">
        <v>16035</v>
      </c>
      <c r="V897" t="s">
        <v>74</v>
      </c>
      <c r="W897" t="s">
        <v>16036</v>
      </c>
      <c r="X897" t="s">
        <v>16037</v>
      </c>
      <c r="Y897" t="s">
        <v>16038</v>
      </c>
      <c r="Z897" t="s">
        <v>16039</v>
      </c>
      <c r="AA897" t="s">
        <v>16040</v>
      </c>
      <c r="AB897" t="s">
        <v>16041</v>
      </c>
      <c r="AC897" t="s">
        <v>16042</v>
      </c>
      <c r="AD897" t="s">
        <v>16043</v>
      </c>
      <c r="AE897" t="s">
        <v>16044</v>
      </c>
      <c r="AF897" t="s">
        <v>74</v>
      </c>
      <c r="AG897">
        <v>10</v>
      </c>
      <c r="AH897">
        <v>9</v>
      </c>
      <c r="AI897">
        <v>9</v>
      </c>
      <c r="AJ897">
        <v>0</v>
      </c>
      <c r="AK897">
        <v>2</v>
      </c>
      <c r="AL897" t="s">
        <v>1226</v>
      </c>
      <c r="AM897" t="s">
        <v>684</v>
      </c>
      <c r="AN897" t="s">
        <v>1227</v>
      </c>
      <c r="AO897" t="s">
        <v>1228</v>
      </c>
      <c r="AP897" t="s">
        <v>74</v>
      </c>
      <c r="AQ897" t="s">
        <v>74</v>
      </c>
      <c r="AR897" t="s">
        <v>1229</v>
      </c>
      <c r="AS897" t="s">
        <v>1230</v>
      </c>
      <c r="AT897" t="s">
        <v>15810</v>
      </c>
      <c r="AU897">
        <v>2009</v>
      </c>
      <c r="AV897">
        <v>21</v>
      </c>
      <c r="AW897">
        <v>3</v>
      </c>
      <c r="AX897" t="s">
        <v>74</v>
      </c>
      <c r="AY897" t="s">
        <v>74</v>
      </c>
      <c r="AZ897" t="s">
        <v>74</v>
      </c>
      <c r="BA897" t="s">
        <v>74</v>
      </c>
      <c r="BB897">
        <v>299</v>
      </c>
      <c r="BC897">
        <v>300</v>
      </c>
      <c r="BD897" t="s">
        <v>74</v>
      </c>
      <c r="BE897" t="s">
        <v>16045</v>
      </c>
      <c r="BF897" t="str">
        <f>HYPERLINK("http://dx.doi.org/10.1017/S0954102009001886","http://dx.doi.org/10.1017/S0954102009001886")</f>
        <v>http://dx.doi.org/10.1017/S0954102009001886</v>
      </c>
      <c r="BG897" t="s">
        <v>74</v>
      </c>
      <c r="BH897" t="s">
        <v>74</v>
      </c>
      <c r="BI897">
        <v>2</v>
      </c>
      <c r="BJ897" t="s">
        <v>1232</v>
      </c>
      <c r="BK897" t="s">
        <v>98</v>
      </c>
      <c r="BL897" t="s">
        <v>1233</v>
      </c>
      <c r="BM897" t="s">
        <v>15843</v>
      </c>
      <c r="BN897" t="s">
        <v>74</v>
      </c>
      <c r="BO897" t="s">
        <v>74</v>
      </c>
      <c r="BP897" t="s">
        <v>74</v>
      </c>
      <c r="BQ897" t="s">
        <v>74</v>
      </c>
      <c r="BR897" t="s">
        <v>101</v>
      </c>
      <c r="BS897" t="s">
        <v>16046</v>
      </c>
      <c r="BT897" t="str">
        <f>HYPERLINK("https%3A%2F%2Fwww.webofscience.com%2Fwos%2Fwoscc%2Ffull-record%2FWOS:000267196400014","View Full Record in Web of Science")</f>
        <v>View Full Record in Web of Science</v>
      </c>
    </row>
    <row r="898" spans="1:72" x14ac:dyDescent="0.15">
      <c r="A898" t="s">
        <v>72</v>
      </c>
      <c r="B898" t="s">
        <v>16047</v>
      </c>
      <c r="C898" t="s">
        <v>74</v>
      </c>
      <c r="D898" t="s">
        <v>74</v>
      </c>
      <c r="E898" t="s">
        <v>74</v>
      </c>
      <c r="F898" t="s">
        <v>16048</v>
      </c>
      <c r="G898" t="s">
        <v>74</v>
      </c>
      <c r="H898" t="s">
        <v>74</v>
      </c>
      <c r="I898" t="s">
        <v>16049</v>
      </c>
      <c r="J898" t="s">
        <v>1224</v>
      </c>
      <c r="K898" t="s">
        <v>74</v>
      </c>
      <c r="L898" t="s">
        <v>74</v>
      </c>
      <c r="M898" t="s">
        <v>78</v>
      </c>
      <c r="N898" t="s">
        <v>79</v>
      </c>
      <c r="O898" t="s">
        <v>74</v>
      </c>
      <c r="P898" t="s">
        <v>74</v>
      </c>
      <c r="Q898" t="s">
        <v>74</v>
      </c>
      <c r="R898" t="s">
        <v>74</v>
      </c>
      <c r="S898" t="s">
        <v>74</v>
      </c>
      <c r="T898" t="s">
        <v>16050</v>
      </c>
      <c r="U898" t="s">
        <v>16051</v>
      </c>
      <c r="V898" t="s">
        <v>16052</v>
      </c>
      <c r="W898" t="s">
        <v>16053</v>
      </c>
      <c r="X898" t="s">
        <v>16054</v>
      </c>
      <c r="Y898" t="s">
        <v>11649</v>
      </c>
      <c r="Z898" t="s">
        <v>11650</v>
      </c>
      <c r="AA898" t="s">
        <v>16055</v>
      </c>
      <c r="AB898" t="s">
        <v>16056</v>
      </c>
      <c r="AC898" t="s">
        <v>16057</v>
      </c>
      <c r="AD898" t="s">
        <v>16058</v>
      </c>
      <c r="AE898" t="s">
        <v>16059</v>
      </c>
      <c r="AF898" t="s">
        <v>74</v>
      </c>
      <c r="AG898">
        <v>52</v>
      </c>
      <c r="AH898">
        <v>13</v>
      </c>
      <c r="AI898">
        <v>14</v>
      </c>
      <c r="AJ898">
        <v>0</v>
      </c>
      <c r="AK898">
        <v>1</v>
      </c>
      <c r="AL898" t="s">
        <v>1226</v>
      </c>
      <c r="AM898" t="s">
        <v>684</v>
      </c>
      <c r="AN898" t="s">
        <v>1227</v>
      </c>
      <c r="AO898" t="s">
        <v>1228</v>
      </c>
      <c r="AP898" t="s">
        <v>1250</v>
      </c>
      <c r="AQ898" t="s">
        <v>74</v>
      </c>
      <c r="AR898" t="s">
        <v>1229</v>
      </c>
      <c r="AS898" t="s">
        <v>1230</v>
      </c>
      <c r="AT898" t="s">
        <v>15810</v>
      </c>
      <c r="AU898">
        <v>2009</v>
      </c>
      <c r="AV898">
        <v>21</v>
      </c>
      <c r="AW898">
        <v>3</v>
      </c>
      <c r="AX898" t="s">
        <v>74</v>
      </c>
      <c r="AY898" t="s">
        <v>74</v>
      </c>
      <c r="AZ898" t="s">
        <v>74</v>
      </c>
      <c r="BA898" t="s">
        <v>74</v>
      </c>
      <c r="BB898">
        <v>301</v>
      </c>
      <c r="BC898">
        <v>312</v>
      </c>
      <c r="BD898" t="s">
        <v>74</v>
      </c>
      <c r="BE898" t="s">
        <v>16060</v>
      </c>
      <c r="BF898" t="str">
        <f>HYPERLINK("http://dx.doi.org/10.1017/S0954102009001825","http://dx.doi.org/10.1017/S0954102009001825")</f>
        <v>http://dx.doi.org/10.1017/S0954102009001825</v>
      </c>
      <c r="BG898" t="s">
        <v>74</v>
      </c>
      <c r="BH898" t="s">
        <v>74</v>
      </c>
      <c r="BI898">
        <v>12</v>
      </c>
      <c r="BJ898" t="s">
        <v>1232</v>
      </c>
      <c r="BK898" t="s">
        <v>98</v>
      </c>
      <c r="BL898" t="s">
        <v>1233</v>
      </c>
      <c r="BM898" t="s">
        <v>15843</v>
      </c>
      <c r="BN898" t="s">
        <v>74</v>
      </c>
      <c r="BO898" t="s">
        <v>74</v>
      </c>
      <c r="BP898" t="s">
        <v>74</v>
      </c>
      <c r="BQ898" t="s">
        <v>74</v>
      </c>
      <c r="BR898" t="s">
        <v>101</v>
      </c>
      <c r="BS898" t="s">
        <v>16061</v>
      </c>
      <c r="BT898" t="str">
        <f>HYPERLINK("https%3A%2F%2Fwww.webofscience.com%2Fwos%2Fwoscc%2Ffull-record%2FWOS:000267196400015","View Full Record in Web of Science")</f>
        <v>View Full Record in Web of Science</v>
      </c>
    </row>
    <row r="899" spans="1:72" x14ac:dyDescent="0.15">
      <c r="A899" t="s">
        <v>72</v>
      </c>
      <c r="B899" t="s">
        <v>16062</v>
      </c>
      <c r="C899" t="s">
        <v>74</v>
      </c>
      <c r="D899" t="s">
        <v>74</v>
      </c>
      <c r="E899" t="s">
        <v>74</v>
      </c>
      <c r="F899" t="s">
        <v>16063</v>
      </c>
      <c r="G899" t="s">
        <v>74</v>
      </c>
      <c r="H899" t="s">
        <v>74</v>
      </c>
      <c r="I899" t="s">
        <v>16064</v>
      </c>
      <c r="J899" t="s">
        <v>16065</v>
      </c>
      <c r="K899" t="s">
        <v>74</v>
      </c>
      <c r="L899" t="s">
        <v>74</v>
      </c>
      <c r="M899" t="s">
        <v>78</v>
      </c>
      <c r="N899" t="s">
        <v>79</v>
      </c>
      <c r="O899" t="s">
        <v>74</v>
      </c>
      <c r="P899" t="s">
        <v>74</v>
      </c>
      <c r="Q899" t="s">
        <v>74</v>
      </c>
      <c r="R899" t="s">
        <v>74</v>
      </c>
      <c r="S899" t="s">
        <v>74</v>
      </c>
      <c r="T899" t="s">
        <v>16066</v>
      </c>
      <c r="U899" t="s">
        <v>16067</v>
      </c>
      <c r="V899" t="s">
        <v>16068</v>
      </c>
      <c r="W899" t="s">
        <v>16069</v>
      </c>
      <c r="X899" t="s">
        <v>16070</v>
      </c>
      <c r="Y899" t="s">
        <v>16071</v>
      </c>
      <c r="Z899" t="s">
        <v>16072</v>
      </c>
      <c r="AA899" t="s">
        <v>74</v>
      </c>
      <c r="AB899" t="s">
        <v>74</v>
      </c>
      <c r="AC899" t="s">
        <v>16073</v>
      </c>
      <c r="AD899" t="s">
        <v>16073</v>
      </c>
      <c r="AE899" t="s">
        <v>16074</v>
      </c>
      <c r="AF899" t="s">
        <v>74</v>
      </c>
      <c r="AG899">
        <v>50</v>
      </c>
      <c r="AH899">
        <v>2</v>
      </c>
      <c r="AI899">
        <v>3</v>
      </c>
      <c r="AJ899">
        <v>0</v>
      </c>
      <c r="AK899">
        <v>10</v>
      </c>
      <c r="AL899" t="s">
        <v>16075</v>
      </c>
      <c r="AM899" t="s">
        <v>16076</v>
      </c>
      <c r="AN899" t="s">
        <v>16077</v>
      </c>
      <c r="AO899" t="s">
        <v>16078</v>
      </c>
      <c r="AP899" t="s">
        <v>74</v>
      </c>
      <c r="AQ899" t="s">
        <v>74</v>
      </c>
      <c r="AR899" t="s">
        <v>16065</v>
      </c>
      <c r="AS899" t="s">
        <v>16079</v>
      </c>
      <c r="AT899" t="s">
        <v>15810</v>
      </c>
      <c r="AU899">
        <v>2009</v>
      </c>
      <c r="AV899">
        <v>62</v>
      </c>
      <c r="AW899">
        <v>2</v>
      </c>
      <c r="AX899" t="s">
        <v>74</v>
      </c>
      <c r="AY899" t="s">
        <v>74</v>
      </c>
      <c r="AZ899" t="s">
        <v>74</v>
      </c>
      <c r="BA899" t="s">
        <v>74</v>
      </c>
      <c r="BB899">
        <v>201</v>
      </c>
      <c r="BC899">
        <v>211</v>
      </c>
      <c r="BD899" t="s">
        <v>74</v>
      </c>
      <c r="BE899" t="s">
        <v>74</v>
      </c>
      <c r="BF899" t="s">
        <v>74</v>
      </c>
      <c r="BG899" t="s">
        <v>74</v>
      </c>
      <c r="BH899" t="s">
        <v>74</v>
      </c>
      <c r="BI899">
        <v>11</v>
      </c>
      <c r="BJ899" t="s">
        <v>4498</v>
      </c>
      <c r="BK899" t="s">
        <v>98</v>
      </c>
      <c r="BL899" t="s">
        <v>4499</v>
      </c>
      <c r="BM899" t="s">
        <v>16080</v>
      </c>
      <c r="BN899" t="s">
        <v>74</v>
      </c>
      <c r="BO899" t="s">
        <v>74</v>
      </c>
      <c r="BP899" t="s">
        <v>74</v>
      </c>
      <c r="BQ899" t="s">
        <v>74</v>
      </c>
      <c r="BR899" t="s">
        <v>101</v>
      </c>
      <c r="BS899" t="s">
        <v>16081</v>
      </c>
      <c r="BT899" t="str">
        <f>HYPERLINK("https%3A%2F%2Fwww.webofscience.com%2Fwos%2Fwoscc%2Ffull-record%2FWOS:000267132200007","View Full Record in Web of Science")</f>
        <v>View Full Record in Web of Science</v>
      </c>
    </row>
    <row r="900" spans="1:72" x14ac:dyDescent="0.15">
      <c r="A900" t="s">
        <v>72</v>
      </c>
      <c r="B900" t="s">
        <v>16082</v>
      </c>
      <c r="C900" t="s">
        <v>74</v>
      </c>
      <c r="D900" t="s">
        <v>74</v>
      </c>
      <c r="E900" t="s">
        <v>74</v>
      </c>
      <c r="F900" t="s">
        <v>16083</v>
      </c>
      <c r="G900" t="s">
        <v>74</v>
      </c>
      <c r="H900" t="s">
        <v>74</v>
      </c>
      <c r="I900" t="s">
        <v>16084</v>
      </c>
      <c r="J900" t="s">
        <v>11885</v>
      </c>
      <c r="K900" t="s">
        <v>74</v>
      </c>
      <c r="L900" t="s">
        <v>74</v>
      </c>
      <c r="M900" t="s">
        <v>78</v>
      </c>
      <c r="N900" t="s">
        <v>79</v>
      </c>
      <c r="O900" t="s">
        <v>74</v>
      </c>
      <c r="P900" t="s">
        <v>74</v>
      </c>
      <c r="Q900" t="s">
        <v>74</v>
      </c>
      <c r="R900" t="s">
        <v>74</v>
      </c>
      <c r="S900" t="s">
        <v>74</v>
      </c>
      <c r="T900" t="s">
        <v>16085</v>
      </c>
      <c r="U900" t="s">
        <v>16086</v>
      </c>
      <c r="V900" t="s">
        <v>16087</v>
      </c>
      <c r="W900" t="s">
        <v>16088</v>
      </c>
      <c r="X900" t="s">
        <v>16089</v>
      </c>
      <c r="Y900" t="s">
        <v>16090</v>
      </c>
      <c r="Z900" t="s">
        <v>16091</v>
      </c>
      <c r="AA900" t="s">
        <v>74</v>
      </c>
      <c r="AB900" t="s">
        <v>74</v>
      </c>
      <c r="AC900" t="s">
        <v>16092</v>
      </c>
      <c r="AD900" t="s">
        <v>16093</v>
      </c>
      <c r="AE900" t="s">
        <v>16094</v>
      </c>
      <c r="AF900" t="s">
        <v>74</v>
      </c>
      <c r="AG900">
        <v>22</v>
      </c>
      <c r="AH900">
        <v>8</v>
      </c>
      <c r="AI900">
        <v>9</v>
      </c>
      <c r="AJ900">
        <v>0</v>
      </c>
      <c r="AK900">
        <v>1</v>
      </c>
      <c r="AL900" t="s">
        <v>305</v>
      </c>
      <c r="AM900" t="s">
        <v>281</v>
      </c>
      <c r="AN900" t="s">
        <v>306</v>
      </c>
      <c r="AO900" t="s">
        <v>11896</v>
      </c>
      <c r="AP900" t="s">
        <v>11897</v>
      </c>
      <c r="AQ900" t="s">
        <v>74</v>
      </c>
      <c r="AR900" t="s">
        <v>11898</v>
      </c>
      <c r="AS900" t="s">
        <v>11899</v>
      </c>
      <c r="AT900" t="s">
        <v>15810</v>
      </c>
      <c r="AU900">
        <v>2009</v>
      </c>
      <c r="AV900">
        <v>31</v>
      </c>
      <c r="AW900">
        <v>5</v>
      </c>
      <c r="AX900" t="s">
        <v>74</v>
      </c>
      <c r="AY900" t="s">
        <v>74</v>
      </c>
      <c r="AZ900" t="s">
        <v>74</v>
      </c>
      <c r="BA900" t="s">
        <v>74</v>
      </c>
      <c r="BB900">
        <v>348</v>
      </c>
      <c r="BC900">
        <v>358</v>
      </c>
      <c r="BD900" t="s">
        <v>74</v>
      </c>
      <c r="BE900" t="s">
        <v>16095</v>
      </c>
      <c r="BF900" t="str">
        <f>HYPERLINK("http://dx.doi.org/10.1016/j.astropartphys.2009.03.009","http://dx.doi.org/10.1016/j.astropartphys.2009.03.009")</f>
        <v>http://dx.doi.org/10.1016/j.astropartphys.2009.03.009</v>
      </c>
      <c r="BG900" t="s">
        <v>74</v>
      </c>
      <c r="BH900" t="s">
        <v>74</v>
      </c>
      <c r="BI900">
        <v>11</v>
      </c>
      <c r="BJ900" t="s">
        <v>11901</v>
      </c>
      <c r="BK900" t="s">
        <v>98</v>
      </c>
      <c r="BL900" t="s">
        <v>11902</v>
      </c>
      <c r="BM900" t="s">
        <v>16096</v>
      </c>
      <c r="BN900" t="s">
        <v>74</v>
      </c>
      <c r="BO900" t="s">
        <v>74</v>
      </c>
      <c r="BP900" t="s">
        <v>74</v>
      </c>
      <c r="BQ900" t="s">
        <v>74</v>
      </c>
      <c r="BR900" t="s">
        <v>101</v>
      </c>
      <c r="BS900" t="s">
        <v>16097</v>
      </c>
      <c r="BT900" t="str">
        <f>HYPERLINK("https%3A%2F%2Fwww.webofscience.com%2Fwos%2Fwoscc%2Ffull-record%2FWOS:000267527900003","View Full Record in Web of Science")</f>
        <v>View Full Record in Web of Science</v>
      </c>
    </row>
    <row r="901" spans="1:72" x14ac:dyDescent="0.15">
      <c r="A901" t="s">
        <v>72</v>
      </c>
      <c r="B901" t="s">
        <v>16098</v>
      </c>
      <c r="C901" t="s">
        <v>74</v>
      </c>
      <c r="D901" t="s">
        <v>74</v>
      </c>
      <c r="E901" t="s">
        <v>74</v>
      </c>
      <c r="F901" t="s">
        <v>16099</v>
      </c>
      <c r="G901" t="s">
        <v>74</v>
      </c>
      <c r="H901" t="s">
        <v>74</v>
      </c>
      <c r="I901" t="s">
        <v>16100</v>
      </c>
      <c r="J901" t="s">
        <v>11885</v>
      </c>
      <c r="K901" t="s">
        <v>74</v>
      </c>
      <c r="L901" t="s">
        <v>74</v>
      </c>
      <c r="M901" t="s">
        <v>78</v>
      </c>
      <c r="N901" t="s">
        <v>79</v>
      </c>
      <c r="O901" t="s">
        <v>74</v>
      </c>
      <c r="P901" t="s">
        <v>74</v>
      </c>
      <c r="Q901" t="s">
        <v>74</v>
      </c>
      <c r="R901" t="s">
        <v>74</v>
      </c>
      <c r="S901" t="s">
        <v>74</v>
      </c>
      <c r="T901" t="s">
        <v>16101</v>
      </c>
      <c r="U901" t="s">
        <v>16102</v>
      </c>
      <c r="V901" t="s">
        <v>16103</v>
      </c>
      <c r="W901" t="s">
        <v>16104</v>
      </c>
      <c r="X901" t="s">
        <v>13777</v>
      </c>
      <c r="Y901" t="s">
        <v>16105</v>
      </c>
      <c r="Z901" t="s">
        <v>16106</v>
      </c>
      <c r="AA901" t="s">
        <v>16107</v>
      </c>
      <c r="AB901" t="s">
        <v>16108</v>
      </c>
      <c r="AC901" t="s">
        <v>16109</v>
      </c>
      <c r="AD901" t="s">
        <v>16110</v>
      </c>
      <c r="AE901" t="s">
        <v>16111</v>
      </c>
      <c r="AF901" t="s">
        <v>74</v>
      </c>
      <c r="AG901">
        <v>32</v>
      </c>
      <c r="AH901">
        <v>11</v>
      </c>
      <c r="AI901">
        <v>12</v>
      </c>
      <c r="AJ901">
        <v>0</v>
      </c>
      <c r="AK901">
        <v>5</v>
      </c>
      <c r="AL901" t="s">
        <v>305</v>
      </c>
      <c r="AM901" t="s">
        <v>281</v>
      </c>
      <c r="AN901" t="s">
        <v>306</v>
      </c>
      <c r="AO901" t="s">
        <v>11896</v>
      </c>
      <c r="AP901" t="s">
        <v>11897</v>
      </c>
      <c r="AQ901" t="s">
        <v>74</v>
      </c>
      <c r="AR901" t="s">
        <v>11898</v>
      </c>
      <c r="AS901" t="s">
        <v>11899</v>
      </c>
      <c r="AT901" t="s">
        <v>15810</v>
      </c>
      <c r="AU901">
        <v>2009</v>
      </c>
      <c r="AV901">
        <v>31</v>
      </c>
      <c r="AW901">
        <v>5</v>
      </c>
      <c r="AX901" t="s">
        <v>74</v>
      </c>
      <c r="AY901" t="s">
        <v>74</v>
      </c>
      <c r="AZ901" t="s">
        <v>74</v>
      </c>
      <c r="BA901" t="s">
        <v>74</v>
      </c>
      <c r="BB901">
        <v>392</v>
      </c>
      <c r="BC901">
        <v>398</v>
      </c>
      <c r="BD901" t="s">
        <v>74</v>
      </c>
      <c r="BE901" t="s">
        <v>16112</v>
      </c>
      <c r="BF901" t="str">
        <f>HYPERLINK("http://dx.doi.org/10.1016/j.astropartphys.2009.04.002","http://dx.doi.org/10.1016/j.astropartphys.2009.04.002")</f>
        <v>http://dx.doi.org/10.1016/j.astropartphys.2009.04.002</v>
      </c>
      <c r="BG901" t="s">
        <v>74</v>
      </c>
      <c r="BH901" t="s">
        <v>74</v>
      </c>
      <c r="BI901">
        <v>7</v>
      </c>
      <c r="BJ901" t="s">
        <v>11901</v>
      </c>
      <c r="BK901" t="s">
        <v>98</v>
      </c>
      <c r="BL901" t="s">
        <v>11902</v>
      </c>
      <c r="BM901" t="s">
        <v>16096</v>
      </c>
      <c r="BN901" t="s">
        <v>74</v>
      </c>
      <c r="BO901" t="s">
        <v>1119</v>
      </c>
      <c r="BP901" t="s">
        <v>74</v>
      </c>
      <c r="BQ901" t="s">
        <v>74</v>
      </c>
      <c r="BR901" t="s">
        <v>101</v>
      </c>
      <c r="BS901" t="s">
        <v>16113</v>
      </c>
      <c r="BT901" t="str">
        <f>HYPERLINK("https%3A%2F%2Fwww.webofscience.com%2Fwos%2Fwoscc%2Ffull-record%2FWOS:000267527900008","View Full Record in Web of Science")</f>
        <v>View Full Record in Web of Science</v>
      </c>
    </row>
    <row r="902" spans="1:72" x14ac:dyDescent="0.15">
      <c r="A902" t="s">
        <v>72</v>
      </c>
      <c r="B902" t="s">
        <v>16114</v>
      </c>
      <c r="C902" t="s">
        <v>74</v>
      </c>
      <c r="D902" t="s">
        <v>74</v>
      </c>
      <c r="E902" t="s">
        <v>74</v>
      </c>
      <c r="F902" t="s">
        <v>16115</v>
      </c>
      <c r="G902" t="s">
        <v>74</v>
      </c>
      <c r="H902" t="s">
        <v>74</v>
      </c>
      <c r="I902" t="s">
        <v>16116</v>
      </c>
      <c r="J902" t="s">
        <v>1484</v>
      </c>
      <c r="K902" t="s">
        <v>74</v>
      </c>
      <c r="L902" t="s">
        <v>74</v>
      </c>
      <c r="M902" t="s">
        <v>78</v>
      </c>
      <c r="N902" t="s">
        <v>79</v>
      </c>
      <c r="O902" t="s">
        <v>74</v>
      </c>
      <c r="P902" t="s">
        <v>74</v>
      </c>
      <c r="Q902" t="s">
        <v>74</v>
      </c>
      <c r="R902" t="s">
        <v>74</v>
      </c>
      <c r="S902" t="s">
        <v>74</v>
      </c>
      <c r="T902" t="s">
        <v>74</v>
      </c>
      <c r="U902" t="s">
        <v>16117</v>
      </c>
      <c r="V902" t="s">
        <v>16118</v>
      </c>
      <c r="W902" t="s">
        <v>16119</v>
      </c>
      <c r="X902" t="s">
        <v>16120</v>
      </c>
      <c r="Y902" t="s">
        <v>16121</v>
      </c>
      <c r="Z902" t="s">
        <v>16122</v>
      </c>
      <c r="AA902" t="s">
        <v>16123</v>
      </c>
      <c r="AB902" t="s">
        <v>16124</v>
      </c>
      <c r="AC902" t="s">
        <v>16125</v>
      </c>
      <c r="AD902" t="s">
        <v>16126</v>
      </c>
      <c r="AE902" t="s">
        <v>16127</v>
      </c>
      <c r="AF902" t="s">
        <v>74</v>
      </c>
      <c r="AG902">
        <v>72</v>
      </c>
      <c r="AH902">
        <v>17</v>
      </c>
      <c r="AI902">
        <v>17</v>
      </c>
      <c r="AJ902">
        <v>0</v>
      </c>
      <c r="AK902">
        <v>9</v>
      </c>
      <c r="AL902" t="s">
        <v>1184</v>
      </c>
      <c r="AM902" t="s">
        <v>1185</v>
      </c>
      <c r="AN902" t="s">
        <v>1186</v>
      </c>
      <c r="AO902" t="s">
        <v>1496</v>
      </c>
      <c r="AP902" t="s">
        <v>1497</v>
      </c>
      <c r="AQ902" t="s">
        <v>74</v>
      </c>
      <c r="AR902" t="s">
        <v>1498</v>
      </c>
      <c r="AS902" t="s">
        <v>1499</v>
      </c>
      <c r="AT902" t="s">
        <v>15810</v>
      </c>
      <c r="AU902">
        <v>2009</v>
      </c>
      <c r="AV902">
        <v>21</v>
      </c>
      <c r="AW902">
        <v>3</v>
      </c>
      <c r="AX902" t="s">
        <v>74</v>
      </c>
      <c r="AY902" t="s">
        <v>74</v>
      </c>
      <c r="AZ902" t="s">
        <v>74</v>
      </c>
      <c r="BA902" t="s">
        <v>74</v>
      </c>
      <c r="BB902">
        <v>295</v>
      </c>
      <c r="BC902">
        <v>314</v>
      </c>
      <c r="BD902" t="s">
        <v>74</v>
      </c>
      <c r="BE902" t="s">
        <v>16128</v>
      </c>
      <c r="BF902" t="str">
        <f>HYPERLINK("http://dx.doi.org/10.1111/j.1365-2117.2008.00386.x","http://dx.doi.org/10.1111/j.1365-2117.2008.00386.x")</f>
        <v>http://dx.doi.org/10.1111/j.1365-2117.2008.00386.x</v>
      </c>
      <c r="BG902" t="s">
        <v>74</v>
      </c>
      <c r="BH902" t="s">
        <v>74</v>
      </c>
      <c r="BI902">
        <v>20</v>
      </c>
      <c r="BJ902" t="s">
        <v>464</v>
      </c>
      <c r="BK902" t="s">
        <v>98</v>
      </c>
      <c r="BL902" t="s">
        <v>465</v>
      </c>
      <c r="BM902" t="s">
        <v>16129</v>
      </c>
      <c r="BN902" t="s">
        <v>74</v>
      </c>
      <c r="BO902" t="s">
        <v>74</v>
      </c>
      <c r="BP902" t="s">
        <v>74</v>
      </c>
      <c r="BQ902" t="s">
        <v>74</v>
      </c>
      <c r="BR902" t="s">
        <v>101</v>
      </c>
      <c r="BS902" t="s">
        <v>16130</v>
      </c>
      <c r="BT902" t="str">
        <f>HYPERLINK("https%3A%2F%2Fwww.webofscience.com%2Fwos%2Fwoscc%2Ffull-record%2FWOS:000266171900002","View Full Record in Web of Science")</f>
        <v>View Full Record in Web of Science</v>
      </c>
    </row>
    <row r="903" spans="1:72" x14ac:dyDescent="0.15">
      <c r="A903" t="s">
        <v>72</v>
      </c>
      <c r="B903" t="s">
        <v>16131</v>
      </c>
      <c r="C903" t="s">
        <v>74</v>
      </c>
      <c r="D903" t="s">
        <v>74</v>
      </c>
      <c r="E903" t="s">
        <v>74</v>
      </c>
      <c r="F903" t="s">
        <v>16132</v>
      </c>
      <c r="G903" t="s">
        <v>74</v>
      </c>
      <c r="H903" t="s">
        <v>74</v>
      </c>
      <c r="I903" t="s">
        <v>16133</v>
      </c>
      <c r="J903" t="s">
        <v>16134</v>
      </c>
      <c r="K903" t="s">
        <v>74</v>
      </c>
      <c r="L903" t="s">
        <v>74</v>
      </c>
      <c r="M903" t="s">
        <v>78</v>
      </c>
      <c r="N903" t="s">
        <v>297</v>
      </c>
      <c r="O903" t="s">
        <v>74</v>
      </c>
      <c r="P903" t="s">
        <v>74</v>
      </c>
      <c r="Q903" t="s">
        <v>74</v>
      </c>
      <c r="R903" t="s">
        <v>74</v>
      </c>
      <c r="S903" t="s">
        <v>74</v>
      </c>
      <c r="T903" t="s">
        <v>16135</v>
      </c>
      <c r="U903" t="s">
        <v>16136</v>
      </c>
      <c r="V903" t="s">
        <v>16137</v>
      </c>
      <c r="W903" t="s">
        <v>16138</v>
      </c>
      <c r="X903" t="s">
        <v>16139</v>
      </c>
      <c r="Y903" t="s">
        <v>16140</v>
      </c>
      <c r="Z903" t="s">
        <v>16141</v>
      </c>
      <c r="AA903" t="s">
        <v>16142</v>
      </c>
      <c r="AB903" t="s">
        <v>16143</v>
      </c>
      <c r="AC903" t="s">
        <v>74</v>
      </c>
      <c r="AD903" t="s">
        <v>74</v>
      </c>
      <c r="AE903" t="s">
        <v>74</v>
      </c>
      <c r="AF903" t="s">
        <v>74</v>
      </c>
      <c r="AG903">
        <v>42</v>
      </c>
      <c r="AH903">
        <v>209</v>
      </c>
      <c r="AI903">
        <v>255</v>
      </c>
      <c r="AJ903">
        <v>1</v>
      </c>
      <c r="AK903">
        <v>152</v>
      </c>
      <c r="AL903" t="s">
        <v>4774</v>
      </c>
      <c r="AM903" t="s">
        <v>4775</v>
      </c>
      <c r="AN903" t="s">
        <v>4776</v>
      </c>
      <c r="AO903" t="s">
        <v>16144</v>
      </c>
      <c r="AP903" t="s">
        <v>16145</v>
      </c>
      <c r="AQ903" t="s">
        <v>74</v>
      </c>
      <c r="AR903" t="s">
        <v>16134</v>
      </c>
      <c r="AS903" t="s">
        <v>16146</v>
      </c>
      <c r="AT903" t="s">
        <v>15810</v>
      </c>
      <c r="AU903">
        <v>2009</v>
      </c>
      <c r="AV903">
        <v>91</v>
      </c>
      <c r="AW903">
        <v>6</v>
      </c>
      <c r="AX903" t="s">
        <v>74</v>
      </c>
      <c r="AY903" t="s">
        <v>74</v>
      </c>
      <c r="AZ903" t="s">
        <v>74</v>
      </c>
      <c r="BA903" t="s">
        <v>74</v>
      </c>
      <c r="BB903">
        <v>679</v>
      </c>
      <c r="BC903">
        <v>684</v>
      </c>
      <c r="BD903" t="s">
        <v>74</v>
      </c>
      <c r="BE903" t="s">
        <v>16147</v>
      </c>
      <c r="BF903" t="str">
        <f>HYPERLINK("http://dx.doi.org/10.1016/j.biochi.2008.11.004","http://dx.doi.org/10.1016/j.biochi.2008.11.004")</f>
        <v>http://dx.doi.org/10.1016/j.biochi.2008.11.004</v>
      </c>
      <c r="BG903" t="s">
        <v>74</v>
      </c>
      <c r="BH903" t="s">
        <v>74</v>
      </c>
      <c r="BI903">
        <v>6</v>
      </c>
      <c r="BJ903" t="s">
        <v>8038</v>
      </c>
      <c r="BK903" t="s">
        <v>98</v>
      </c>
      <c r="BL903" t="s">
        <v>8038</v>
      </c>
      <c r="BM903" t="s">
        <v>16148</v>
      </c>
      <c r="BN903">
        <v>19063932</v>
      </c>
      <c r="BO903" t="s">
        <v>74</v>
      </c>
      <c r="BP903" t="s">
        <v>74</v>
      </c>
      <c r="BQ903" t="s">
        <v>74</v>
      </c>
      <c r="BR903" t="s">
        <v>101</v>
      </c>
      <c r="BS903" t="s">
        <v>16149</v>
      </c>
      <c r="BT903" t="str">
        <f>HYPERLINK("https%3A%2F%2Fwww.webofscience.com%2Fwos%2Fwoscc%2Ffull-record%2FWOS:000267044400005","View Full Record in Web of Science")</f>
        <v>View Full Record in Web of Science</v>
      </c>
    </row>
    <row r="904" spans="1:72" x14ac:dyDescent="0.15">
      <c r="A904" t="s">
        <v>72</v>
      </c>
      <c r="B904" t="s">
        <v>16150</v>
      </c>
      <c r="C904" t="s">
        <v>74</v>
      </c>
      <c r="D904" t="s">
        <v>74</v>
      </c>
      <c r="E904" t="s">
        <v>74</v>
      </c>
      <c r="F904" t="s">
        <v>16151</v>
      </c>
      <c r="G904" t="s">
        <v>74</v>
      </c>
      <c r="H904" t="s">
        <v>74</v>
      </c>
      <c r="I904" t="s">
        <v>16152</v>
      </c>
      <c r="J904" t="s">
        <v>13739</v>
      </c>
      <c r="K904" t="s">
        <v>74</v>
      </c>
      <c r="L904" t="s">
        <v>74</v>
      </c>
      <c r="M904" t="s">
        <v>78</v>
      </c>
      <c r="N904" t="s">
        <v>79</v>
      </c>
      <c r="O904" t="s">
        <v>74</v>
      </c>
      <c r="P904" t="s">
        <v>74</v>
      </c>
      <c r="Q904" t="s">
        <v>74</v>
      </c>
      <c r="R904" t="s">
        <v>74</v>
      </c>
      <c r="S904" t="s">
        <v>74</v>
      </c>
      <c r="T904" t="s">
        <v>16153</v>
      </c>
      <c r="U904" t="s">
        <v>16154</v>
      </c>
      <c r="V904" t="s">
        <v>16155</v>
      </c>
      <c r="W904" t="s">
        <v>2249</v>
      </c>
      <c r="X904" t="s">
        <v>725</v>
      </c>
      <c r="Y904" t="s">
        <v>16156</v>
      </c>
      <c r="Z904" t="s">
        <v>16157</v>
      </c>
      <c r="AA904" t="s">
        <v>74</v>
      </c>
      <c r="AB904" t="s">
        <v>74</v>
      </c>
      <c r="AC904" t="s">
        <v>9162</v>
      </c>
      <c r="AD904" t="s">
        <v>730</v>
      </c>
      <c r="AE904" t="s">
        <v>74</v>
      </c>
      <c r="AF904" t="s">
        <v>74</v>
      </c>
      <c r="AG904">
        <v>19</v>
      </c>
      <c r="AH904">
        <v>46</v>
      </c>
      <c r="AI904">
        <v>48</v>
      </c>
      <c r="AJ904">
        <v>0</v>
      </c>
      <c r="AK904">
        <v>9</v>
      </c>
      <c r="AL904" t="s">
        <v>1850</v>
      </c>
      <c r="AM904" t="s">
        <v>1851</v>
      </c>
      <c r="AN904" t="s">
        <v>1852</v>
      </c>
      <c r="AO904" t="s">
        <v>13751</v>
      </c>
      <c r="AP904" t="s">
        <v>16158</v>
      </c>
      <c r="AQ904" t="s">
        <v>74</v>
      </c>
      <c r="AR904" t="s">
        <v>13752</v>
      </c>
      <c r="AS904" t="s">
        <v>13753</v>
      </c>
      <c r="AT904" t="s">
        <v>15810</v>
      </c>
      <c r="AU904">
        <v>2009</v>
      </c>
      <c r="AV904">
        <v>131</v>
      </c>
      <c r="AW904">
        <v>3</v>
      </c>
      <c r="AX904" t="s">
        <v>74</v>
      </c>
      <c r="AY904" t="s">
        <v>74</v>
      </c>
      <c r="AZ904" t="s">
        <v>74</v>
      </c>
      <c r="BA904" t="s">
        <v>74</v>
      </c>
      <c r="BB904">
        <v>345</v>
      </c>
      <c r="BC904">
        <v>362</v>
      </c>
      <c r="BD904" t="s">
        <v>74</v>
      </c>
      <c r="BE904" t="s">
        <v>16159</v>
      </c>
      <c r="BF904" t="str">
        <f>HYPERLINK("http://dx.doi.org/10.1007/s10546-009-9376-4","http://dx.doi.org/10.1007/s10546-009-9376-4")</f>
        <v>http://dx.doi.org/10.1007/s10546-009-9376-4</v>
      </c>
      <c r="BG904" t="s">
        <v>74</v>
      </c>
      <c r="BH904" t="s">
        <v>74</v>
      </c>
      <c r="BI904">
        <v>18</v>
      </c>
      <c r="BJ904" t="s">
        <v>413</v>
      </c>
      <c r="BK904" t="s">
        <v>98</v>
      </c>
      <c r="BL904" t="s">
        <v>413</v>
      </c>
      <c r="BM904" t="s">
        <v>16160</v>
      </c>
      <c r="BN904" t="s">
        <v>74</v>
      </c>
      <c r="BO904" t="s">
        <v>74</v>
      </c>
      <c r="BP904" t="s">
        <v>74</v>
      </c>
      <c r="BQ904" t="s">
        <v>74</v>
      </c>
      <c r="BR904" t="s">
        <v>101</v>
      </c>
      <c r="BS904" t="s">
        <v>16161</v>
      </c>
      <c r="BT904" t="str">
        <f>HYPERLINK("https%3A%2F%2Fwww.webofscience.com%2Fwos%2Fwoscc%2Ffull-record%2FWOS:000265831400002","View Full Record in Web of Science")</f>
        <v>View Full Record in Web of Science</v>
      </c>
    </row>
    <row r="905" spans="1:72" x14ac:dyDescent="0.15">
      <c r="A905" t="s">
        <v>72</v>
      </c>
      <c r="B905" t="s">
        <v>16162</v>
      </c>
      <c r="C905" t="s">
        <v>74</v>
      </c>
      <c r="D905" t="s">
        <v>74</v>
      </c>
      <c r="E905" t="s">
        <v>74</v>
      </c>
      <c r="F905" t="s">
        <v>16163</v>
      </c>
      <c r="G905" t="s">
        <v>74</v>
      </c>
      <c r="H905" t="s">
        <v>74</v>
      </c>
      <c r="I905" t="s">
        <v>16164</v>
      </c>
      <c r="J905" t="s">
        <v>7405</v>
      </c>
      <c r="K905" t="s">
        <v>74</v>
      </c>
      <c r="L905" t="s">
        <v>74</v>
      </c>
      <c r="M905" t="s">
        <v>78</v>
      </c>
      <c r="N905" t="s">
        <v>79</v>
      </c>
      <c r="O905" t="s">
        <v>74</v>
      </c>
      <c r="P905" t="s">
        <v>74</v>
      </c>
      <c r="Q905" t="s">
        <v>74</v>
      </c>
      <c r="R905" t="s">
        <v>74</v>
      </c>
      <c r="S905" t="s">
        <v>74</v>
      </c>
      <c r="T905" t="s">
        <v>16165</v>
      </c>
      <c r="U905" t="s">
        <v>16166</v>
      </c>
      <c r="V905" t="s">
        <v>16167</v>
      </c>
      <c r="W905" t="s">
        <v>16168</v>
      </c>
      <c r="X905" t="s">
        <v>16169</v>
      </c>
      <c r="Y905" t="s">
        <v>16170</v>
      </c>
      <c r="Z905" t="s">
        <v>16171</v>
      </c>
      <c r="AA905" t="s">
        <v>16172</v>
      </c>
      <c r="AB905" t="s">
        <v>16173</v>
      </c>
      <c r="AC905" t="s">
        <v>16174</v>
      </c>
      <c r="AD905" t="s">
        <v>16175</v>
      </c>
      <c r="AE905" t="s">
        <v>16176</v>
      </c>
      <c r="AF905" t="s">
        <v>74</v>
      </c>
      <c r="AG905">
        <v>42</v>
      </c>
      <c r="AH905">
        <v>100</v>
      </c>
      <c r="AI905">
        <v>109</v>
      </c>
      <c r="AJ905">
        <v>3</v>
      </c>
      <c r="AK905">
        <v>129</v>
      </c>
      <c r="AL905" t="s">
        <v>1894</v>
      </c>
      <c r="AM905" t="s">
        <v>1895</v>
      </c>
      <c r="AN905" t="s">
        <v>1896</v>
      </c>
      <c r="AO905" t="s">
        <v>7417</v>
      </c>
      <c r="AP905" t="s">
        <v>7418</v>
      </c>
      <c r="AQ905" t="s">
        <v>74</v>
      </c>
      <c r="AR905" t="s">
        <v>7405</v>
      </c>
      <c r="AS905" t="s">
        <v>7419</v>
      </c>
      <c r="AT905" t="s">
        <v>15810</v>
      </c>
      <c r="AU905">
        <v>2009</v>
      </c>
      <c r="AV905">
        <v>76</v>
      </c>
      <c r="AW905">
        <v>1</v>
      </c>
      <c r="AX905" t="s">
        <v>74</v>
      </c>
      <c r="AY905" t="s">
        <v>74</v>
      </c>
      <c r="AZ905" t="s">
        <v>74</v>
      </c>
      <c r="BA905" t="s">
        <v>74</v>
      </c>
      <c r="BB905">
        <v>98</v>
      </c>
      <c r="BC905">
        <v>106</v>
      </c>
      <c r="BD905" t="s">
        <v>74</v>
      </c>
      <c r="BE905" t="s">
        <v>16177</v>
      </c>
      <c r="BF905" t="str">
        <f>HYPERLINK("http://dx.doi.org/10.1016/j.chemosphere.2009.02.017","http://dx.doi.org/10.1016/j.chemosphere.2009.02.017")</f>
        <v>http://dx.doi.org/10.1016/j.chemosphere.2009.02.017</v>
      </c>
      <c r="BG905" t="s">
        <v>74</v>
      </c>
      <c r="BH905" t="s">
        <v>74</v>
      </c>
      <c r="BI905">
        <v>9</v>
      </c>
      <c r="BJ905" t="s">
        <v>515</v>
      </c>
      <c r="BK905" t="s">
        <v>98</v>
      </c>
      <c r="BL905" t="s">
        <v>516</v>
      </c>
      <c r="BM905" t="s">
        <v>16178</v>
      </c>
      <c r="BN905">
        <v>19275951</v>
      </c>
      <c r="BO905" t="s">
        <v>239</v>
      </c>
      <c r="BP905" t="s">
        <v>74</v>
      </c>
      <c r="BQ905" t="s">
        <v>74</v>
      </c>
      <c r="BR905" t="s">
        <v>101</v>
      </c>
      <c r="BS905" t="s">
        <v>16179</v>
      </c>
      <c r="BT905" t="str">
        <f>HYPERLINK("https%3A%2F%2Fwww.webofscience.com%2Fwos%2Fwoscc%2Ffull-record%2FWOS:000266897200015","View Full Record in Web of Science")</f>
        <v>View Full Record in Web of Science</v>
      </c>
    </row>
    <row r="906" spans="1:72" x14ac:dyDescent="0.15">
      <c r="A906" t="s">
        <v>72</v>
      </c>
      <c r="B906" t="s">
        <v>16180</v>
      </c>
      <c r="C906" t="s">
        <v>74</v>
      </c>
      <c r="D906" t="s">
        <v>74</v>
      </c>
      <c r="E906" t="s">
        <v>74</v>
      </c>
      <c r="F906" t="s">
        <v>16181</v>
      </c>
      <c r="G906" t="s">
        <v>74</v>
      </c>
      <c r="H906" t="s">
        <v>74</v>
      </c>
      <c r="I906" t="s">
        <v>16182</v>
      </c>
      <c r="J906" t="s">
        <v>7405</v>
      </c>
      <c r="K906" t="s">
        <v>74</v>
      </c>
      <c r="L906" t="s">
        <v>74</v>
      </c>
      <c r="M906" t="s">
        <v>78</v>
      </c>
      <c r="N906" t="s">
        <v>79</v>
      </c>
      <c r="O906" t="s">
        <v>74</v>
      </c>
      <c r="P906" t="s">
        <v>74</v>
      </c>
      <c r="Q906" t="s">
        <v>74</v>
      </c>
      <c r="R906" t="s">
        <v>74</v>
      </c>
      <c r="S906" t="s">
        <v>74</v>
      </c>
      <c r="T906" t="s">
        <v>16183</v>
      </c>
      <c r="U906" t="s">
        <v>16184</v>
      </c>
      <c r="V906" t="s">
        <v>16185</v>
      </c>
      <c r="W906" t="s">
        <v>16186</v>
      </c>
      <c r="X906" t="s">
        <v>8797</v>
      </c>
      <c r="Y906" t="s">
        <v>16187</v>
      </c>
      <c r="Z906" t="s">
        <v>16188</v>
      </c>
      <c r="AA906" t="s">
        <v>16189</v>
      </c>
      <c r="AB906" t="s">
        <v>16190</v>
      </c>
      <c r="AC906" t="s">
        <v>16191</v>
      </c>
      <c r="AD906" t="s">
        <v>16192</v>
      </c>
      <c r="AE906" t="s">
        <v>16193</v>
      </c>
      <c r="AF906" t="s">
        <v>74</v>
      </c>
      <c r="AG906">
        <v>44</v>
      </c>
      <c r="AH906">
        <v>42</v>
      </c>
      <c r="AI906">
        <v>46</v>
      </c>
      <c r="AJ906">
        <v>1</v>
      </c>
      <c r="AK906">
        <v>42</v>
      </c>
      <c r="AL906" t="s">
        <v>1894</v>
      </c>
      <c r="AM906" t="s">
        <v>1895</v>
      </c>
      <c r="AN906" t="s">
        <v>1896</v>
      </c>
      <c r="AO906" t="s">
        <v>7417</v>
      </c>
      <c r="AP906" t="s">
        <v>7418</v>
      </c>
      <c r="AQ906" t="s">
        <v>74</v>
      </c>
      <c r="AR906" t="s">
        <v>7405</v>
      </c>
      <c r="AS906" t="s">
        <v>7419</v>
      </c>
      <c r="AT906" t="s">
        <v>15810</v>
      </c>
      <c r="AU906">
        <v>2009</v>
      </c>
      <c r="AV906">
        <v>76</v>
      </c>
      <c r="AW906">
        <v>2</v>
      </c>
      <c r="AX906" t="s">
        <v>74</v>
      </c>
      <c r="AY906" t="s">
        <v>74</v>
      </c>
      <c r="AZ906" t="s">
        <v>74</v>
      </c>
      <c r="BA906" t="s">
        <v>74</v>
      </c>
      <c r="BB906">
        <v>264</v>
      </c>
      <c r="BC906">
        <v>269</v>
      </c>
      <c r="BD906" t="s">
        <v>74</v>
      </c>
      <c r="BE906" t="s">
        <v>16194</v>
      </c>
      <c r="BF906" t="str">
        <f>HYPERLINK("http://dx.doi.org/10.1016/j.chemosphere.2009.03.007","http://dx.doi.org/10.1016/j.chemosphere.2009.03.007")</f>
        <v>http://dx.doi.org/10.1016/j.chemosphere.2009.03.007</v>
      </c>
      <c r="BG906" t="s">
        <v>74</v>
      </c>
      <c r="BH906" t="s">
        <v>74</v>
      </c>
      <c r="BI906">
        <v>6</v>
      </c>
      <c r="BJ906" t="s">
        <v>515</v>
      </c>
      <c r="BK906" t="s">
        <v>98</v>
      </c>
      <c r="BL906" t="s">
        <v>516</v>
      </c>
      <c r="BM906" t="s">
        <v>16195</v>
      </c>
      <c r="BN906">
        <v>19375148</v>
      </c>
      <c r="BO906" t="s">
        <v>74</v>
      </c>
      <c r="BP906" t="s">
        <v>74</v>
      </c>
      <c r="BQ906" t="s">
        <v>74</v>
      </c>
      <c r="BR906" t="s">
        <v>101</v>
      </c>
      <c r="BS906" t="s">
        <v>16196</v>
      </c>
      <c r="BT906" t="str">
        <f>HYPERLINK("https%3A%2F%2Fwww.webofscience.com%2Fwos%2Fwoscc%2Ffull-record%2FWOS:000267155600016","View Full Record in Web of Science")</f>
        <v>View Full Record in Web of Science</v>
      </c>
    </row>
    <row r="907" spans="1:72" x14ac:dyDescent="0.15">
      <c r="A907" t="s">
        <v>72</v>
      </c>
      <c r="B907" t="s">
        <v>16197</v>
      </c>
      <c r="C907" t="s">
        <v>74</v>
      </c>
      <c r="D907" t="s">
        <v>74</v>
      </c>
      <c r="E907" t="s">
        <v>74</v>
      </c>
      <c r="F907" t="s">
        <v>16198</v>
      </c>
      <c r="G907" t="s">
        <v>74</v>
      </c>
      <c r="H907" t="s">
        <v>74</v>
      </c>
      <c r="I907" t="s">
        <v>16199</v>
      </c>
      <c r="J907" t="s">
        <v>16200</v>
      </c>
      <c r="K907" t="s">
        <v>74</v>
      </c>
      <c r="L907" t="s">
        <v>74</v>
      </c>
      <c r="M907" t="s">
        <v>78</v>
      </c>
      <c r="N907" t="s">
        <v>79</v>
      </c>
      <c r="O907" t="s">
        <v>74</v>
      </c>
      <c r="P907" t="s">
        <v>74</v>
      </c>
      <c r="Q907" t="s">
        <v>74</v>
      </c>
      <c r="R907" t="s">
        <v>74</v>
      </c>
      <c r="S907" t="s">
        <v>74</v>
      </c>
      <c r="T907" t="s">
        <v>16201</v>
      </c>
      <c r="U907" t="s">
        <v>16202</v>
      </c>
      <c r="V907" t="s">
        <v>16203</v>
      </c>
      <c r="W907" t="s">
        <v>16204</v>
      </c>
      <c r="X907" t="s">
        <v>16205</v>
      </c>
      <c r="Y907" t="s">
        <v>16206</v>
      </c>
      <c r="Z907" t="s">
        <v>16207</v>
      </c>
      <c r="AA907" t="s">
        <v>751</v>
      </c>
      <c r="AB907" t="s">
        <v>752</v>
      </c>
      <c r="AC907" t="s">
        <v>74</v>
      </c>
      <c r="AD907" t="s">
        <v>74</v>
      </c>
      <c r="AE907" t="s">
        <v>74</v>
      </c>
      <c r="AF907" t="s">
        <v>74</v>
      </c>
      <c r="AG907">
        <v>32</v>
      </c>
      <c r="AH907">
        <v>1</v>
      </c>
      <c r="AI907">
        <v>1</v>
      </c>
      <c r="AJ907">
        <v>0</v>
      </c>
      <c r="AK907">
        <v>5</v>
      </c>
      <c r="AL907" t="s">
        <v>1850</v>
      </c>
      <c r="AM907" t="s">
        <v>684</v>
      </c>
      <c r="AN907" t="s">
        <v>2272</v>
      </c>
      <c r="AO907" t="s">
        <v>16208</v>
      </c>
      <c r="AP907" t="s">
        <v>74</v>
      </c>
      <c r="AQ907" t="s">
        <v>74</v>
      </c>
      <c r="AR907" t="s">
        <v>16209</v>
      </c>
      <c r="AS907" t="s">
        <v>16210</v>
      </c>
      <c r="AT907" t="s">
        <v>15810</v>
      </c>
      <c r="AU907">
        <v>2009</v>
      </c>
      <c r="AV907">
        <v>19</v>
      </c>
      <c r="AW907">
        <v>2</v>
      </c>
      <c r="AX907" t="s">
        <v>74</v>
      </c>
      <c r="AY907" t="s">
        <v>74</v>
      </c>
      <c r="AZ907" t="s">
        <v>74</v>
      </c>
      <c r="BA907" t="s">
        <v>74</v>
      </c>
      <c r="BB907">
        <v>120</v>
      </c>
      <c r="BC907">
        <v>125</v>
      </c>
      <c r="BD907" t="s">
        <v>74</v>
      </c>
      <c r="BE907" t="s">
        <v>16211</v>
      </c>
      <c r="BF907" t="str">
        <f>HYPERLINK("http://dx.doi.org/10.1007/s11769-009-0120-2","http://dx.doi.org/10.1007/s11769-009-0120-2")</f>
        <v>http://dx.doi.org/10.1007/s11769-009-0120-2</v>
      </c>
      <c r="BG907" t="s">
        <v>74</v>
      </c>
      <c r="BH907" t="s">
        <v>74</v>
      </c>
      <c r="BI907">
        <v>6</v>
      </c>
      <c r="BJ907" t="s">
        <v>515</v>
      </c>
      <c r="BK907" t="s">
        <v>98</v>
      </c>
      <c r="BL907" t="s">
        <v>516</v>
      </c>
      <c r="BM907" t="s">
        <v>16212</v>
      </c>
      <c r="BN907" t="s">
        <v>74</v>
      </c>
      <c r="BO907" t="s">
        <v>765</v>
      </c>
      <c r="BP907" t="s">
        <v>74</v>
      </c>
      <c r="BQ907" t="s">
        <v>74</v>
      </c>
      <c r="BR907" t="s">
        <v>101</v>
      </c>
      <c r="BS907" t="s">
        <v>16213</v>
      </c>
      <c r="BT907" t="str">
        <f>HYPERLINK("https%3A%2F%2Fwww.webofscience.com%2Fwos%2Fwoscc%2Ffull-record%2FWOS:000268207200004","View Full Record in Web of Science")</f>
        <v>View Full Record in Web of Science</v>
      </c>
    </row>
    <row r="908" spans="1:72" x14ac:dyDescent="0.15">
      <c r="A908" t="s">
        <v>72</v>
      </c>
      <c r="B908" t="s">
        <v>16214</v>
      </c>
      <c r="C908" t="s">
        <v>74</v>
      </c>
      <c r="D908" t="s">
        <v>74</v>
      </c>
      <c r="E908" t="s">
        <v>74</v>
      </c>
      <c r="F908" t="s">
        <v>16215</v>
      </c>
      <c r="G908" t="s">
        <v>74</v>
      </c>
      <c r="H908" t="s">
        <v>74</v>
      </c>
      <c r="I908" t="s">
        <v>16216</v>
      </c>
      <c r="J908" t="s">
        <v>12014</v>
      </c>
      <c r="K908" t="s">
        <v>74</v>
      </c>
      <c r="L908" t="s">
        <v>74</v>
      </c>
      <c r="M908" t="s">
        <v>78</v>
      </c>
      <c r="N908" t="s">
        <v>79</v>
      </c>
      <c r="O908" t="s">
        <v>74</v>
      </c>
      <c r="P908" t="s">
        <v>74</v>
      </c>
      <c r="Q908" t="s">
        <v>74</v>
      </c>
      <c r="R908" t="s">
        <v>74</v>
      </c>
      <c r="S908" t="s">
        <v>74</v>
      </c>
      <c r="T908" t="s">
        <v>16217</v>
      </c>
      <c r="U908" t="s">
        <v>16218</v>
      </c>
      <c r="V908" t="s">
        <v>16219</v>
      </c>
      <c r="W908" t="s">
        <v>16220</v>
      </c>
      <c r="X908" t="s">
        <v>16221</v>
      </c>
      <c r="Y908" t="s">
        <v>16222</v>
      </c>
      <c r="Z908" t="s">
        <v>16223</v>
      </c>
      <c r="AA908" t="s">
        <v>74</v>
      </c>
      <c r="AB908" t="s">
        <v>16224</v>
      </c>
      <c r="AC908" t="s">
        <v>16225</v>
      </c>
      <c r="AD908" t="s">
        <v>16226</v>
      </c>
      <c r="AE908" t="s">
        <v>16227</v>
      </c>
      <c r="AF908" t="s">
        <v>74</v>
      </c>
      <c r="AG908">
        <v>28</v>
      </c>
      <c r="AH908">
        <v>50</v>
      </c>
      <c r="AI908">
        <v>54</v>
      </c>
      <c r="AJ908">
        <v>0</v>
      </c>
      <c r="AK908">
        <v>3</v>
      </c>
      <c r="AL908" t="s">
        <v>1850</v>
      </c>
      <c r="AM908" t="s">
        <v>684</v>
      </c>
      <c r="AN908" t="s">
        <v>3108</v>
      </c>
      <c r="AO908" t="s">
        <v>12027</v>
      </c>
      <c r="AP908" t="s">
        <v>12028</v>
      </c>
      <c r="AQ908" t="s">
        <v>74</v>
      </c>
      <c r="AR908" t="s">
        <v>12029</v>
      </c>
      <c r="AS908" t="s">
        <v>12030</v>
      </c>
      <c r="AT908" t="s">
        <v>15810</v>
      </c>
      <c r="AU908">
        <v>2009</v>
      </c>
      <c r="AV908">
        <v>32</v>
      </c>
      <c r="AW908" t="s">
        <v>15133</v>
      </c>
      <c r="AX908" t="s">
        <v>74</v>
      </c>
      <c r="AY908" t="s">
        <v>74</v>
      </c>
      <c r="AZ908" t="s">
        <v>74</v>
      </c>
      <c r="BA908" t="s">
        <v>74</v>
      </c>
      <c r="BB908">
        <v>1003</v>
      </c>
      <c r="BC908">
        <v>1014</v>
      </c>
      <c r="BD908" t="s">
        <v>74</v>
      </c>
      <c r="BE908" t="s">
        <v>16228</v>
      </c>
      <c r="BF908" t="str">
        <f>HYPERLINK("http://dx.doi.org/10.1007/s00382-009-0534-7","http://dx.doi.org/10.1007/s00382-009-0534-7")</f>
        <v>http://dx.doi.org/10.1007/s00382-009-0534-7</v>
      </c>
      <c r="BG908" t="s">
        <v>74</v>
      </c>
      <c r="BH908" t="s">
        <v>74</v>
      </c>
      <c r="BI908">
        <v>12</v>
      </c>
      <c r="BJ908" t="s">
        <v>413</v>
      </c>
      <c r="BK908" t="s">
        <v>98</v>
      </c>
      <c r="BL908" t="s">
        <v>413</v>
      </c>
      <c r="BM908" t="s">
        <v>16229</v>
      </c>
      <c r="BN908" t="s">
        <v>74</v>
      </c>
      <c r="BO908" t="s">
        <v>74</v>
      </c>
      <c r="BP908" t="s">
        <v>74</v>
      </c>
      <c r="BQ908" t="s">
        <v>74</v>
      </c>
      <c r="BR908" t="s">
        <v>101</v>
      </c>
      <c r="BS908" t="s">
        <v>16230</v>
      </c>
      <c r="BT908" t="str">
        <f>HYPERLINK("https%3A%2F%2Fwww.webofscience.com%2Fwos%2Fwoscc%2Ffull-record%2FWOS:000265382500006","View Full Record in Web of Science")</f>
        <v>View Full Record in Web of Science</v>
      </c>
    </row>
    <row r="909" spans="1:72" x14ac:dyDescent="0.15">
      <c r="A909" t="s">
        <v>72</v>
      </c>
      <c r="B909" t="s">
        <v>16231</v>
      </c>
      <c r="C909" t="s">
        <v>74</v>
      </c>
      <c r="D909" t="s">
        <v>74</v>
      </c>
      <c r="E909" t="s">
        <v>74</v>
      </c>
      <c r="F909" t="s">
        <v>16232</v>
      </c>
      <c r="G909" t="s">
        <v>74</v>
      </c>
      <c r="H909" t="s">
        <v>74</v>
      </c>
      <c r="I909" t="s">
        <v>16233</v>
      </c>
      <c r="J909" t="s">
        <v>12014</v>
      </c>
      <c r="K909" t="s">
        <v>74</v>
      </c>
      <c r="L909" t="s">
        <v>74</v>
      </c>
      <c r="M909" t="s">
        <v>78</v>
      </c>
      <c r="N909" t="s">
        <v>79</v>
      </c>
      <c r="O909" t="s">
        <v>74</v>
      </c>
      <c r="P909" t="s">
        <v>74</v>
      </c>
      <c r="Q909" t="s">
        <v>74</v>
      </c>
      <c r="R909" t="s">
        <v>74</v>
      </c>
      <c r="S909" t="s">
        <v>74</v>
      </c>
      <c r="T909" t="s">
        <v>74</v>
      </c>
      <c r="U909" t="s">
        <v>16234</v>
      </c>
      <c r="V909" t="s">
        <v>16235</v>
      </c>
      <c r="W909" t="s">
        <v>16236</v>
      </c>
      <c r="X909" t="s">
        <v>16237</v>
      </c>
      <c r="Y909" t="s">
        <v>16238</v>
      </c>
      <c r="Z909" t="s">
        <v>16239</v>
      </c>
      <c r="AA909" t="s">
        <v>16240</v>
      </c>
      <c r="AB909" t="s">
        <v>16241</v>
      </c>
      <c r="AC909" t="s">
        <v>74</v>
      </c>
      <c r="AD909" t="s">
        <v>74</v>
      </c>
      <c r="AE909" t="s">
        <v>74</v>
      </c>
      <c r="AF909" t="s">
        <v>74</v>
      </c>
      <c r="AG909">
        <v>62</v>
      </c>
      <c r="AH909">
        <v>24</v>
      </c>
      <c r="AI909">
        <v>26</v>
      </c>
      <c r="AJ909">
        <v>0</v>
      </c>
      <c r="AK909">
        <v>12</v>
      </c>
      <c r="AL909" t="s">
        <v>1850</v>
      </c>
      <c r="AM909" t="s">
        <v>684</v>
      </c>
      <c r="AN909" t="s">
        <v>3108</v>
      </c>
      <c r="AO909" t="s">
        <v>12027</v>
      </c>
      <c r="AP909" t="s">
        <v>12028</v>
      </c>
      <c r="AQ909" t="s">
        <v>74</v>
      </c>
      <c r="AR909" t="s">
        <v>12029</v>
      </c>
      <c r="AS909" t="s">
        <v>12030</v>
      </c>
      <c r="AT909" t="s">
        <v>15810</v>
      </c>
      <c r="AU909">
        <v>2009</v>
      </c>
      <c r="AV909">
        <v>32</v>
      </c>
      <c r="AW909" t="s">
        <v>15133</v>
      </c>
      <c r="AX909" t="s">
        <v>74</v>
      </c>
      <c r="AY909" t="s">
        <v>74</v>
      </c>
      <c r="AZ909" t="s">
        <v>74</v>
      </c>
      <c r="BA909" t="s">
        <v>74</v>
      </c>
      <c r="BB909">
        <v>1035</v>
      </c>
      <c r="BC909">
        <v>1054</v>
      </c>
      <c r="BD909" t="s">
        <v>74</v>
      </c>
      <c r="BE909" t="s">
        <v>16242</v>
      </c>
      <c r="BF909" t="str">
        <f>HYPERLINK("http://dx.doi.org/10.1007/s00382-008-0438-y","http://dx.doi.org/10.1007/s00382-008-0438-y")</f>
        <v>http://dx.doi.org/10.1007/s00382-008-0438-y</v>
      </c>
      <c r="BG909" t="s">
        <v>74</v>
      </c>
      <c r="BH909" t="s">
        <v>74</v>
      </c>
      <c r="BI909">
        <v>20</v>
      </c>
      <c r="BJ909" t="s">
        <v>413</v>
      </c>
      <c r="BK909" t="s">
        <v>98</v>
      </c>
      <c r="BL909" t="s">
        <v>413</v>
      </c>
      <c r="BM909" t="s">
        <v>16229</v>
      </c>
      <c r="BN909" t="s">
        <v>74</v>
      </c>
      <c r="BO909" t="s">
        <v>74</v>
      </c>
      <c r="BP909" t="s">
        <v>74</v>
      </c>
      <c r="BQ909" t="s">
        <v>74</v>
      </c>
      <c r="BR909" t="s">
        <v>101</v>
      </c>
      <c r="BS909" t="s">
        <v>16243</v>
      </c>
      <c r="BT909" t="str">
        <f>HYPERLINK("https%3A%2F%2Fwww.webofscience.com%2Fwos%2Fwoscc%2Ffull-record%2FWOS:000265382500008","View Full Record in Web of Science")</f>
        <v>View Full Record in Web of Science</v>
      </c>
    </row>
    <row r="910" spans="1:72" x14ac:dyDescent="0.15">
      <c r="A910" t="s">
        <v>72</v>
      </c>
      <c r="B910" t="s">
        <v>16244</v>
      </c>
      <c r="C910" t="s">
        <v>74</v>
      </c>
      <c r="D910" t="s">
        <v>74</v>
      </c>
      <c r="E910" t="s">
        <v>74</v>
      </c>
      <c r="F910" t="s">
        <v>16245</v>
      </c>
      <c r="G910" t="s">
        <v>74</v>
      </c>
      <c r="H910" t="s">
        <v>74</v>
      </c>
      <c r="I910" t="s">
        <v>16246</v>
      </c>
      <c r="J910" t="s">
        <v>16247</v>
      </c>
      <c r="K910" t="s">
        <v>74</v>
      </c>
      <c r="L910" t="s">
        <v>74</v>
      </c>
      <c r="M910" t="s">
        <v>78</v>
      </c>
      <c r="N910" t="s">
        <v>79</v>
      </c>
      <c r="O910" t="s">
        <v>74</v>
      </c>
      <c r="P910" t="s">
        <v>74</v>
      </c>
      <c r="Q910" t="s">
        <v>74</v>
      </c>
      <c r="R910" t="s">
        <v>74</v>
      </c>
      <c r="S910" t="s">
        <v>74</v>
      </c>
      <c r="T910" t="s">
        <v>16248</v>
      </c>
      <c r="U910" t="s">
        <v>16249</v>
      </c>
      <c r="V910" t="s">
        <v>16250</v>
      </c>
      <c r="W910" t="s">
        <v>16251</v>
      </c>
      <c r="X910" t="s">
        <v>16252</v>
      </c>
      <c r="Y910" t="s">
        <v>16253</v>
      </c>
      <c r="Z910" t="s">
        <v>16254</v>
      </c>
      <c r="AA910" t="s">
        <v>16255</v>
      </c>
      <c r="AB910" t="s">
        <v>16256</v>
      </c>
      <c r="AC910" t="s">
        <v>16257</v>
      </c>
      <c r="AD910" t="s">
        <v>16258</v>
      </c>
      <c r="AE910" t="s">
        <v>16259</v>
      </c>
      <c r="AF910" t="s">
        <v>74</v>
      </c>
      <c r="AG910">
        <v>24</v>
      </c>
      <c r="AH910">
        <v>33</v>
      </c>
      <c r="AI910">
        <v>40</v>
      </c>
      <c r="AJ910">
        <v>0</v>
      </c>
      <c r="AK910">
        <v>11</v>
      </c>
      <c r="AL910" t="s">
        <v>305</v>
      </c>
      <c r="AM910" t="s">
        <v>281</v>
      </c>
      <c r="AN910" t="s">
        <v>306</v>
      </c>
      <c r="AO910" t="s">
        <v>16260</v>
      </c>
      <c r="AP910" t="s">
        <v>16261</v>
      </c>
      <c r="AQ910" t="s">
        <v>74</v>
      </c>
      <c r="AR910" t="s">
        <v>16262</v>
      </c>
      <c r="AS910" t="s">
        <v>16263</v>
      </c>
      <c r="AT910" t="s">
        <v>15810</v>
      </c>
      <c r="AU910">
        <v>2009</v>
      </c>
      <c r="AV910">
        <v>57</v>
      </c>
      <c r="AW910">
        <v>1</v>
      </c>
      <c r="AX910" t="s">
        <v>74</v>
      </c>
      <c r="AY910" t="s">
        <v>74</v>
      </c>
      <c r="AZ910" t="s">
        <v>74</v>
      </c>
      <c r="BA910" t="s">
        <v>74</v>
      </c>
      <c r="BB910">
        <v>49</v>
      </c>
      <c r="BC910">
        <v>60</v>
      </c>
      <c r="BD910" t="s">
        <v>74</v>
      </c>
      <c r="BE910" t="s">
        <v>16264</v>
      </c>
      <c r="BF910" t="str">
        <f>HYPERLINK("http://dx.doi.org/10.1016/j.coldregions.2009.01.001","http://dx.doi.org/10.1016/j.coldregions.2009.01.001")</f>
        <v>http://dx.doi.org/10.1016/j.coldregions.2009.01.001</v>
      </c>
      <c r="BG910" t="s">
        <v>74</v>
      </c>
      <c r="BH910" t="s">
        <v>74</v>
      </c>
      <c r="BI910">
        <v>12</v>
      </c>
      <c r="BJ910" t="s">
        <v>16265</v>
      </c>
      <c r="BK910" t="s">
        <v>98</v>
      </c>
      <c r="BL910" t="s">
        <v>16266</v>
      </c>
      <c r="BM910" t="s">
        <v>16267</v>
      </c>
      <c r="BN910" t="s">
        <v>74</v>
      </c>
      <c r="BO910" t="s">
        <v>74</v>
      </c>
      <c r="BP910" t="s">
        <v>74</v>
      </c>
      <c r="BQ910" t="s">
        <v>74</v>
      </c>
      <c r="BR910" t="s">
        <v>101</v>
      </c>
      <c r="BS910" t="s">
        <v>16268</v>
      </c>
      <c r="BT910" t="str">
        <f>HYPERLINK("https%3A%2F%2Fwww.webofscience.com%2Fwos%2Fwoscc%2Ffull-record%2FWOS:000266284200007","View Full Record in Web of Science")</f>
        <v>View Full Record in Web of Science</v>
      </c>
    </row>
    <row r="911" spans="1:72" x14ac:dyDescent="0.15">
      <c r="A911" t="s">
        <v>72</v>
      </c>
      <c r="B911" t="s">
        <v>16269</v>
      </c>
      <c r="C911" t="s">
        <v>74</v>
      </c>
      <c r="D911" t="s">
        <v>74</v>
      </c>
      <c r="E911" t="s">
        <v>74</v>
      </c>
      <c r="F911" t="s">
        <v>16270</v>
      </c>
      <c r="G911" t="s">
        <v>74</v>
      </c>
      <c r="H911" t="s">
        <v>74</v>
      </c>
      <c r="I911" t="s">
        <v>16271</v>
      </c>
      <c r="J911" t="s">
        <v>1813</v>
      </c>
      <c r="K911" t="s">
        <v>74</v>
      </c>
      <c r="L911" t="s">
        <v>74</v>
      </c>
      <c r="M911" t="s">
        <v>78</v>
      </c>
      <c r="N911" t="s">
        <v>79</v>
      </c>
      <c r="O911" t="s">
        <v>74</v>
      </c>
      <c r="P911" t="s">
        <v>74</v>
      </c>
      <c r="Q911" t="s">
        <v>74</v>
      </c>
      <c r="R911" t="s">
        <v>74</v>
      </c>
      <c r="S911" t="s">
        <v>74</v>
      </c>
      <c r="T911" t="s">
        <v>16272</v>
      </c>
      <c r="U911" t="s">
        <v>16273</v>
      </c>
      <c r="V911" t="s">
        <v>16274</v>
      </c>
      <c r="W911" t="s">
        <v>16275</v>
      </c>
      <c r="X911" t="s">
        <v>3353</v>
      </c>
      <c r="Y911" t="s">
        <v>16276</v>
      </c>
      <c r="Z911" t="s">
        <v>10338</v>
      </c>
      <c r="AA911" t="s">
        <v>16277</v>
      </c>
      <c r="AB911" t="s">
        <v>16278</v>
      </c>
      <c r="AC911" t="s">
        <v>16279</v>
      </c>
      <c r="AD911" t="s">
        <v>16280</v>
      </c>
      <c r="AE911" t="s">
        <v>16281</v>
      </c>
      <c r="AF911" t="s">
        <v>74</v>
      </c>
      <c r="AG911">
        <v>51</v>
      </c>
      <c r="AH911">
        <v>57</v>
      </c>
      <c r="AI911">
        <v>59</v>
      </c>
      <c r="AJ911">
        <v>1</v>
      </c>
      <c r="AK911">
        <v>87</v>
      </c>
      <c r="AL911" t="s">
        <v>683</v>
      </c>
      <c r="AM911" t="s">
        <v>684</v>
      </c>
      <c r="AN911" t="s">
        <v>685</v>
      </c>
      <c r="AO911" t="s">
        <v>1827</v>
      </c>
      <c r="AP911" t="s">
        <v>9768</v>
      </c>
      <c r="AQ911" t="s">
        <v>74</v>
      </c>
      <c r="AR911" t="s">
        <v>1828</v>
      </c>
      <c r="AS911" t="s">
        <v>1829</v>
      </c>
      <c r="AT911" t="s">
        <v>15810</v>
      </c>
      <c r="AU911">
        <v>2009</v>
      </c>
      <c r="AV911">
        <v>153</v>
      </c>
      <c r="AW911">
        <v>2</v>
      </c>
      <c r="AX911" t="s">
        <v>74</v>
      </c>
      <c r="AY911" t="s">
        <v>74</v>
      </c>
      <c r="AZ911" t="s">
        <v>74</v>
      </c>
      <c r="BA911" t="s">
        <v>74</v>
      </c>
      <c r="BB911">
        <v>154</v>
      </c>
      <c r="BC911">
        <v>161</v>
      </c>
      <c r="BD911" t="s">
        <v>74</v>
      </c>
      <c r="BE911" t="s">
        <v>16282</v>
      </c>
      <c r="BF911" t="str">
        <f>HYPERLINK("http://dx.doi.org/10.1016/j.cbpa.2009.02.001","http://dx.doi.org/10.1016/j.cbpa.2009.02.001")</f>
        <v>http://dx.doi.org/10.1016/j.cbpa.2009.02.001</v>
      </c>
      <c r="BG911" t="s">
        <v>74</v>
      </c>
      <c r="BH911" t="s">
        <v>74</v>
      </c>
      <c r="BI911">
        <v>8</v>
      </c>
      <c r="BJ911" t="s">
        <v>1831</v>
      </c>
      <c r="BK911" t="s">
        <v>98</v>
      </c>
      <c r="BL911" t="s">
        <v>1831</v>
      </c>
      <c r="BM911" t="s">
        <v>16283</v>
      </c>
      <c r="BN911">
        <v>19535033</v>
      </c>
      <c r="BO911" t="s">
        <v>1381</v>
      </c>
      <c r="BP911" t="s">
        <v>74</v>
      </c>
      <c r="BQ911" t="s">
        <v>74</v>
      </c>
      <c r="BR911" t="s">
        <v>101</v>
      </c>
      <c r="BS911" t="s">
        <v>16284</v>
      </c>
      <c r="BT911" t="str">
        <f>HYPERLINK("https%3A%2F%2Fwww.webofscience.com%2Fwos%2Fwoscc%2Ffull-record%2FWOS:000266229400010","View Full Record in Web of Science")</f>
        <v>View Full Record in Web of Science</v>
      </c>
    </row>
    <row r="912" spans="1:72" x14ac:dyDescent="0.15">
      <c r="A912" t="s">
        <v>72</v>
      </c>
      <c r="B912" t="s">
        <v>16285</v>
      </c>
      <c r="C912" t="s">
        <v>74</v>
      </c>
      <c r="D912" t="s">
        <v>74</v>
      </c>
      <c r="E912" t="s">
        <v>74</v>
      </c>
      <c r="F912" t="s">
        <v>16286</v>
      </c>
      <c r="G912" t="s">
        <v>74</v>
      </c>
      <c r="H912" t="s">
        <v>74</v>
      </c>
      <c r="I912" t="s">
        <v>16287</v>
      </c>
      <c r="J912" t="s">
        <v>1813</v>
      </c>
      <c r="K912" t="s">
        <v>74</v>
      </c>
      <c r="L912" t="s">
        <v>74</v>
      </c>
      <c r="M912" t="s">
        <v>78</v>
      </c>
      <c r="N912" t="s">
        <v>52</v>
      </c>
      <c r="O912" t="s">
        <v>16288</v>
      </c>
      <c r="P912" t="s">
        <v>16289</v>
      </c>
      <c r="Q912" t="s">
        <v>16290</v>
      </c>
      <c r="R912" t="s">
        <v>74</v>
      </c>
      <c r="S912" t="s">
        <v>74</v>
      </c>
      <c r="T912" t="s">
        <v>74</v>
      </c>
      <c r="U912" t="s">
        <v>74</v>
      </c>
      <c r="V912" t="s">
        <v>74</v>
      </c>
      <c r="W912" t="s">
        <v>16291</v>
      </c>
      <c r="X912" t="s">
        <v>725</v>
      </c>
      <c r="Y912" t="s">
        <v>74</v>
      </c>
      <c r="Z912" t="s">
        <v>16292</v>
      </c>
      <c r="AA912" t="s">
        <v>4716</v>
      </c>
      <c r="AB912" t="s">
        <v>4717</v>
      </c>
      <c r="AC912" t="s">
        <v>74</v>
      </c>
      <c r="AD912" t="s">
        <v>74</v>
      </c>
      <c r="AE912" t="s">
        <v>74</v>
      </c>
      <c r="AF912" t="s">
        <v>74</v>
      </c>
      <c r="AG912">
        <v>0</v>
      </c>
      <c r="AH912">
        <v>3</v>
      </c>
      <c r="AI912">
        <v>3</v>
      </c>
      <c r="AJ912">
        <v>1</v>
      </c>
      <c r="AK912">
        <v>20</v>
      </c>
      <c r="AL912" t="s">
        <v>683</v>
      </c>
      <c r="AM912" t="s">
        <v>684</v>
      </c>
      <c r="AN912" t="s">
        <v>1826</v>
      </c>
      <c r="AO912" t="s">
        <v>1827</v>
      </c>
      <c r="AP912" t="s">
        <v>74</v>
      </c>
      <c r="AQ912" t="s">
        <v>74</v>
      </c>
      <c r="AR912" t="s">
        <v>1828</v>
      </c>
      <c r="AS912" t="s">
        <v>1829</v>
      </c>
      <c r="AT912" t="s">
        <v>15810</v>
      </c>
      <c r="AU912">
        <v>2009</v>
      </c>
      <c r="AV912" t="s">
        <v>16293</v>
      </c>
      <c r="AW912">
        <v>2</v>
      </c>
      <c r="AX912" t="s">
        <v>74</v>
      </c>
      <c r="AY912" t="s">
        <v>74</v>
      </c>
      <c r="AZ912" t="s">
        <v>74</v>
      </c>
      <c r="BA912" t="s">
        <v>74</v>
      </c>
      <c r="BB912" t="s">
        <v>16294</v>
      </c>
      <c r="BC912" t="s">
        <v>16294</v>
      </c>
      <c r="BD912" t="s">
        <v>74</v>
      </c>
      <c r="BE912" t="s">
        <v>16295</v>
      </c>
      <c r="BF912" t="str">
        <f>HYPERLINK("http://dx.doi.org/10.1016/j.cbpa.2009.04.517","http://dx.doi.org/10.1016/j.cbpa.2009.04.517")</f>
        <v>http://dx.doi.org/10.1016/j.cbpa.2009.04.517</v>
      </c>
      <c r="BG912" t="s">
        <v>74</v>
      </c>
      <c r="BH912" t="s">
        <v>74</v>
      </c>
      <c r="BI912">
        <v>1</v>
      </c>
      <c r="BJ912" t="s">
        <v>1831</v>
      </c>
      <c r="BK912" t="s">
        <v>98</v>
      </c>
      <c r="BL912" t="s">
        <v>1831</v>
      </c>
      <c r="BM912" t="s">
        <v>16296</v>
      </c>
      <c r="BN912" t="s">
        <v>74</v>
      </c>
      <c r="BO912" t="s">
        <v>74</v>
      </c>
      <c r="BP912" t="s">
        <v>74</v>
      </c>
      <c r="BQ912" t="s">
        <v>74</v>
      </c>
      <c r="BR912" t="s">
        <v>101</v>
      </c>
      <c r="BS912" t="s">
        <v>16297</v>
      </c>
      <c r="BT912" t="str">
        <f>HYPERLINK("https%3A%2F%2Fwww.webofscience.com%2Fwos%2Fwoscc%2Ffull-record%2FWOS:000267520700035","View Full Record in Web of Science")</f>
        <v>View Full Record in Web of Science</v>
      </c>
    </row>
    <row r="913" spans="1:72" x14ac:dyDescent="0.15">
      <c r="A913" t="s">
        <v>72</v>
      </c>
      <c r="B913" t="s">
        <v>16298</v>
      </c>
      <c r="C913" t="s">
        <v>74</v>
      </c>
      <c r="D913" t="s">
        <v>74</v>
      </c>
      <c r="E913" t="s">
        <v>74</v>
      </c>
      <c r="F913" t="s">
        <v>16299</v>
      </c>
      <c r="G913" t="s">
        <v>74</v>
      </c>
      <c r="H913" t="s">
        <v>74</v>
      </c>
      <c r="I913" t="s">
        <v>16300</v>
      </c>
      <c r="J913" t="s">
        <v>16301</v>
      </c>
      <c r="K913" t="s">
        <v>74</v>
      </c>
      <c r="L913" t="s">
        <v>74</v>
      </c>
      <c r="M913" t="s">
        <v>78</v>
      </c>
      <c r="N913" t="s">
        <v>79</v>
      </c>
      <c r="O913" t="s">
        <v>74</v>
      </c>
      <c r="P913" t="s">
        <v>74</v>
      </c>
      <c r="Q913" t="s">
        <v>74</v>
      </c>
      <c r="R913" t="s">
        <v>74</v>
      </c>
      <c r="S913" t="s">
        <v>74</v>
      </c>
      <c r="T913" t="s">
        <v>16302</v>
      </c>
      <c r="U913" t="s">
        <v>16303</v>
      </c>
      <c r="V913" t="s">
        <v>16304</v>
      </c>
      <c r="W913" t="s">
        <v>16305</v>
      </c>
      <c r="X913" t="s">
        <v>16306</v>
      </c>
      <c r="Y913" t="s">
        <v>16307</v>
      </c>
      <c r="Z913" t="s">
        <v>16308</v>
      </c>
      <c r="AA913" t="s">
        <v>16309</v>
      </c>
      <c r="AB913" t="s">
        <v>16310</v>
      </c>
      <c r="AC913" t="s">
        <v>16311</v>
      </c>
      <c r="AD913" t="s">
        <v>16312</v>
      </c>
      <c r="AE913" t="s">
        <v>16313</v>
      </c>
      <c r="AF913" t="s">
        <v>74</v>
      </c>
      <c r="AG913">
        <v>29</v>
      </c>
      <c r="AH913">
        <v>406</v>
      </c>
      <c r="AI913">
        <v>458</v>
      </c>
      <c r="AJ913">
        <v>8</v>
      </c>
      <c r="AK913">
        <v>503</v>
      </c>
      <c r="AL913" t="s">
        <v>3033</v>
      </c>
      <c r="AM913" t="s">
        <v>1185</v>
      </c>
      <c r="AN913" t="s">
        <v>1186</v>
      </c>
      <c r="AO913" t="s">
        <v>16314</v>
      </c>
      <c r="AP913" t="s">
        <v>16315</v>
      </c>
      <c r="AQ913" t="s">
        <v>74</v>
      </c>
      <c r="AR913" t="s">
        <v>16316</v>
      </c>
      <c r="AS913" t="s">
        <v>16317</v>
      </c>
      <c r="AT913" t="s">
        <v>15810</v>
      </c>
      <c r="AU913">
        <v>2009</v>
      </c>
      <c r="AV913">
        <v>23</v>
      </c>
      <c r="AW913">
        <v>3</v>
      </c>
      <c r="AX913" t="s">
        <v>74</v>
      </c>
      <c r="AY913" t="s">
        <v>74</v>
      </c>
      <c r="AZ913" t="s">
        <v>74</v>
      </c>
      <c r="BA913" t="s">
        <v>74</v>
      </c>
      <c r="BB913">
        <v>557</v>
      </c>
      <c r="BC913">
        <v>567</v>
      </c>
      <c r="BD913" t="s">
        <v>74</v>
      </c>
      <c r="BE913" t="s">
        <v>16318</v>
      </c>
      <c r="BF913" t="str">
        <f>HYPERLINK("http://dx.doi.org/10.1111/j.1523-1739.2009.01212.x","http://dx.doi.org/10.1111/j.1523-1739.2009.01212.x")</f>
        <v>http://dx.doi.org/10.1111/j.1523-1739.2009.01212.x</v>
      </c>
      <c r="BG913" t="s">
        <v>74</v>
      </c>
      <c r="BH913" t="s">
        <v>74</v>
      </c>
      <c r="BI913">
        <v>11</v>
      </c>
      <c r="BJ913" t="s">
        <v>5406</v>
      </c>
      <c r="BK913" t="s">
        <v>98</v>
      </c>
      <c r="BL913" t="s">
        <v>3115</v>
      </c>
      <c r="BM913" t="s">
        <v>16319</v>
      </c>
      <c r="BN913">
        <v>19438873</v>
      </c>
      <c r="BO913" t="s">
        <v>74</v>
      </c>
      <c r="BP913" t="s">
        <v>74</v>
      </c>
      <c r="BQ913" t="s">
        <v>74</v>
      </c>
      <c r="BR913" t="s">
        <v>101</v>
      </c>
      <c r="BS913" t="s">
        <v>16320</v>
      </c>
      <c r="BT913" t="str">
        <f>HYPERLINK("https%3A%2F%2Fwww.webofscience.com%2Fwos%2Fwoscc%2Ffull-record%2FWOS:000266071200010","View Full Record in Web of Science")</f>
        <v>View Full Record in Web of Science</v>
      </c>
    </row>
    <row r="914" spans="1:72" x14ac:dyDescent="0.15">
      <c r="A914" t="s">
        <v>72</v>
      </c>
      <c r="B914" t="s">
        <v>16321</v>
      </c>
      <c r="C914" t="s">
        <v>74</v>
      </c>
      <c r="D914" t="s">
        <v>74</v>
      </c>
      <c r="E914" t="s">
        <v>74</v>
      </c>
      <c r="F914" t="s">
        <v>16322</v>
      </c>
      <c r="G914" t="s">
        <v>74</v>
      </c>
      <c r="H914" t="s">
        <v>74</v>
      </c>
      <c r="I914" t="s">
        <v>16323</v>
      </c>
      <c r="J914" t="s">
        <v>16324</v>
      </c>
      <c r="K914" t="s">
        <v>74</v>
      </c>
      <c r="L914" t="s">
        <v>74</v>
      </c>
      <c r="M914" t="s">
        <v>78</v>
      </c>
      <c r="N914" t="s">
        <v>79</v>
      </c>
      <c r="O914" t="s">
        <v>74</v>
      </c>
      <c r="P914" t="s">
        <v>74</v>
      </c>
      <c r="Q914" t="s">
        <v>74</v>
      </c>
      <c r="R914" t="s">
        <v>74</v>
      </c>
      <c r="S914" t="s">
        <v>74</v>
      </c>
      <c r="T914" t="s">
        <v>16325</v>
      </c>
      <c r="U914" t="s">
        <v>16326</v>
      </c>
      <c r="V914" t="s">
        <v>16327</v>
      </c>
      <c r="W914" t="s">
        <v>16328</v>
      </c>
      <c r="X914" t="s">
        <v>16329</v>
      </c>
      <c r="Y914" t="s">
        <v>16330</v>
      </c>
      <c r="Z914" t="s">
        <v>16331</v>
      </c>
      <c r="AA914" t="s">
        <v>74</v>
      </c>
      <c r="AB914" t="s">
        <v>16332</v>
      </c>
      <c r="AC914" t="s">
        <v>16333</v>
      </c>
      <c r="AD914" t="s">
        <v>16334</v>
      </c>
      <c r="AE914" t="s">
        <v>16335</v>
      </c>
      <c r="AF914" t="s">
        <v>74</v>
      </c>
      <c r="AG914">
        <v>31</v>
      </c>
      <c r="AH914">
        <v>26</v>
      </c>
      <c r="AI914">
        <v>30</v>
      </c>
      <c r="AJ914">
        <v>0</v>
      </c>
      <c r="AK914">
        <v>10</v>
      </c>
      <c r="AL914" t="s">
        <v>1211</v>
      </c>
      <c r="AM914" t="s">
        <v>433</v>
      </c>
      <c r="AN914" t="s">
        <v>1212</v>
      </c>
      <c r="AO914" t="s">
        <v>16336</v>
      </c>
      <c r="AP914" t="s">
        <v>74</v>
      </c>
      <c r="AQ914" t="s">
        <v>74</v>
      </c>
      <c r="AR914" t="s">
        <v>16337</v>
      </c>
      <c r="AS914" t="s">
        <v>16338</v>
      </c>
      <c r="AT914" t="s">
        <v>15810</v>
      </c>
      <c r="AU914">
        <v>2009</v>
      </c>
      <c r="AV914">
        <v>30</v>
      </c>
      <c r="AW914">
        <v>3</v>
      </c>
      <c r="AX914" t="s">
        <v>74</v>
      </c>
      <c r="AY914" t="s">
        <v>74</v>
      </c>
      <c r="AZ914" t="s">
        <v>74</v>
      </c>
      <c r="BA914" t="s">
        <v>74</v>
      </c>
      <c r="BB914">
        <v>717</v>
      </c>
      <c r="BC914">
        <v>726</v>
      </c>
      <c r="BD914" t="s">
        <v>74</v>
      </c>
      <c r="BE914" t="s">
        <v>16339</v>
      </c>
      <c r="BF914" t="str">
        <f>HYPERLINK("http://dx.doi.org/10.1016/j.cretres.2008.12.012","http://dx.doi.org/10.1016/j.cretres.2008.12.012")</f>
        <v>http://dx.doi.org/10.1016/j.cretres.2008.12.012</v>
      </c>
      <c r="BG914" t="s">
        <v>74</v>
      </c>
      <c r="BH914" t="s">
        <v>74</v>
      </c>
      <c r="BI914">
        <v>10</v>
      </c>
      <c r="BJ914" t="s">
        <v>7566</v>
      </c>
      <c r="BK914" t="s">
        <v>98</v>
      </c>
      <c r="BL914" t="s">
        <v>7566</v>
      </c>
      <c r="BM914" t="s">
        <v>16340</v>
      </c>
      <c r="BN914" t="s">
        <v>74</v>
      </c>
      <c r="BO914" t="s">
        <v>74</v>
      </c>
      <c r="BP914" t="s">
        <v>74</v>
      </c>
      <c r="BQ914" t="s">
        <v>74</v>
      </c>
      <c r="BR914" t="s">
        <v>101</v>
      </c>
      <c r="BS914" t="s">
        <v>16341</v>
      </c>
      <c r="BT914" t="str">
        <f>HYPERLINK("https%3A%2F%2Fwww.webofscience.com%2Fwos%2Fwoscc%2Ffull-record%2FWOS:000266146600022","View Full Record in Web of Science")</f>
        <v>View Full Record in Web of Science</v>
      </c>
    </row>
    <row r="915" spans="1:72" x14ac:dyDescent="0.15">
      <c r="A915" t="s">
        <v>72</v>
      </c>
      <c r="B915" t="s">
        <v>16342</v>
      </c>
      <c r="C915" t="s">
        <v>74</v>
      </c>
      <c r="D915" t="s">
        <v>74</v>
      </c>
      <c r="E915" t="s">
        <v>74</v>
      </c>
      <c r="F915" t="s">
        <v>16343</v>
      </c>
      <c r="G915" t="s">
        <v>74</v>
      </c>
      <c r="H915" t="s">
        <v>74</v>
      </c>
      <c r="I915" t="s">
        <v>16344</v>
      </c>
      <c r="J915" t="s">
        <v>1881</v>
      </c>
      <c r="K915" t="s">
        <v>74</v>
      </c>
      <c r="L915" t="s">
        <v>74</v>
      </c>
      <c r="M915" t="s">
        <v>78</v>
      </c>
      <c r="N915" t="s">
        <v>79</v>
      </c>
      <c r="O915" t="s">
        <v>74</v>
      </c>
      <c r="P915" t="s">
        <v>74</v>
      </c>
      <c r="Q915" t="s">
        <v>74</v>
      </c>
      <c r="R915" t="s">
        <v>74</v>
      </c>
      <c r="S915" t="s">
        <v>74</v>
      </c>
      <c r="T915" t="s">
        <v>16345</v>
      </c>
      <c r="U915" t="s">
        <v>16346</v>
      </c>
      <c r="V915" t="s">
        <v>16347</v>
      </c>
      <c r="W915" t="s">
        <v>16348</v>
      </c>
      <c r="X915" t="s">
        <v>16349</v>
      </c>
      <c r="Y915" t="s">
        <v>16350</v>
      </c>
      <c r="Z915" t="s">
        <v>16351</v>
      </c>
      <c r="AA915" t="s">
        <v>16352</v>
      </c>
      <c r="AB915" t="s">
        <v>16353</v>
      </c>
      <c r="AC915" t="s">
        <v>16354</v>
      </c>
      <c r="AD915" t="s">
        <v>16355</v>
      </c>
      <c r="AE915" t="s">
        <v>16356</v>
      </c>
      <c r="AF915" t="s">
        <v>74</v>
      </c>
      <c r="AG915">
        <v>83</v>
      </c>
      <c r="AH915">
        <v>18</v>
      </c>
      <c r="AI915">
        <v>18</v>
      </c>
      <c r="AJ915">
        <v>0</v>
      </c>
      <c r="AK915">
        <v>17</v>
      </c>
      <c r="AL915" t="s">
        <v>1894</v>
      </c>
      <c r="AM915" t="s">
        <v>1895</v>
      </c>
      <c r="AN915" t="s">
        <v>1896</v>
      </c>
      <c r="AO915" t="s">
        <v>1897</v>
      </c>
      <c r="AP915" t="s">
        <v>1898</v>
      </c>
      <c r="AQ915" t="s">
        <v>74</v>
      </c>
      <c r="AR915" t="s">
        <v>1899</v>
      </c>
      <c r="AS915" t="s">
        <v>1900</v>
      </c>
      <c r="AT915" t="s">
        <v>15810</v>
      </c>
      <c r="AU915">
        <v>2009</v>
      </c>
      <c r="AV915">
        <v>56</v>
      </c>
      <c r="AW915">
        <v>6</v>
      </c>
      <c r="AX915" t="s">
        <v>74</v>
      </c>
      <c r="AY915" t="s">
        <v>74</v>
      </c>
      <c r="AZ915" t="s">
        <v>74</v>
      </c>
      <c r="BA915" t="s">
        <v>74</v>
      </c>
      <c r="BB915">
        <v>909</v>
      </c>
      <c r="BC915">
        <v>925</v>
      </c>
      <c r="BD915" t="s">
        <v>74</v>
      </c>
      <c r="BE915" t="s">
        <v>16357</v>
      </c>
      <c r="BF915" t="str">
        <f>HYPERLINK("http://dx.doi.org/10.1016/j.dsr.2009.01.013","http://dx.doi.org/10.1016/j.dsr.2009.01.013")</f>
        <v>http://dx.doi.org/10.1016/j.dsr.2009.01.013</v>
      </c>
      <c r="BG915" t="s">
        <v>74</v>
      </c>
      <c r="BH915" t="s">
        <v>74</v>
      </c>
      <c r="BI915">
        <v>17</v>
      </c>
      <c r="BJ915" t="s">
        <v>806</v>
      </c>
      <c r="BK915" t="s">
        <v>98</v>
      </c>
      <c r="BL915" t="s">
        <v>806</v>
      </c>
      <c r="BM915" t="s">
        <v>16358</v>
      </c>
      <c r="BN915" t="s">
        <v>74</v>
      </c>
      <c r="BO915" t="s">
        <v>74</v>
      </c>
      <c r="BP915" t="s">
        <v>74</v>
      </c>
      <c r="BQ915" t="s">
        <v>74</v>
      </c>
      <c r="BR915" t="s">
        <v>101</v>
      </c>
      <c r="BS915" t="s">
        <v>16359</v>
      </c>
      <c r="BT915" t="str">
        <f>HYPERLINK("https%3A%2F%2Fwww.webofscience.com%2Fwos%2Fwoscc%2Ffull-record%2FWOS:000266760500005","View Full Record in Web of Science")</f>
        <v>View Full Record in Web of Science</v>
      </c>
    </row>
    <row r="916" spans="1:72" x14ac:dyDescent="0.15">
      <c r="A916" t="s">
        <v>72</v>
      </c>
      <c r="B916" t="s">
        <v>16360</v>
      </c>
      <c r="C916" t="s">
        <v>74</v>
      </c>
      <c r="D916" t="s">
        <v>74</v>
      </c>
      <c r="E916" t="s">
        <v>74</v>
      </c>
      <c r="F916" t="s">
        <v>16361</v>
      </c>
      <c r="G916" t="s">
        <v>74</v>
      </c>
      <c r="H916" t="s">
        <v>74</v>
      </c>
      <c r="I916" t="s">
        <v>16362</v>
      </c>
      <c r="J916" t="s">
        <v>1881</v>
      </c>
      <c r="K916" t="s">
        <v>74</v>
      </c>
      <c r="L916" t="s">
        <v>74</v>
      </c>
      <c r="M916" t="s">
        <v>78</v>
      </c>
      <c r="N916" t="s">
        <v>79</v>
      </c>
      <c r="O916" t="s">
        <v>74</v>
      </c>
      <c r="P916" t="s">
        <v>74</v>
      </c>
      <c r="Q916" t="s">
        <v>74</v>
      </c>
      <c r="R916" t="s">
        <v>74</v>
      </c>
      <c r="S916" t="s">
        <v>74</v>
      </c>
      <c r="T916" t="s">
        <v>16363</v>
      </c>
      <c r="U916" t="s">
        <v>16364</v>
      </c>
      <c r="V916" t="s">
        <v>16365</v>
      </c>
      <c r="W916" t="s">
        <v>16366</v>
      </c>
      <c r="X916" t="s">
        <v>16367</v>
      </c>
      <c r="Y916" t="s">
        <v>16368</v>
      </c>
      <c r="Z916" t="s">
        <v>16369</v>
      </c>
      <c r="AA916" t="s">
        <v>16370</v>
      </c>
      <c r="AB916" t="s">
        <v>16371</v>
      </c>
      <c r="AC916" t="s">
        <v>16372</v>
      </c>
      <c r="AD916" t="s">
        <v>16373</v>
      </c>
      <c r="AE916" t="s">
        <v>16374</v>
      </c>
      <c r="AF916" t="s">
        <v>74</v>
      </c>
      <c r="AG916">
        <v>32</v>
      </c>
      <c r="AH916">
        <v>15</v>
      </c>
      <c r="AI916">
        <v>17</v>
      </c>
      <c r="AJ916">
        <v>0</v>
      </c>
      <c r="AK916">
        <v>14</v>
      </c>
      <c r="AL916" t="s">
        <v>1894</v>
      </c>
      <c r="AM916" t="s">
        <v>1895</v>
      </c>
      <c r="AN916" t="s">
        <v>1896</v>
      </c>
      <c r="AO916" t="s">
        <v>1897</v>
      </c>
      <c r="AP916" t="s">
        <v>74</v>
      </c>
      <c r="AQ916" t="s">
        <v>74</v>
      </c>
      <c r="AR916" t="s">
        <v>1899</v>
      </c>
      <c r="AS916" t="s">
        <v>1900</v>
      </c>
      <c r="AT916" t="s">
        <v>15810</v>
      </c>
      <c r="AU916">
        <v>2009</v>
      </c>
      <c r="AV916">
        <v>56</v>
      </c>
      <c r="AW916">
        <v>6</v>
      </c>
      <c r="AX916" t="s">
        <v>74</v>
      </c>
      <c r="AY916" t="s">
        <v>74</v>
      </c>
      <c r="AZ916" t="s">
        <v>74</v>
      </c>
      <c r="BA916" t="s">
        <v>74</v>
      </c>
      <c r="BB916">
        <v>963</v>
      </c>
      <c r="BC916">
        <v>973</v>
      </c>
      <c r="BD916" t="s">
        <v>74</v>
      </c>
      <c r="BE916" t="s">
        <v>16375</v>
      </c>
      <c r="BF916" t="str">
        <f>HYPERLINK("http://dx.doi.org/10.1016/j.dsr.2008.12.018","http://dx.doi.org/10.1016/j.dsr.2008.12.018")</f>
        <v>http://dx.doi.org/10.1016/j.dsr.2008.12.018</v>
      </c>
      <c r="BG916" t="s">
        <v>74</v>
      </c>
      <c r="BH916" t="s">
        <v>74</v>
      </c>
      <c r="BI916">
        <v>11</v>
      </c>
      <c r="BJ916" t="s">
        <v>806</v>
      </c>
      <c r="BK916" t="s">
        <v>98</v>
      </c>
      <c r="BL916" t="s">
        <v>806</v>
      </c>
      <c r="BM916" t="s">
        <v>16358</v>
      </c>
      <c r="BN916" t="s">
        <v>74</v>
      </c>
      <c r="BO916" t="s">
        <v>74</v>
      </c>
      <c r="BP916" t="s">
        <v>74</v>
      </c>
      <c r="BQ916" t="s">
        <v>74</v>
      </c>
      <c r="BR916" t="s">
        <v>101</v>
      </c>
      <c r="BS916" t="s">
        <v>16376</v>
      </c>
      <c r="BT916" t="str">
        <f>HYPERLINK("https%3A%2F%2Fwww.webofscience.com%2Fwos%2Fwoscc%2Ffull-record%2FWOS:000266760500008","View Full Record in Web of Science")</f>
        <v>View Full Record in Web of Science</v>
      </c>
    </row>
    <row r="917" spans="1:72" x14ac:dyDescent="0.15">
      <c r="A917" t="s">
        <v>72</v>
      </c>
      <c r="B917" t="s">
        <v>16377</v>
      </c>
      <c r="C917" t="s">
        <v>74</v>
      </c>
      <c r="D917" t="s">
        <v>74</v>
      </c>
      <c r="E917" t="s">
        <v>74</v>
      </c>
      <c r="F917" t="s">
        <v>16378</v>
      </c>
      <c r="G917" t="s">
        <v>74</v>
      </c>
      <c r="H917" t="s">
        <v>74</v>
      </c>
      <c r="I917" t="s">
        <v>16379</v>
      </c>
      <c r="J917" t="s">
        <v>1881</v>
      </c>
      <c r="K917" t="s">
        <v>74</v>
      </c>
      <c r="L917" t="s">
        <v>74</v>
      </c>
      <c r="M917" t="s">
        <v>78</v>
      </c>
      <c r="N917" t="s">
        <v>79</v>
      </c>
      <c r="O917" t="s">
        <v>74</v>
      </c>
      <c r="P917" t="s">
        <v>74</v>
      </c>
      <c r="Q917" t="s">
        <v>74</v>
      </c>
      <c r="R917" t="s">
        <v>74</v>
      </c>
      <c r="S917" t="s">
        <v>74</v>
      </c>
      <c r="T917" t="s">
        <v>16380</v>
      </c>
      <c r="U917" t="s">
        <v>16381</v>
      </c>
      <c r="V917" t="s">
        <v>16382</v>
      </c>
      <c r="W917" t="s">
        <v>16383</v>
      </c>
      <c r="X917" t="s">
        <v>16384</v>
      </c>
      <c r="Y917" t="s">
        <v>16385</v>
      </c>
      <c r="Z917" t="s">
        <v>16386</v>
      </c>
      <c r="AA917" t="s">
        <v>16387</v>
      </c>
      <c r="AB917" t="s">
        <v>16388</v>
      </c>
      <c r="AC917" t="s">
        <v>16389</v>
      </c>
      <c r="AD917" t="s">
        <v>16390</v>
      </c>
      <c r="AE917" t="s">
        <v>16391</v>
      </c>
      <c r="AF917" t="s">
        <v>74</v>
      </c>
      <c r="AG917">
        <v>85</v>
      </c>
      <c r="AH917">
        <v>58</v>
      </c>
      <c r="AI917">
        <v>67</v>
      </c>
      <c r="AJ917">
        <v>5</v>
      </c>
      <c r="AK917">
        <v>127</v>
      </c>
      <c r="AL917" t="s">
        <v>1894</v>
      </c>
      <c r="AM917" t="s">
        <v>1895</v>
      </c>
      <c r="AN917" t="s">
        <v>1896</v>
      </c>
      <c r="AO917" t="s">
        <v>1897</v>
      </c>
      <c r="AP917" t="s">
        <v>1898</v>
      </c>
      <c r="AQ917" t="s">
        <v>74</v>
      </c>
      <c r="AR917" t="s">
        <v>1899</v>
      </c>
      <c r="AS917" t="s">
        <v>1900</v>
      </c>
      <c r="AT917" t="s">
        <v>15810</v>
      </c>
      <c r="AU917">
        <v>2009</v>
      </c>
      <c r="AV917">
        <v>56</v>
      </c>
      <c r="AW917">
        <v>6</v>
      </c>
      <c r="AX917" t="s">
        <v>74</v>
      </c>
      <c r="AY917" t="s">
        <v>74</v>
      </c>
      <c r="AZ917" t="s">
        <v>74</v>
      </c>
      <c r="BA917" t="s">
        <v>74</v>
      </c>
      <c r="BB917">
        <v>1003</v>
      </c>
      <c r="BC917">
        <v>1017</v>
      </c>
      <c r="BD917" t="s">
        <v>74</v>
      </c>
      <c r="BE917" t="s">
        <v>16392</v>
      </c>
      <c r="BF917" t="str">
        <f>HYPERLINK("http://dx.doi.org/10.1016/j.dsr.2009.01.007","http://dx.doi.org/10.1016/j.dsr.2009.01.007")</f>
        <v>http://dx.doi.org/10.1016/j.dsr.2009.01.007</v>
      </c>
      <c r="BG917" t="s">
        <v>74</v>
      </c>
      <c r="BH917" t="s">
        <v>74</v>
      </c>
      <c r="BI917">
        <v>15</v>
      </c>
      <c r="BJ917" t="s">
        <v>806</v>
      </c>
      <c r="BK917" t="s">
        <v>98</v>
      </c>
      <c r="BL917" t="s">
        <v>806</v>
      </c>
      <c r="BM917" t="s">
        <v>16358</v>
      </c>
      <c r="BN917" t="s">
        <v>74</v>
      </c>
      <c r="BO917" t="s">
        <v>74</v>
      </c>
      <c r="BP917" t="s">
        <v>74</v>
      </c>
      <c r="BQ917" t="s">
        <v>74</v>
      </c>
      <c r="BR917" t="s">
        <v>101</v>
      </c>
      <c r="BS917" t="s">
        <v>16393</v>
      </c>
      <c r="BT917" t="str">
        <f>HYPERLINK("https%3A%2F%2Fwww.webofscience.com%2Fwos%2Fwoscc%2Ffull-record%2FWOS:000266760500011","View Full Record in Web of Science")</f>
        <v>View Full Record in Web of Science</v>
      </c>
    </row>
    <row r="918" spans="1:72" x14ac:dyDescent="0.15">
      <c r="A918" t="s">
        <v>72</v>
      </c>
      <c r="B918" t="s">
        <v>16394</v>
      </c>
      <c r="C918" t="s">
        <v>74</v>
      </c>
      <c r="D918" t="s">
        <v>74</v>
      </c>
      <c r="E918" t="s">
        <v>74</v>
      </c>
      <c r="F918" t="s">
        <v>16395</v>
      </c>
      <c r="G918" t="s">
        <v>74</v>
      </c>
      <c r="H918" t="s">
        <v>74</v>
      </c>
      <c r="I918" t="s">
        <v>16396</v>
      </c>
      <c r="J918" t="s">
        <v>7469</v>
      </c>
      <c r="K918" t="s">
        <v>74</v>
      </c>
      <c r="L918" t="s">
        <v>74</v>
      </c>
      <c r="M918" t="s">
        <v>78</v>
      </c>
      <c r="N918" t="s">
        <v>79</v>
      </c>
      <c r="O918" t="s">
        <v>74</v>
      </c>
      <c r="P918" t="s">
        <v>74</v>
      </c>
      <c r="Q918" t="s">
        <v>74</v>
      </c>
      <c r="R918" t="s">
        <v>74</v>
      </c>
      <c r="S918" t="s">
        <v>74</v>
      </c>
      <c r="T918" t="s">
        <v>16397</v>
      </c>
      <c r="U918" t="s">
        <v>16398</v>
      </c>
      <c r="V918" t="s">
        <v>16399</v>
      </c>
      <c r="W918" t="s">
        <v>16400</v>
      </c>
      <c r="X918" t="s">
        <v>974</v>
      </c>
      <c r="Y918" t="s">
        <v>16401</v>
      </c>
      <c r="Z918" t="s">
        <v>16402</v>
      </c>
      <c r="AA918" t="s">
        <v>74</v>
      </c>
      <c r="AB918" t="s">
        <v>74</v>
      </c>
      <c r="AC918" t="s">
        <v>16403</v>
      </c>
      <c r="AD918" t="s">
        <v>16404</v>
      </c>
      <c r="AE918" t="s">
        <v>16405</v>
      </c>
      <c r="AF918" t="s">
        <v>74</v>
      </c>
      <c r="AG918">
        <v>50</v>
      </c>
      <c r="AH918">
        <v>224</v>
      </c>
      <c r="AI918">
        <v>256</v>
      </c>
      <c r="AJ918">
        <v>1</v>
      </c>
      <c r="AK918">
        <v>75</v>
      </c>
      <c r="AL918" t="s">
        <v>1894</v>
      </c>
      <c r="AM918" t="s">
        <v>1895</v>
      </c>
      <c r="AN918" t="s">
        <v>1896</v>
      </c>
      <c r="AO918" t="s">
        <v>7482</v>
      </c>
      <c r="AP918" t="s">
        <v>7483</v>
      </c>
      <c r="AQ918" t="s">
        <v>74</v>
      </c>
      <c r="AR918" t="s">
        <v>7484</v>
      </c>
      <c r="AS918" t="s">
        <v>7485</v>
      </c>
      <c r="AT918" t="s">
        <v>15810</v>
      </c>
      <c r="AU918">
        <v>2009</v>
      </c>
      <c r="AV918">
        <v>56</v>
      </c>
      <c r="AW918" t="s">
        <v>1167</v>
      </c>
      <c r="AX918" t="s">
        <v>74</v>
      </c>
      <c r="AY918" t="s">
        <v>74</v>
      </c>
      <c r="AZ918" t="s">
        <v>74</v>
      </c>
      <c r="BA918" t="s">
        <v>74</v>
      </c>
      <c r="BB918">
        <v>778</v>
      </c>
      <c r="BC918">
        <v>795</v>
      </c>
      <c r="BD918" t="s">
        <v>74</v>
      </c>
      <c r="BE918" t="s">
        <v>16406</v>
      </c>
      <c r="BF918" t="str">
        <f>HYPERLINK("http://dx.doi.org/10.1016/j.dsr2.2008.10.033","http://dx.doi.org/10.1016/j.dsr2.2008.10.033")</f>
        <v>http://dx.doi.org/10.1016/j.dsr2.2008.10.033</v>
      </c>
      <c r="BG918" t="s">
        <v>74</v>
      </c>
      <c r="BH918" t="s">
        <v>74</v>
      </c>
      <c r="BI918">
        <v>18</v>
      </c>
      <c r="BJ918" t="s">
        <v>806</v>
      </c>
      <c r="BK918" t="s">
        <v>98</v>
      </c>
      <c r="BL918" t="s">
        <v>806</v>
      </c>
      <c r="BM918" t="s">
        <v>16407</v>
      </c>
      <c r="BN918" t="s">
        <v>74</v>
      </c>
      <c r="BO918" t="s">
        <v>74</v>
      </c>
      <c r="BP918" t="s">
        <v>74</v>
      </c>
      <c r="BQ918" t="s">
        <v>74</v>
      </c>
      <c r="BR918" t="s">
        <v>101</v>
      </c>
      <c r="BS918" t="s">
        <v>16408</v>
      </c>
      <c r="BT918" t="str">
        <f>HYPERLINK("https%3A%2F%2Fwww.webofscience.com%2Fwos%2Fwoscc%2Ffull-record%2FWOS:000267690800002","View Full Record in Web of Science")</f>
        <v>View Full Record in Web of Science</v>
      </c>
    </row>
    <row r="919" spans="1:72" x14ac:dyDescent="0.15">
      <c r="A919" t="s">
        <v>72</v>
      </c>
      <c r="B919" t="s">
        <v>16409</v>
      </c>
      <c r="C919" t="s">
        <v>74</v>
      </c>
      <c r="D919" t="s">
        <v>74</v>
      </c>
      <c r="E919" t="s">
        <v>74</v>
      </c>
      <c r="F919" t="s">
        <v>16410</v>
      </c>
      <c r="G919" t="s">
        <v>74</v>
      </c>
      <c r="H919" t="s">
        <v>74</v>
      </c>
      <c r="I919" t="s">
        <v>16411</v>
      </c>
      <c r="J919" t="s">
        <v>7469</v>
      </c>
      <c r="K919" t="s">
        <v>74</v>
      </c>
      <c r="L919" t="s">
        <v>74</v>
      </c>
      <c r="M919" t="s">
        <v>78</v>
      </c>
      <c r="N919" t="s">
        <v>79</v>
      </c>
      <c r="O919" t="s">
        <v>74</v>
      </c>
      <c r="P919" t="s">
        <v>74</v>
      </c>
      <c r="Q919" t="s">
        <v>74</v>
      </c>
      <c r="R919" t="s">
        <v>74</v>
      </c>
      <c r="S919" t="s">
        <v>74</v>
      </c>
      <c r="T919" t="s">
        <v>16412</v>
      </c>
      <c r="U919" t="s">
        <v>16413</v>
      </c>
      <c r="V919" t="s">
        <v>16414</v>
      </c>
      <c r="W919" t="s">
        <v>16415</v>
      </c>
      <c r="X919" t="s">
        <v>16416</v>
      </c>
      <c r="Y919" t="s">
        <v>16417</v>
      </c>
      <c r="Z919" t="s">
        <v>16418</v>
      </c>
      <c r="AA919" t="s">
        <v>16419</v>
      </c>
      <c r="AB919" t="s">
        <v>16420</v>
      </c>
      <c r="AC919" t="s">
        <v>16421</v>
      </c>
      <c r="AD919" t="s">
        <v>16422</v>
      </c>
      <c r="AE919" t="s">
        <v>16423</v>
      </c>
      <c r="AF919" t="s">
        <v>74</v>
      </c>
      <c r="AG919">
        <v>55</v>
      </c>
      <c r="AH919">
        <v>108</v>
      </c>
      <c r="AI919">
        <v>125</v>
      </c>
      <c r="AJ919">
        <v>0</v>
      </c>
      <c r="AK919">
        <v>35</v>
      </c>
      <c r="AL919" t="s">
        <v>1894</v>
      </c>
      <c r="AM919" t="s">
        <v>1895</v>
      </c>
      <c r="AN919" t="s">
        <v>1896</v>
      </c>
      <c r="AO919" t="s">
        <v>7482</v>
      </c>
      <c r="AP919" t="s">
        <v>7483</v>
      </c>
      <c r="AQ919" t="s">
        <v>74</v>
      </c>
      <c r="AR919" t="s">
        <v>7484</v>
      </c>
      <c r="AS919" t="s">
        <v>7485</v>
      </c>
      <c r="AT919" t="s">
        <v>15810</v>
      </c>
      <c r="AU919">
        <v>2009</v>
      </c>
      <c r="AV919">
        <v>56</v>
      </c>
      <c r="AW919" t="s">
        <v>1167</v>
      </c>
      <c r="AX919" t="s">
        <v>74</v>
      </c>
      <c r="AY919" t="s">
        <v>74</v>
      </c>
      <c r="AZ919" t="s">
        <v>74</v>
      </c>
      <c r="BA919" t="s">
        <v>74</v>
      </c>
      <c r="BB919">
        <v>796</v>
      </c>
      <c r="BC919">
        <v>817</v>
      </c>
      <c r="BD919" t="s">
        <v>74</v>
      </c>
      <c r="BE919" t="s">
        <v>16424</v>
      </c>
      <c r="BF919" t="str">
        <f>HYPERLINK("http://dx.doi.org/10.1016/j.dsr2.2008.10.037","http://dx.doi.org/10.1016/j.dsr2.2008.10.037")</f>
        <v>http://dx.doi.org/10.1016/j.dsr2.2008.10.037</v>
      </c>
      <c r="BG919" t="s">
        <v>74</v>
      </c>
      <c r="BH919" t="s">
        <v>74</v>
      </c>
      <c r="BI919">
        <v>22</v>
      </c>
      <c r="BJ919" t="s">
        <v>806</v>
      </c>
      <c r="BK919" t="s">
        <v>98</v>
      </c>
      <c r="BL919" t="s">
        <v>806</v>
      </c>
      <c r="BM919" t="s">
        <v>16407</v>
      </c>
      <c r="BN919" t="s">
        <v>74</v>
      </c>
      <c r="BO919" t="s">
        <v>74</v>
      </c>
      <c r="BP919" t="s">
        <v>74</v>
      </c>
      <c r="BQ919" t="s">
        <v>74</v>
      </c>
      <c r="BR919" t="s">
        <v>101</v>
      </c>
      <c r="BS919" t="s">
        <v>16425</v>
      </c>
      <c r="BT919" t="str">
        <f>HYPERLINK("https%3A%2F%2Fwww.webofscience.com%2Fwos%2Fwoscc%2Ffull-record%2FWOS:000267690800003","View Full Record in Web of Science")</f>
        <v>View Full Record in Web of Science</v>
      </c>
    </row>
    <row r="920" spans="1:72" x14ac:dyDescent="0.15">
      <c r="A920" t="s">
        <v>72</v>
      </c>
      <c r="B920" t="s">
        <v>16426</v>
      </c>
      <c r="C920" t="s">
        <v>74</v>
      </c>
      <c r="D920" t="s">
        <v>74</v>
      </c>
      <c r="E920" t="s">
        <v>74</v>
      </c>
      <c r="F920" t="s">
        <v>16427</v>
      </c>
      <c r="G920" t="s">
        <v>74</v>
      </c>
      <c r="H920" t="s">
        <v>74</v>
      </c>
      <c r="I920" t="s">
        <v>16428</v>
      </c>
      <c r="J920" t="s">
        <v>7469</v>
      </c>
      <c r="K920" t="s">
        <v>74</v>
      </c>
      <c r="L920" t="s">
        <v>74</v>
      </c>
      <c r="M920" t="s">
        <v>78</v>
      </c>
      <c r="N920" t="s">
        <v>79</v>
      </c>
      <c r="O920" t="s">
        <v>74</v>
      </c>
      <c r="P920" t="s">
        <v>74</v>
      </c>
      <c r="Q920" t="s">
        <v>74</v>
      </c>
      <c r="R920" t="s">
        <v>74</v>
      </c>
      <c r="S920" t="s">
        <v>74</v>
      </c>
      <c r="T920" t="s">
        <v>16429</v>
      </c>
      <c r="U920" t="s">
        <v>16430</v>
      </c>
      <c r="V920" t="s">
        <v>16431</v>
      </c>
      <c r="W920" t="s">
        <v>16432</v>
      </c>
      <c r="X920" t="s">
        <v>974</v>
      </c>
      <c r="Y920" t="s">
        <v>16433</v>
      </c>
      <c r="Z920" t="s">
        <v>16434</v>
      </c>
      <c r="AA920" t="s">
        <v>16435</v>
      </c>
      <c r="AB920" t="s">
        <v>16436</v>
      </c>
      <c r="AC920" t="s">
        <v>16437</v>
      </c>
      <c r="AD920" t="s">
        <v>16438</v>
      </c>
      <c r="AE920" t="s">
        <v>16439</v>
      </c>
      <c r="AF920" t="s">
        <v>74</v>
      </c>
      <c r="AG920">
        <v>51</v>
      </c>
      <c r="AH920">
        <v>83</v>
      </c>
      <c r="AI920">
        <v>98</v>
      </c>
      <c r="AJ920">
        <v>0</v>
      </c>
      <c r="AK920">
        <v>11</v>
      </c>
      <c r="AL920" t="s">
        <v>1894</v>
      </c>
      <c r="AM920" t="s">
        <v>1895</v>
      </c>
      <c r="AN920" t="s">
        <v>1896</v>
      </c>
      <c r="AO920" t="s">
        <v>7482</v>
      </c>
      <c r="AP920" t="s">
        <v>74</v>
      </c>
      <c r="AQ920" t="s">
        <v>74</v>
      </c>
      <c r="AR920" t="s">
        <v>7484</v>
      </c>
      <c r="AS920" t="s">
        <v>7485</v>
      </c>
      <c r="AT920" t="s">
        <v>15810</v>
      </c>
      <c r="AU920">
        <v>2009</v>
      </c>
      <c r="AV920">
        <v>56</v>
      </c>
      <c r="AW920" t="s">
        <v>1167</v>
      </c>
      <c r="AX920" t="s">
        <v>74</v>
      </c>
      <c r="AY920" t="s">
        <v>74</v>
      </c>
      <c r="AZ920" t="s">
        <v>74</v>
      </c>
      <c r="BA920" t="s">
        <v>74</v>
      </c>
      <c r="BB920">
        <v>818</v>
      </c>
      <c r="BC920">
        <v>834</v>
      </c>
      <c r="BD920" t="s">
        <v>74</v>
      </c>
      <c r="BE920" t="s">
        <v>16440</v>
      </c>
      <c r="BF920" t="str">
        <f>HYPERLINK("http://dx.doi.org/10.1016/j.dsr2.2008.10.026","http://dx.doi.org/10.1016/j.dsr2.2008.10.026")</f>
        <v>http://dx.doi.org/10.1016/j.dsr2.2008.10.026</v>
      </c>
      <c r="BG920" t="s">
        <v>74</v>
      </c>
      <c r="BH920" t="s">
        <v>74</v>
      </c>
      <c r="BI920">
        <v>17</v>
      </c>
      <c r="BJ920" t="s">
        <v>806</v>
      </c>
      <c r="BK920" t="s">
        <v>98</v>
      </c>
      <c r="BL920" t="s">
        <v>806</v>
      </c>
      <c r="BM920" t="s">
        <v>16407</v>
      </c>
      <c r="BN920" t="s">
        <v>74</v>
      </c>
      <c r="BO920" t="s">
        <v>74</v>
      </c>
      <c r="BP920" t="s">
        <v>74</v>
      </c>
      <c r="BQ920" t="s">
        <v>74</v>
      </c>
      <c r="BR920" t="s">
        <v>101</v>
      </c>
      <c r="BS920" t="s">
        <v>16441</v>
      </c>
      <c r="BT920" t="str">
        <f>HYPERLINK("https%3A%2F%2Fwww.webofscience.com%2Fwos%2Fwoscc%2Ffull-record%2FWOS:000267690800004","View Full Record in Web of Science")</f>
        <v>View Full Record in Web of Science</v>
      </c>
    </row>
    <row r="921" spans="1:72" x14ac:dyDescent="0.15">
      <c r="A921" t="s">
        <v>72</v>
      </c>
      <c r="B921" t="s">
        <v>16442</v>
      </c>
      <c r="C921" t="s">
        <v>74</v>
      </c>
      <c r="D921" t="s">
        <v>74</v>
      </c>
      <c r="E921" t="s">
        <v>74</v>
      </c>
      <c r="F921" t="s">
        <v>16443</v>
      </c>
      <c r="G921" t="s">
        <v>74</v>
      </c>
      <c r="H921" t="s">
        <v>74</v>
      </c>
      <c r="I921" t="s">
        <v>16444</v>
      </c>
      <c r="J921" t="s">
        <v>7469</v>
      </c>
      <c r="K921" t="s">
        <v>74</v>
      </c>
      <c r="L921" t="s">
        <v>74</v>
      </c>
      <c r="M921" t="s">
        <v>78</v>
      </c>
      <c r="N921" t="s">
        <v>79</v>
      </c>
      <c r="O921" t="s">
        <v>74</v>
      </c>
      <c r="P921" t="s">
        <v>74</v>
      </c>
      <c r="Q921" t="s">
        <v>74</v>
      </c>
      <c r="R921" t="s">
        <v>74</v>
      </c>
      <c r="S921" t="s">
        <v>74</v>
      </c>
      <c r="T921" t="s">
        <v>16445</v>
      </c>
      <c r="U921" t="s">
        <v>16446</v>
      </c>
      <c r="V921" t="s">
        <v>16447</v>
      </c>
      <c r="W921" t="s">
        <v>16448</v>
      </c>
      <c r="X921" t="s">
        <v>16449</v>
      </c>
      <c r="Y921" t="s">
        <v>16450</v>
      </c>
      <c r="Z921" t="s">
        <v>16451</v>
      </c>
      <c r="AA921" t="s">
        <v>16452</v>
      </c>
      <c r="AB921" t="s">
        <v>16453</v>
      </c>
      <c r="AC921" t="s">
        <v>16454</v>
      </c>
      <c r="AD921" t="s">
        <v>1629</v>
      </c>
      <c r="AE921" t="s">
        <v>16455</v>
      </c>
      <c r="AF921" t="s">
        <v>74</v>
      </c>
      <c r="AG921">
        <v>20</v>
      </c>
      <c r="AH921">
        <v>10</v>
      </c>
      <c r="AI921">
        <v>12</v>
      </c>
      <c r="AJ921">
        <v>0</v>
      </c>
      <c r="AK921">
        <v>7</v>
      </c>
      <c r="AL921" t="s">
        <v>1894</v>
      </c>
      <c r="AM921" t="s">
        <v>1895</v>
      </c>
      <c r="AN921" t="s">
        <v>1896</v>
      </c>
      <c r="AO921" t="s">
        <v>7482</v>
      </c>
      <c r="AP921" t="s">
        <v>7483</v>
      </c>
      <c r="AQ921" t="s">
        <v>74</v>
      </c>
      <c r="AR921" t="s">
        <v>7484</v>
      </c>
      <c r="AS921" t="s">
        <v>7485</v>
      </c>
      <c r="AT921" t="s">
        <v>15810</v>
      </c>
      <c r="AU921">
        <v>2009</v>
      </c>
      <c r="AV921">
        <v>56</v>
      </c>
      <c r="AW921" t="s">
        <v>1167</v>
      </c>
      <c r="AX921" t="s">
        <v>74</v>
      </c>
      <c r="AY921" t="s">
        <v>74</v>
      </c>
      <c r="AZ921" t="s">
        <v>74</v>
      </c>
      <c r="BA921" t="s">
        <v>74</v>
      </c>
      <c r="BB921">
        <v>835</v>
      </c>
      <c r="BC921">
        <v>842</v>
      </c>
      <c r="BD921" t="s">
        <v>74</v>
      </c>
      <c r="BE921" t="s">
        <v>16456</v>
      </c>
      <c r="BF921" t="str">
        <f>HYPERLINK("http://dx.doi.org/10.1016/j.dsr2.2008.10.029","http://dx.doi.org/10.1016/j.dsr2.2008.10.029")</f>
        <v>http://dx.doi.org/10.1016/j.dsr2.2008.10.029</v>
      </c>
      <c r="BG921" t="s">
        <v>74</v>
      </c>
      <c r="BH921" t="s">
        <v>74</v>
      </c>
      <c r="BI921">
        <v>8</v>
      </c>
      <c r="BJ921" t="s">
        <v>806</v>
      </c>
      <c r="BK921" t="s">
        <v>98</v>
      </c>
      <c r="BL921" t="s">
        <v>806</v>
      </c>
      <c r="BM921" t="s">
        <v>16407</v>
      </c>
      <c r="BN921" t="s">
        <v>74</v>
      </c>
      <c r="BO921" t="s">
        <v>74</v>
      </c>
      <c r="BP921" t="s">
        <v>74</v>
      </c>
      <c r="BQ921" t="s">
        <v>74</v>
      </c>
      <c r="BR921" t="s">
        <v>101</v>
      </c>
      <c r="BS921" t="s">
        <v>16457</v>
      </c>
      <c r="BT921" t="str">
        <f>HYPERLINK("https%3A%2F%2Fwww.webofscience.com%2Fwos%2Fwoscc%2Ffull-record%2FWOS:000267690800005","View Full Record in Web of Science")</f>
        <v>View Full Record in Web of Science</v>
      </c>
    </row>
    <row r="922" spans="1:72" x14ac:dyDescent="0.15">
      <c r="A922" t="s">
        <v>72</v>
      </c>
      <c r="B922" t="s">
        <v>16458</v>
      </c>
      <c r="C922" t="s">
        <v>74</v>
      </c>
      <c r="D922" t="s">
        <v>74</v>
      </c>
      <c r="E922" t="s">
        <v>74</v>
      </c>
      <c r="F922" t="s">
        <v>16459</v>
      </c>
      <c r="G922" t="s">
        <v>74</v>
      </c>
      <c r="H922" t="s">
        <v>74</v>
      </c>
      <c r="I922" t="s">
        <v>16460</v>
      </c>
      <c r="J922" t="s">
        <v>7469</v>
      </c>
      <c r="K922" t="s">
        <v>74</v>
      </c>
      <c r="L922" t="s">
        <v>74</v>
      </c>
      <c r="M922" t="s">
        <v>78</v>
      </c>
      <c r="N922" t="s">
        <v>79</v>
      </c>
      <c r="O922" t="s">
        <v>74</v>
      </c>
      <c r="P922" t="s">
        <v>74</v>
      </c>
      <c r="Q922" t="s">
        <v>74</v>
      </c>
      <c r="R922" t="s">
        <v>74</v>
      </c>
      <c r="S922" t="s">
        <v>74</v>
      </c>
      <c r="T922" t="s">
        <v>16461</v>
      </c>
      <c r="U922" t="s">
        <v>16462</v>
      </c>
      <c r="V922" t="s">
        <v>16463</v>
      </c>
      <c r="W922" t="s">
        <v>16464</v>
      </c>
      <c r="X922" t="s">
        <v>16465</v>
      </c>
      <c r="Y922" t="s">
        <v>16466</v>
      </c>
      <c r="Z922" t="s">
        <v>16467</v>
      </c>
      <c r="AA922" t="s">
        <v>16468</v>
      </c>
      <c r="AB922" t="s">
        <v>16469</v>
      </c>
      <c r="AC922" t="s">
        <v>16470</v>
      </c>
      <c r="AD922" t="s">
        <v>16471</v>
      </c>
      <c r="AE922" t="s">
        <v>16472</v>
      </c>
      <c r="AF922" t="s">
        <v>74</v>
      </c>
      <c r="AG922">
        <v>53</v>
      </c>
      <c r="AH922">
        <v>11</v>
      </c>
      <c r="AI922">
        <v>12</v>
      </c>
      <c r="AJ922">
        <v>0</v>
      </c>
      <c r="AK922">
        <v>7</v>
      </c>
      <c r="AL922" t="s">
        <v>1894</v>
      </c>
      <c r="AM922" t="s">
        <v>1895</v>
      </c>
      <c r="AN922" t="s">
        <v>1896</v>
      </c>
      <c r="AO922" t="s">
        <v>7482</v>
      </c>
      <c r="AP922" t="s">
        <v>7483</v>
      </c>
      <c r="AQ922" t="s">
        <v>74</v>
      </c>
      <c r="AR922" t="s">
        <v>7484</v>
      </c>
      <c r="AS922" t="s">
        <v>7485</v>
      </c>
      <c r="AT922" t="s">
        <v>15810</v>
      </c>
      <c r="AU922">
        <v>2009</v>
      </c>
      <c r="AV922">
        <v>56</v>
      </c>
      <c r="AW922" t="s">
        <v>1167</v>
      </c>
      <c r="AX922" t="s">
        <v>74</v>
      </c>
      <c r="AY922" t="s">
        <v>74</v>
      </c>
      <c r="AZ922" t="s">
        <v>74</v>
      </c>
      <c r="BA922" t="s">
        <v>74</v>
      </c>
      <c r="BB922">
        <v>843</v>
      </c>
      <c r="BC922">
        <v>858</v>
      </c>
      <c r="BD922" t="s">
        <v>74</v>
      </c>
      <c r="BE922" t="s">
        <v>16473</v>
      </c>
      <c r="BF922" t="str">
        <f>HYPERLINK("http://dx.doi.org/10.1016/j.dsr2.2008.10.032","http://dx.doi.org/10.1016/j.dsr2.2008.10.032")</f>
        <v>http://dx.doi.org/10.1016/j.dsr2.2008.10.032</v>
      </c>
      <c r="BG922" t="s">
        <v>74</v>
      </c>
      <c r="BH922" t="s">
        <v>74</v>
      </c>
      <c r="BI922">
        <v>16</v>
      </c>
      <c r="BJ922" t="s">
        <v>806</v>
      </c>
      <c r="BK922" t="s">
        <v>98</v>
      </c>
      <c r="BL922" t="s">
        <v>806</v>
      </c>
      <c r="BM922" t="s">
        <v>16407</v>
      </c>
      <c r="BN922" t="s">
        <v>74</v>
      </c>
      <c r="BO922" t="s">
        <v>74</v>
      </c>
      <c r="BP922" t="s">
        <v>74</v>
      </c>
      <c r="BQ922" t="s">
        <v>74</v>
      </c>
      <c r="BR922" t="s">
        <v>101</v>
      </c>
      <c r="BS922" t="s">
        <v>16474</v>
      </c>
      <c r="BT922" t="str">
        <f>HYPERLINK("https%3A%2F%2Fwww.webofscience.com%2Fwos%2Fwoscc%2Ffull-record%2FWOS:000267690800006","View Full Record in Web of Science")</f>
        <v>View Full Record in Web of Science</v>
      </c>
    </row>
    <row r="923" spans="1:72" x14ac:dyDescent="0.15">
      <c r="A923" t="s">
        <v>72</v>
      </c>
      <c r="B923" t="s">
        <v>16475</v>
      </c>
      <c r="C923" t="s">
        <v>74</v>
      </c>
      <c r="D923" t="s">
        <v>74</v>
      </c>
      <c r="E923" t="s">
        <v>74</v>
      </c>
      <c r="F923" t="s">
        <v>16476</v>
      </c>
      <c r="G923" t="s">
        <v>74</v>
      </c>
      <c r="H923" t="s">
        <v>74</v>
      </c>
      <c r="I923" t="s">
        <v>16477</v>
      </c>
      <c r="J923" t="s">
        <v>7469</v>
      </c>
      <c r="K923" t="s">
        <v>74</v>
      </c>
      <c r="L923" t="s">
        <v>74</v>
      </c>
      <c r="M923" t="s">
        <v>78</v>
      </c>
      <c r="N923" t="s">
        <v>79</v>
      </c>
      <c r="O923" t="s">
        <v>74</v>
      </c>
      <c r="P923" t="s">
        <v>74</v>
      </c>
      <c r="Q923" t="s">
        <v>74</v>
      </c>
      <c r="R923" t="s">
        <v>74</v>
      </c>
      <c r="S923" t="s">
        <v>74</v>
      </c>
      <c r="T923" t="s">
        <v>16478</v>
      </c>
      <c r="U923" t="s">
        <v>16479</v>
      </c>
      <c r="V923" t="s">
        <v>16480</v>
      </c>
      <c r="W923" t="s">
        <v>16481</v>
      </c>
      <c r="X923" t="s">
        <v>2043</v>
      </c>
      <c r="Y923" t="s">
        <v>16482</v>
      </c>
      <c r="Z923" t="s">
        <v>16483</v>
      </c>
      <c r="AA923" t="s">
        <v>74</v>
      </c>
      <c r="AB923" t="s">
        <v>74</v>
      </c>
      <c r="AC923" t="s">
        <v>74</v>
      </c>
      <c r="AD923" t="s">
        <v>74</v>
      </c>
      <c r="AE923" t="s">
        <v>74</v>
      </c>
      <c r="AF923" t="s">
        <v>74</v>
      </c>
      <c r="AG923">
        <v>27</v>
      </c>
      <c r="AH923">
        <v>16</v>
      </c>
      <c r="AI923">
        <v>17</v>
      </c>
      <c r="AJ923">
        <v>0</v>
      </c>
      <c r="AK923">
        <v>9</v>
      </c>
      <c r="AL923" t="s">
        <v>1894</v>
      </c>
      <c r="AM923" t="s">
        <v>1895</v>
      </c>
      <c r="AN923" t="s">
        <v>1896</v>
      </c>
      <c r="AO923" t="s">
        <v>7482</v>
      </c>
      <c r="AP923" t="s">
        <v>74</v>
      </c>
      <c r="AQ923" t="s">
        <v>74</v>
      </c>
      <c r="AR923" t="s">
        <v>7484</v>
      </c>
      <c r="AS923" t="s">
        <v>7485</v>
      </c>
      <c r="AT923" t="s">
        <v>15810</v>
      </c>
      <c r="AU923">
        <v>2009</v>
      </c>
      <c r="AV923">
        <v>56</v>
      </c>
      <c r="AW923" t="s">
        <v>1167</v>
      </c>
      <c r="AX923" t="s">
        <v>74</v>
      </c>
      <c r="AY923" t="s">
        <v>74</v>
      </c>
      <c r="AZ923" t="s">
        <v>74</v>
      </c>
      <c r="BA923" t="s">
        <v>74</v>
      </c>
      <c r="BB923">
        <v>859</v>
      </c>
      <c r="BC923">
        <v>873</v>
      </c>
      <c r="BD923" t="s">
        <v>74</v>
      </c>
      <c r="BE923" t="s">
        <v>16484</v>
      </c>
      <c r="BF923" t="str">
        <f>HYPERLINK("http://dx.doi.org/10.1016/j.dsr2.2008.10.030","http://dx.doi.org/10.1016/j.dsr2.2008.10.030")</f>
        <v>http://dx.doi.org/10.1016/j.dsr2.2008.10.030</v>
      </c>
      <c r="BG923" t="s">
        <v>74</v>
      </c>
      <c r="BH923" t="s">
        <v>74</v>
      </c>
      <c r="BI923">
        <v>15</v>
      </c>
      <c r="BJ923" t="s">
        <v>806</v>
      </c>
      <c r="BK923" t="s">
        <v>98</v>
      </c>
      <c r="BL923" t="s">
        <v>806</v>
      </c>
      <c r="BM923" t="s">
        <v>16407</v>
      </c>
      <c r="BN923" t="s">
        <v>74</v>
      </c>
      <c r="BO923" t="s">
        <v>74</v>
      </c>
      <c r="BP923" t="s">
        <v>74</v>
      </c>
      <c r="BQ923" t="s">
        <v>74</v>
      </c>
      <c r="BR923" t="s">
        <v>101</v>
      </c>
      <c r="BS923" t="s">
        <v>16485</v>
      </c>
      <c r="BT923" t="str">
        <f>HYPERLINK("https%3A%2F%2Fwww.webofscience.com%2Fwos%2Fwoscc%2Ffull-record%2FWOS:000267690800007","View Full Record in Web of Science")</f>
        <v>View Full Record in Web of Science</v>
      </c>
    </row>
    <row r="924" spans="1:72" x14ac:dyDescent="0.15">
      <c r="A924" t="s">
        <v>72</v>
      </c>
      <c r="B924" t="s">
        <v>16486</v>
      </c>
      <c r="C924" t="s">
        <v>74</v>
      </c>
      <c r="D924" t="s">
        <v>74</v>
      </c>
      <c r="E924" t="s">
        <v>74</v>
      </c>
      <c r="F924" t="s">
        <v>16487</v>
      </c>
      <c r="G924" t="s">
        <v>74</v>
      </c>
      <c r="H924" t="s">
        <v>74</v>
      </c>
      <c r="I924" t="s">
        <v>16488</v>
      </c>
      <c r="J924" t="s">
        <v>16489</v>
      </c>
      <c r="K924" t="s">
        <v>74</v>
      </c>
      <c r="L924" t="s">
        <v>74</v>
      </c>
      <c r="M924" t="s">
        <v>78</v>
      </c>
      <c r="N924" t="s">
        <v>79</v>
      </c>
      <c r="O924" t="s">
        <v>74</v>
      </c>
      <c r="P924" t="s">
        <v>74</v>
      </c>
      <c r="Q924" t="s">
        <v>74</v>
      </c>
      <c r="R924" t="s">
        <v>74</v>
      </c>
      <c r="S924" t="s">
        <v>74</v>
      </c>
      <c r="T924" t="s">
        <v>16490</v>
      </c>
      <c r="U924" t="s">
        <v>16491</v>
      </c>
      <c r="V924" t="s">
        <v>16492</v>
      </c>
      <c r="W924" t="s">
        <v>16493</v>
      </c>
      <c r="X924" t="s">
        <v>16494</v>
      </c>
      <c r="Y924" t="s">
        <v>16495</v>
      </c>
      <c r="Z924" t="s">
        <v>16496</v>
      </c>
      <c r="AA924" t="s">
        <v>16497</v>
      </c>
      <c r="AB924" t="s">
        <v>16498</v>
      </c>
      <c r="AC924" t="s">
        <v>16499</v>
      </c>
      <c r="AD924" t="s">
        <v>16499</v>
      </c>
      <c r="AE924" t="s">
        <v>16500</v>
      </c>
      <c r="AF924" t="s">
        <v>74</v>
      </c>
      <c r="AG924">
        <v>52</v>
      </c>
      <c r="AH924">
        <v>14</v>
      </c>
      <c r="AI924">
        <v>20</v>
      </c>
      <c r="AJ924">
        <v>0</v>
      </c>
      <c r="AK924">
        <v>19</v>
      </c>
      <c r="AL924" t="s">
        <v>1226</v>
      </c>
      <c r="AM924" t="s">
        <v>684</v>
      </c>
      <c r="AN924" t="s">
        <v>1227</v>
      </c>
      <c r="AO924" t="s">
        <v>16501</v>
      </c>
      <c r="AP924" t="s">
        <v>16502</v>
      </c>
      <c r="AQ924" t="s">
        <v>74</v>
      </c>
      <c r="AR924" t="s">
        <v>16503</v>
      </c>
      <c r="AS924" t="s">
        <v>16504</v>
      </c>
      <c r="AT924" t="s">
        <v>15810</v>
      </c>
      <c r="AU924">
        <v>2009</v>
      </c>
      <c r="AV924">
        <v>137</v>
      </c>
      <c r="AW924">
        <v>6</v>
      </c>
      <c r="AX924" t="s">
        <v>74</v>
      </c>
      <c r="AY924" t="s">
        <v>74</v>
      </c>
      <c r="AZ924" t="s">
        <v>74</v>
      </c>
      <c r="BA924" t="s">
        <v>74</v>
      </c>
      <c r="BB924">
        <v>858</v>
      </c>
      <c r="BC924">
        <v>870</v>
      </c>
      <c r="BD924" t="s">
        <v>74</v>
      </c>
      <c r="BE924" t="s">
        <v>16505</v>
      </c>
      <c r="BF924" t="str">
        <f>HYPERLINK("http://dx.doi.org/10.1017/S0950268808001222","http://dx.doi.org/10.1017/S0950268808001222")</f>
        <v>http://dx.doi.org/10.1017/S0950268808001222</v>
      </c>
      <c r="BG924" t="s">
        <v>74</v>
      </c>
      <c r="BH924" t="s">
        <v>74</v>
      </c>
      <c r="BI924">
        <v>13</v>
      </c>
      <c r="BJ924" t="s">
        <v>16506</v>
      </c>
      <c r="BK924" t="s">
        <v>98</v>
      </c>
      <c r="BL924" t="s">
        <v>16506</v>
      </c>
      <c r="BM924" t="s">
        <v>16507</v>
      </c>
      <c r="BN924">
        <v>18789175</v>
      </c>
      <c r="BO924" t="s">
        <v>263</v>
      </c>
      <c r="BP924" t="s">
        <v>74</v>
      </c>
      <c r="BQ924" t="s">
        <v>74</v>
      </c>
      <c r="BR924" t="s">
        <v>101</v>
      </c>
      <c r="BS924" t="s">
        <v>16508</v>
      </c>
      <c r="BT924" t="str">
        <f>HYPERLINK("https%3A%2F%2Fwww.webofscience.com%2Fwos%2Fwoscc%2Ffull-record%2FWOS:000266656300013","View Full Record in Web of Science")</f>
        <v>View Full Record in Web of Science</v>
      </c>
    </row>
    <row r="925" spans="1:72" x14ac:dyDescent="0.15">
      <c r="A925" t="s">
        <v>72</v>
      </c>
      <c r="B925" t="s">
        <v>16509</v>
      </c>
      <c r="C925" t="s">
        <v>74</v>
      </c>
      <c r="D925" t="s">
        <v>74</v>
      </c>
      <c r="E925" t="s">
        <v>74</v>
      </c>
      <c r="F925" t="s">
        <v>16510</v>
      </c>
      <c r="G925" t="s">
        <v>74</v>
      </c>
      <c r="H925" t="s">
        <v>74</v>
      </c>
      <c r="I925" t="s">
        <v>16511</v>
      </c>
      <c r="J925" t="s">
        <v>16512</v>
      </c>
      <c r="K925" t="s">
        <v>74</v>
      </c>
      <c r="L925" t="s">
        <v>74</v>
      </c>
      <c r="M925" t="s">
        <v>78</v>
      </c>
      <c r="N925" t="s">
        <v>79</v>
      </c>
      <c r="O925" t="s">
        <v>74</v>
      </c>
      <c r="P925" t="s">
        <v>74</v>
      </c>
      <c r="Q925" t="s">
        <v>74</v>
      </c>
      <c r="R925" t="s">
        <v>74</v>
      </c>
      <c r="S925" t="s">
        <v>74</v>
      </c>
      <c r="T925" t="s">
        <v>16513</v>
      </c>
      <c r="U925" t="s">
        <v>16514</v>
      </c>
      <c r="V925" t="s">
        <v>16515</v>
      </c>
      <c r="W925" t="s">
        <v>16516</v>
      </c>
      <c r="X925" t="s">
        <v>16517</v>
      </c>
      <c r="Y925" t="s">
        <v>16518</v>
      </c>
      <c r="Z925" t="s">
        <v>16519</v>
      </c>
      <c r="AA925" t="s">
        <v>74</v>
      </c>
      <c r="AB925" t="s">
        <v>74</v>
      </c>
      <c r="AC925" t="s">
        <v>74</v>
      </c>
      <c r="AD925" t="s">
        <v>74</v>
      </c>
      <c r="AE925" t="s">
        <v>74</v>
      </c>
      <c r="AF925" t="s">
        <v>74</v>
      </c>
      <c r="AG925">
        <v>19</v>
      </c>
      <c r="AH925">
        <v>8</v>
      </c>
      <c r="AI925">
        <v>8</v>
      </c>
      <c r="AJ925">
        <v>0</v>
      </c>
      <c r="AK925">
        <v>4</v>
      </c>
      <c r="AL925" t="s">
        <v>16520</v>
      </c>
      <c r="AM925" t="s">
        <v>16521</v>
      </c>
      <c r="AN925" t="s">
        <v>16522</v>
      </c>
      <c r="AO925" t="s">
        <v>16523</v>
      </c>
      <c r="AP925" t="s">
        <v>16524</v>
      </c>
      <c r="AQ925" t="s">
        <v>74</v>
      </c>
      <c r="AR925" t="s">
        <v>16525</v>
      </c>
      <c r="AS925" t="s">
        <v>16526</v>
      </c>
      <c r="AT925" t="s">
        <v>15810</v>
      </c>
      <c r="AU925">
        <v>2009</v>
      </c>
      <c r="AV925">
        <v>45</v>
      </c>
      <c r="AW925">
        <v>2</v>
      </c>
      <c r="AX925" t="s">
        <v>74</v>
      </c>
      <c r="AY925" t="s">
        <v>74</v>
      </c>
      <c r="AZ925" t="s">
        <v>74</v>
      </c>
      <c r="BA925" t="s">
        <v>74</v>
      </c>
      <c r="BB925">
        <v>185</v>
      </c>
      <c r="BC925">
        <v>191</v>
      </c>
      <c r="BD925" t="s">
        <v>74</v>
      </c>
      <c r="BE925" t="s">
        <v>74</v>
      </c>
      <c r="BF925" t="s">
        <v>74</v>
      </c>
      <c r="BG925" t="s">
        <v>74</v>
      </c>
      <c r="BH925" t="s">
        <v>74</v>
      </c>
      <c r="BI925">
        <v>7</v>
      </c>
      <c r="BJ925" t="s">
        <v>16527</v>
      </c>
      <c r="BK925" t="s">
        <v>98</v>
      </c>
      <c r="BL925" t="s">
        <v>16527</v>
      </c>
      <c r="BM925" t="s">
        <v>16528</v>
      </c>
      <c r="BN925">
        <v>19347003</v>
      </c>
      <c r="BO925" t="s">
        <v>74</v>
      </c>
      <c r="BP925" t="s">
        <v>74</v>
      </c>
      <c r="BQ925" t="s">
        <v>74</v>
      </c>
      <c r="BR925" t="s">
        <v>101</v>
      </c>
      <c r="BS925" t="s">
        <v>16529</v>
      </c>
      <c r="BT925" t="str">
        <f>HYPERLINK("https%3A%2F%2Fwww.webofscience.com%2Fwos%2Fwoscc%2Ffull-record%2FWOS:000267277800004","View Full Record in Web of Science")</f>
        <v>View Full Record in Web of Science</v>
      </c>
    </row>
    <row r="926" spans="1:72" x14ac:dyDescent="0.15">
      <c r="A926" t="s">
        <v>72</v>
      </c>
      <c r="B926" t="s">
        <v>16530</v>
      </c>
      <c r="C926" t="s">
        <v>74</v>
      </c>
      <c r="D926" t="s">
        <v>74</v>
      </c>
      <c r="E926" t="s">
        <v>74</v>
      </c>
      <c r="F926" t="s">
        <v>16531</v>
      </c>
      <c r="G926" t="s">
        <v>74</v>
      </c>
      <c r="H926" t="s">
        <v>74</v>
      </c>
      <c r="I926" t="s">
        <v>16532</v>
      </c>
      <c r="J926" t="s">
        <v>7572</v>
      </c>
      <c r="K926" t="s">
        <v>74</v>
      </c>
      <c r="L926" t="s">
        <v>74</v>
      </c>
      <c r="M926" t="s">
        <v>78</v>
      </c>
      <c r="N926" t="s">
        <v>79</v>
      </c>
      <c r="O926" t="s">
        <v>74</v>
      </c>
      <c r="P926" t="s">
        <v>74</v>
      </c>
      <c r="Q926" t="s">
        <v>74</v>
      </c>
      <c r="R926" t="s">
        <v>74</v>
      </c>
      <c r="S926" t="s">
        <v>74</v>
      </c>
      <c r="T926" t="s">
        <v>16533</v>
      </c>
      <c r="U926" t="s">
        <v>16534</v>
      </c>
      <c r="V926" t="s">
        <v>16535</v>
      </c>
      <c r="W926" t="s">
        <v>16536</v>
      </c>
      <c r="X926" t="s">
        <v>16537</v>
      </c>
      <c r="Y926" t="s">
        <v>16538</v>
      </c>
      <c r="Z926" t="s">
        <v>16539</v>
      </c>
      <c r="AA926" t="s">
        <v>74</v>
      </c>
      <c r="AB926" t="s">
        <v>16540</v>
      </c>
      <c r="AC926" t="s">
        <v>16541</v>
      </c>
      <c r="AD926" t="s">
        <v>16542</v>
      </c>
      <c r="AE926" t="s">
        <v>16543</v>
      </c>
      <c r="AF926" t="s">
        <v>74</v>
      </c>
      <c r="AG926">
        <v>20</v>
      </c>
      <c r="AH926">
        <v>4</v>
      </c>
      <c r="AI926">
        <v>6</v>
      </c>
      <c r="AJ926">
        <v>0</v>
      </c>
      <c r="AK926">
        <v>4</v>
      </c>
      <c r="AL926" t="s">
        <v>2171</v>
      </c>
      <c r="AM926" t="s">
        <v>1895</v>
      </c>
      <c r="AN926" t="s">
        <v>2172</v>
      </c>
      <c r="AO926" t="s">
        <v>7584</v>
      </c>
      <c r="AP926" t="s">
        <v>7585</v>
      </c>
      <c r="AQ926" t="s">
        <v>74</v>
      </c>
      <c r="AR926" t="s">
        <v>7586</v>
      </c>
      <c r="AS926" t="s">
        <v>7587</v>
      </c>
      <c r="AT926" t="s">
        <v>15810</v>
      </c>
      <c r="AU926">
        <v>2009</v>
      </c>
      <c r="AV926">
        <v>295</v>
      </c>
      <c r="AW926">
        <v>2</v>
      </c>
      <c r="AX926" t="s">
        <v>74</v>
      </c>
      <c r="AY926" t="s">
        <v>74</v>
      </c>
      <c r="AZ926" t="s">
        <v>74</v>
      </c>
      <c r="BA926" t="s">
        <v>74</v>
      </c>
      <c r="BB926">
        <v>177</v>
      </c>
      <c r="BC926">
        <v>186</v>
      </c>
      <c r="BD926" t="s">
        <v>74</v>
      </c>
      <c r="BE926" t="s">
        <v>16544</v>
      </c>
      <c r="BF926" t="str">
        <f>HYPERLINK("http://dx.doi.org/10.1111/j.1574-6968.2009.01589.x","http://dx.doi.org/10.1111/j.1574-6968.2009.01589.x")</f>
        <v>http://dx.doi.org/10.1111/j.1574-6968.2009.01589.x</v>
      </c>
      <c r="BG926" t="s">
        <v>74</v>
      </c>
      <c r="BH926" t="s">
        <v>74</v>
      </c>
      <c r="BI926">
        <v>10</v>
      </c>
      <c r="BJ926" t="s">
        <v>1958</v>
      </c>
      <c r="BK926" t="s">
        <v>98</v>
      </c>
      <c r="BL926" t="s">
        <v>1958</v>
      </c>
      <c r="BM926" t="s">
        <v>16545</v>
      </c>
      <c r="BN926">
        <v>19646180</v>
      </c>
      <c r="BO926" t="s">
        <v>4550</v>
      </c>
      <c r="BP926" t="s">
        <v>74</v>
      </c>
      <c r="BQ926" t="s">
        <v>74</v>
      </c>
      <c r="BR926" t="s">
        <v>101</v>
      </c>
      <c r="BS926" t="s">
        <v>16546</v>
      </c>
      <c r="BT926" t="str">
        <f>HYPERLINK("https%3A%2F%2Fwww.webofscience.com%2Fwos%2Fwoscc%2Ffull-record%2FWOS:000266111400006","View Full Record in Web of Science")</f>
        <v>View Full Record in Web of Science</v>
      </c>
    </row>
    <row r="927" spans="1:72" x14ac:dyDescent="0.15">
      <c r="A927" t="s">
        <v>72</v>
      </c>
      <c r="B927" t="s">
        <v>16547</v>
      </c>
      <c r="C927" t="s">
        <v>74</v>
      </c>
      <c r="D927" t="s">
        <v>74</v>
      </c>
      <c r="E927" t="s">
        <v>74</v>
      </c>
      <c r="F927" t="s">
        <v>16548</v>
      </c>
      <c r="G927" t="s">
        <v>74</v>
      </c>
      <c r="H927" t="s">
        <v>74</v>
      </c>
      <c r="I927" t="s">
        <v>16549</v>
      </c>
      <c r="J927" t="s">
        <v>12269</v>
      </c>
      <c r="K927" t="s">
        <v>74</v>
      </c>
      <c r="L927" t="s">
        <v>74</v>
      </c>
      <c r="M927" t="s">
        <v>78</v>
      </c>
      <c r="N927" t="s">
        <v>79</v>
      </c>
      <c r="O927" t="s">
        <v>74</v>
      </c>
      <c r="P927" t="s">
        <v>74</v>
      </c>
      <c r="Q927" t="s">
        <v>74</v>
      </c>
      <c r="R927" t="s">
        <v>74</v>
      </c>
      <c r="S927" t="s">
        <v>74</v>
      </c>
      <c r="T927" t="s">
        <v>16550</v>
      </c>
      <c r="U927" t="s">
        <v>16551</v>
      </c>
      <c r="V927" t="s">
        <v>16552</v>
      </c>
      <c r="W927" t="s">
        <v>16553</v>
      </c>
      <c r="X927" t="s">
        <v>16554</v>
      </c>
      <c r="Y927" t="s">
        <v>16555</v>
      </c>
      <c r="Z927" t="s">
        <v>16556</v>
      </c>
      <c r="AA927" t="s">
        <v>16557</v>
      </c>
      <c r="AB927" t="s">
        <v>16558</v>
      </c>
      <c r="AC927" t="s">
        <v>16559</v>
      </c>
      <c r="AD927" t="s">
        <v>16560</v>
      </c>
      <c r="AE927" t="s">
        <v>16561</v>
      </c>
      <c r="AF927" t="s">
        <v>74</v>
      </c>
      <c r="AG927">
        <v>54</v>
      </c>
      <c r="AH927">
        <v>21</v>
      </c>
      <c r="AI927">
        <v>25</v>
      </c>
      <c r="AJ927">
        <v>0</v>
      </c>
      <c r="AK927">
        <v>18</v>
      </c>
      <c r="AL927" t="s">
        <v>305</v>
      </c>
      <c r="AM927" t="s">
        <v>281</v>
      </c>
      <c r="AN927" t="s">
        <v>306</v>
      </c>
      <c r="AO927" t="s">
        <v>12279</v>
      </c>
      <c r="AP927" t="s">
        <v>16562</v>
      </c>
      <c r="AQ927" t="s">
        <v>74</v>
      </c>
      <c r="AR927" t="s">
        <v>12280</v>
      </c>
      <c r="AS927" t="s">
        <v>12281</v>
      </c>
      <c r="AT927" t="s">
        <v>15810</v>
      </c>
      <c r="AU927">
        <v>2009</v>
      </c>
      <c r="AV927">
        <v>98</v>
      </c>
      <c r="AW927" t="s">
        <v>16563</v>
      </c>
      <c r="AX927" t="s">
        <v>74</v>
      </c>
      <c r="AY927" t="s">
        <v>74</v>
      </c>
      <c r="AZ927" t="s">
        <v>74</v>
      </c>
      <c r="BA927" t="s">
        <v>74</v>
      </c>
      <c r="BB927">
        <v>22</v>
      </c>
      <c r="BC927">
        <v>32</v>
      </c>
      <c r="BD927" t="s">
        <v>74</v>
      </c>
      <c r="BE927" t="s">
        <v>16564</v>
      </c>
      <c r="BF927" t="str">
        <f>HYPERLINK("http://dx.doi.org/10.1016/j.fishres.2009.03.010","http://dx.doi.org/10.1016/j.fishres.2009.03.010")</f>
        <v>http://dx.doi.org/10.1016/j.fishres.2009.03.010</v>
      </c>
      <c r="BG927" t="s">
        <v>74</v>
      </c>
      <c r="BH927" t="s">
        <v>74</v>
      </c>
      <c r="BI927">
        <v>11</v>
      </c>
      <c r="BJ927" t="s">
        <v>5108</v>
      </c>
      <c r="BK927" t="s">
        <v>98</v>
      </c>
      <c r="BL927" t="s">
        <v>5108</v>
      </c>
      <c r="BM927" t="s">
        <v>16565</v>
      </c>
      <c r="BN927" t="s">
        <v>74</v>
      </c>
      <c r="BO927" t="s">
        <v>74</v>
      </c>
      <c r="BP927" t="s">
        <v>74</v>
      </c>
      <c r="BQ927" t="s">
        <v>74</v>
      </c>
      <c r="BR927" t="s">
        <v>101</v>
      </c>
      <c r="BS927" t="s">
        <v>16566</v>
      </c>
      <c r="BT927" t="str">
        <f>HYPERLINK("https%3A%2F%2Fwww.webofscience.com%2Fwos%2Fwoscc%2Ffull-record%2FWOS:000267604900004","View Full Record in Web of Science")</f>
        <v>View Full Record in Web of Science</v>
      </c>
    </row>
    <row r="928" spans="1:72" x14ac:dyDescent="0.15">
      <c r="A928" t="s">
        <v>72</v>
      </c>
      <c r="B928" t="s">
        <v>16567</v>
      </c>
      <c r="C928" t="s">
        <v>74</v>
      </c>
      <c r="D928" t="s">
        <v>74</v>
      </c>
      <c r="E928" t="s">
        <v>74</v>
      </c>
      <c r="F928" t="s">
        <v>16568</v>
      </c>
      <c r="G928" t="s">
        <v>74</v>
      </c>
      <c r="H928" t="s">
        <v>74</v>
      </c>
      <c r="I928" t="s">
        <v>16569</v>
      </c>
      <c r="J928" t="s">
        <v>16570</v>
      </c>
      <c r="K928" t="s">
        <v>74</v>
      </c>
      <c r="L928" t="s">
        <v>74</v>
      </c>
      <c r="M928" t="s">
        <v>78</v>
      </c>
      <c r="N928" t="s">
        <v>79</v>
      </c>
      <c r="O928" t="s">
        <v>74</v>
      </c>
      <c r="P928" t="s">
        <v>74</v>
      </c>
      <c r="Q928" t="s">
        <v>74</v>
      </c>
      <c r="R928" t="s">
        <v>74</v>
      </c>
      <c r="S928" t="s">
        <v>74</v>
      </c>
      <c r="T928" t="s">
        <v>74</v>
      </c>
      <c r="U928" t="s">
        <v>16571</v>
      </c>
      <c r="V928" t="s">
        <v>16572</v>
      </c>
      <c r="W928" t="s">
        <v>16573</v>
      </c>
      <c r="X928" t="s">
        <v>16574</v>
      </c>
      <c r="Y928" t="s">
        <v>16575</v>
      </c>
      <c r="Z928" t="s">
        <v>16576</v>
      </c>
      <c r="AA928" t="s">
        <v>16577</v>
      </c>
      <c r="AB928" t="s">
        <v>16578</v>
      </c>
      <c r="AC928" t="s">
        <v>16579</v>
      </c>
      <c r="AD928" t="s">
        <v>16580</v>
      </c>
      <c r="AE928" t="s">
        <v>16581</v>
      </c>
      <c r="AF928" t="s">
        <v>74</v>
      </c>
      <c r="AG928">
        <v>86</v>
      </c>
      <c r="AH928">
        <v>33</v>
      </c>
      <c r="AI928">
        <v>40</v>
      </c>
      <c r="AJ928">
        <v>1</v>
      </c>
      <c r="AK928">
        <v>26</v>
      </c>
      <c r="AL928" t="s">
        <v>1184</v>
      </c>
      <c r="AM928" t="s">
        <v>1185</v>
      </c>
      <c r="AN928" t="s">
        <v>1186</v>
      </c>
      <c r="AO928" t="s">
        <v>16582</v>
      </c>
      <c r="AP928" t="s">
        <v>16583</v>
      </c>
      <c r="AQ928" t="s">
        <v>74</v>
      </c>
      <c r="AR928" t="s">
        <v>16570</v>
      </c>
      <c r="AS928" t="s">
        <v>16584</v>
      </c>
      <c r="AT928" t="s">
        <v>15810</v>
      </c>
      <c r="AU928">
        <v>2009</v>
      </c>
      <c r="AV928">
        <v>7</v>
      </c>
      <c r="AW928">
        <v>3</v>
      </c>
      <c r="AX928" t="s">
        <v>74</v>
      </c>
      <c r="AY928" t="s">
        <v>74</v>
      </c>
      <c r="AZ928" t="s">
        <v>74</v>
      </c>
      <c r="BA928" t="s">
        <v>74</v>
      </c>
      <c r="BB928">
        <v>265</v>
      </c>
      <c r="BC928">
        <v>281</v>
      </c>
      <c r="BD928" t="s">
        <v>74</v>
      </c>
      <c r="BE928" t="s">
        <v>16585</v>
      </c>
      <c r="BF928" t="str">
        <f>HYPERLINK("http://dx.doi.org/10.1111/j.1472-4669.2009.00202.x","http://dx.doi.org/10.1111/j.1472-4669.2009.00202.x")</f>
        <v>http://dx.doi.org/10.1111/j.1472-4669.2009.00202.x</v>
      </c>
      <c r="BG928" t="s">
        <v>74</v>
      </c>
      <c r="BH928" t="s">
        <v>74</v>
      </c>
      <c r="BI928">
        <v>17</v>
      </c>
      <c r="BJ928" t="s">
        <v>16586</v>
      </c>
      <c r="BK928" t="s">
        <v>98</v>
      </c>
      <c r="BL928" t="s">
        <v>16587</v>
      </c>
      <c r="BM928" t="s">
        <v>16588</v>
      </c>
      <c r="BN928">
        <v>19515203</v>
      </c>
      <c r="BO928" t="s">
        <v>74</v>
      </c>
      <c r="BP928" t="s">
        <v>74</v>
      </c>
      <c r="BQ928" t="s">
        <v>74</v>
      </c>
      <c r="BR928" t="s">
        <v>101</v>
      </c>
      <c r="BS928" t="s">
        <v>16589</v>
      </c>
      <c r="BT928" t="str">
        <f>HYPERLINK("https%3A%2F%2Fwww.webofscience.com%2Fwos%2Fwoscc%2Ffull-record%2FWOS:000267128900001","View Full Record in Web of Science")</f>
        <v>View Full Record in Web of Science</v>
      </c>
    </row>
    <row r="929" spans="1:72" x14ac:dyDescent="0.15">
      <c r="A929" t="s">
        <v>72</v>
      </c>
      <c r="B929" t="s">
        <v>16590</v>
      </c>
      <c r="C929" t="s">
        <v>74</v>
      </c>
      <c r="D929" t="s">
        <v>74</v>
      </c>
      <c r="E929" t="s">
        <v>74</v>
      </c>
      <c r="F929" t="s">
        <v>16591</v>
      </c>
      <c r="G929" t="s">
        <v>74</v>
      </c>
      <c r="H929" t="s">
        <v>74</v>
      </c>
      <c r="I929" t="s">
        <v>16592</v>
      </c>
      <c r="J929" t="s">
        <v>4061</v>
      </c>
      <c r="K929" t="s">
        <v>74</v>
      </c>
      <c r="L929" t="s">
        <v>74</v>
      </c>
      <c r="M929" t="s">
        <v>78</v>
      </c>
      <c r="N929" t="s">
        <v>52</v>
      </c>
      <c r="O929" t="s">
        <v>16593</v>
      </c>
      <c r="P929" t="s">
        <v>16594</v>
      </c>
      <c r="Q929" t="s">
        <v>16595</v>
      </c>
      <c r="R929" t="s">
        <v>74</v>
      </c>
      <c r="S929" t="s">
        <v>74</v>
      </c>
      <c r="T929" t="s">
        <v>74</v>
      </c>
      <c r="U929" t="s">
        <v>74</v>
      </c>
      <c r="V929" t="s">
        <v>74</v>
      </c>
      <c r="W929" t="s">
        <v>16596</v>
      </c>
      <c r="X929" t="s">
        <v>16597</v>
      </c>
      <c r="Y929" t="s">
        <v>74</v>
      </c>
      <c r="Z929" t="s">
        <v>16598</v>
      </c>
      <c r="AA929" t="s">
        <v>74</v>
      </c>
      <c r="AB929" t="s">
        <v>74</v>
      </c>
      <c r="AC929" t="s">
        <v>74</v>
      </c>
      <c r="AD929" t="s">
        <v>74</v>
      </c>
      <c r="AE929" t="s">
        <v>74</v>
      </c>
      <c r="AF929" t="s">
        <v>74</v>
      </c>
      <c r="AG929">
        <v>1</v>
      </c>
      <c r="AH929">
        <v>0</v>
      </c>
      <c r="AI929">
        <v>0</v>
      </c>
      <c r="AJ929">
        <v>0</v>
      </c>
      <c r="AK929">
        <v>3</v>
      </c>
      <c r="AL929" t="s">
        <v>1894</v>
      </c>
      <c r="AM929" t="s">
        <v>1895</v>
      </c>
      <c r="AN929" t="s">
        <v>1896</v>
      </c>
      <c r="AO929" t="s">
        <v>4073</v>
      </c>
      <c r="AP929" t="s">
        <v>74</v>
      </c>
      <c r="AQ929" t="s">
        <v>74</v>
      </c>
      <c r="AR929" t="s">
        <v>4075</v>
      </c>
      <c r="AS929" t="s">
        <v>4076</v>
      </c>
      <c r="AT929" t="s">
        <v>15810</v>
      </c>
      <c r="AU929">
        <v>2009</v>
      </c>
      <c r="AV929">
        <v>73</v>
      </c>
      <c r="AW929">
        <v>13</v>
      </c>
      <c r="AX929" t="s">
        <v>74</v>
      </c>
      <c r="AY929" t="s">
        <v>74</v>
      </c>
      <c r="AZ929" t="s">
        <v>74</v>
      </c>
      <c r="BA929" t="s">
        <v>74</v>
      </c>
      <c r="BB929" t="s">
        <v>16599</v>
      </c>
      <c r="BC929" t="s">
        <v>16599</v>
      </c>
      <c r="BD929" t="s">
        <v>74</v>
      </c>
      <c r="BE929" t="s">
        <v>74</v>
      </c>
      <c r="BF929" t="s">
        <v>74</v>
      </c>
      <c r="BG929" t="s">
        <v>74</v>
      </c>
      <c r="BH929" t="s">
        <v>74</v>
      </c>
      <c r="BI929">
        <v>1</v>
      </c>
      <c r="BJ929" t="s">
        <v>261</v>
      </c>
      <c r="BK929" t="s">
        <v>98</v>
      </c>
      <c r="BL929" t="s">
        <v>261</v>
      </c>
      <c r="BM929" t="s">
        <v>16600</v>
      </c>
      <c r="BN929" t="s">
        <v>74</v>
      </c>
      <c r="BO929" t="s">
        <v>74</v>
      </c>
      <c r="BP929" t="s">
        <v>74</v>
      </c>
      <c r="BQ929" t="s">
        <v>74</v>
      </c>
      <c r="BR929" t="s">
        <v>101</v>
      </c>
      <c r="BS929" t="s">
        <v>16601</v>
      </c>
      <c r="BT929" t="str">
        <f>HYPERLINK("https%3A%2F%2Fwww.webofscience.com%2Fwos%2Fwoscc%2Ffull-record%2FWOS:000267229900092","View Full Record in Web of Science")</f>
        <v>View Full Record in Web of Science</v>
      </c>
    </row>
    <row r="930" spans="1:72" x14ac:dyDescent="0.15">
      <c r="A930" t="s">
        <v>72</v>
      </c>
      <c r="B930" t="s">
        <v>16602</v>
      </c>
      <c r="C930" t="s">
        <v>74</v>
      </c>
      <c r="D930" t="s">
        <v>74</v>
      </c>
      <c r="E930" t="s">
        <v>74</v>
      </c>
      <c r="F930" t="s">
        <v>16603</v>
      </c>
      <c r="G930" t="s">
        <v>74</v>
      </c>
      <c r="H930" t="s">
        <v>74</v>
      </c>
      <c r="I930" t="s">
        <v>16604</v>
      </c>
      <c r="J930" t="s">
        <v>4061</v>
      </c>
      <c r="K930" t="s">
        <v>74</v>
      </c>
      <c r="L930" t="s">
        <v>74</v>
      </c>
      <c r="M930" t="s">
        <v>78</v>
      </c>
      <c r="N930" t="s">
        <v>52</v>
      </c>
      <c r="O930" t="s">
        <v>16593</v>
      </c>
      <c r="P930" t="s">
        <v>16594</v>
      </c>
      <c r="Q930" t="s">
        <v>16595</v>
      </c>
      <c r="R930" t="s">
        <v>74</v>
      </c>
      <c r="S930" t="s">
        <v>74</v>
      </c>
      <c r="T930" t="s">
        <v>74</v>
      </c>
      <c r="U930" t="s">
        <v>74</v>
      </c>
      <c r="V930" t="s">
        <v>74</v>
      </c>
      <c r="W930" t="s">
        <v>16605</v>
      </c>
      <c r="X930" t="s">
        <v>16606</v>
      </c>
      <c r="Y930" t="s">
        <v>74</v>
      </c>
      <c r="Z930" t="s">
        <v>16607</v>
      </c>
      <c r="AA930" t="s">
        <v>16608</v>
      </c>
      <c r="AB930" t="s">
        <v>16609</v>
      </c>
      <c r="AC930" t="s">
        <v>74</v>
      </c>
      <c r="AD930" t="s">
        <v>74</v>
      </c>
      <c r="AE930" t="s">
        <v>74</v>
      </c>
      <c r="AF930" t="s">
        <v>74</v>
      </c>
      <c r="AG930">
        <v>1</v>
      </c>
      <c r="AH930">
        <v>0</v>
      </c>
      <c r="AI930">
        <v>0</v>
      </c>
      <c r="AJ930">
        <v>0</v>
      </c>
      <c r="AK930">
        <v>5</v>
      </c>
      <c r="AL930" t="s">
        <v>1894</v>
      </c>
      <c r="AM930" t="s">
        <v>1895</v>
      </c>
      <c r="AN930" t="s">
        <v>1896</v>
      </c>
      <c r="AO930" t="s">
        <v>4073</v>
      </c>
      <c r="AP930" t="s">
        <v>4074</v>
      </c>
      <c r="AQ930" t="s">
        <v>74</v>
      </c>
      <c r="AR930" t="s">
        <v>4075</v>
      </c>
      <c r="AS930" t="s">
        <v>4076</v>
      </c>
      <c r="AT930" t="s">
        <v>15810</v>
      </c>
      <c r="AU930">
        <v>2009</v>
      </c>
      <c r="AV930">
        <v>73</v>
      </c>
      <c r="AW930">
        <v>13</v>
      </c>
      <c r="AX930" t="s">
        <v>74</v>
      </c>
      <c r="AY930" t="s">
        <v>14586</v>
      </c>
      <c r="AZ930" t="s">
        <v>74</v>
      </c>
      <c r="BA930" t="s">
        <v>74</v>
      </c>
      <c r="BB930" t="s">
        <v>16610</v>
      </c>
      <c r="BC930" t="s">
        <v>16610</v>
      </c>
      <c r="BD930" t="s">
        <v>74</v>
      </c>
      <c r="BE930" t="s">
        <v>74</v>
      </c>
      <c r="BF930" t="s">
        <v>74</v>
      </c>
      <c r="BG930" t="s">
        <v>74</v>
      </c>
      <c r="BH930" t="s">
        <v>74</v>
      </c>
      <c r="BI930">
        <v>1</v>
      </c>
      <c r="BJ930" t="s">
        <v>261</v>
      </c>
      <c r="BK930" t="s">
        <v>1986</v>
      </c>
      <c r="BL930" t="s">
        <v>261</v>
      </c>
      <c r="BM930" t="s">
        <v>16600</v>
      </c>
      <c r="BN930" t="s">
        <v>74</v>
      </c>
      <c r="BO930" t="s">
        <v>74</v>
      </c>
      <c r="BP930" t="s">
        <v>74</v>
      </c>
      <c r="BQ930" t="s">
        <v>74</v>
      </c>
      <c r="BR930" t="s">
        <v>101</v>
      </c>
      <c r="BS930" t="s">
        <v>16611</v>
      </c>
      <c r="BT930" t="str">
        <f>HYPERLINK("https%3A%2F%2Fwww.webofscience.com%2Fwos%2Fwoscc%2Ffull-record%2FWOS:000267229900192","View Full Record in Web of Science")</f>
        <v>View Full Record in Web of Science</v>
      </c>
    </row>
    <row r="931" spans="1:72" x14ac:dyDescent="0.15">
      <c r="A931" t="s">
        <v>72</v>
      </c>
      <c r="B931" t="s">
        <v>16612</v>
      </c>
      <c r="C931" t="s">
        <v>74</v>
      </c>
      <c r="D931" t="s">
        <v>74</v>
      </c>
      <c r="E931" t="s">
        <v>74</v>
      </c>
      <c r="F931" t="s">
        <v>16613</v>
      </c>
      <c r="G931" t="s">
        <v>74</v>
      </c>
      <c r="H931" t="s">
        <v>74</v>
      </c>
      <c r="I931" t="s">
        <v>16614</v>
      </c>
      <c r="J931" t="s">
        <v>4061</v>
      </c>
      <c r="K931" t="s">
        <v>74</v>
      </c>
      <c r="L931" t="s">
        <v>74</v>
      </c>
      <c r="M931" t="s">
        <v>78</v>
      </c>
      <c r="N931" t="s">
        <v>52</v>
      </c>
      <c r="O931" t="s">
        <v>16593</v>
      </c>
      <c r="P931" t="s">
        <v>16594</v>
      </c>
      <c r="Q931" t="s">
        <v>16595</v>
      </c>
      <c r="R931" t="s">
        <v>74</v>
      </c>
      <c r="S931" t="s">
        <v>74</v>
      </c>
      <c r="T931" t="s">
        <v>74</v>
      </c>
      <c r="U931" t="s">
        <v>74</v>
      </c>
      <c r="V931" t="s">
        <v>74</v>
      </c>
      <c r="W931" t="s">
        <v>16615</v>
      </c>
      <c r="X931" t="s">
        <v>16616</v>
      </c>
      <c r="Y931" t="s">
        <v>74</v>
      </c>
      <c r="Z931" t="s">
        <v>16617</v>
      </c>
      <c r="AA931" t="s">
        <v>16618</v>
      </c>
      <c r="AB931" t="s">
        <v>16619</v>
      </c>
      <c r="AC931" t="s">
        <v>74</v>
      </c>
      <c r="AD931" t="s">
        <v>74</v>
      </c>
      <c r="AE931" t="s">
        <v>74</v>
      </c>
      <c r="AF931" t="s">
        <v>74</v>
      </c>
      <c r="AG931">
        <v>0</v>
      </c>
      <c r="AH931">
        <v>0</v>
      </c>
      <c r="AI931">
        <v>0</v>
      </c>
      <c r="AJ931">
        <v>0</v>
      </c>
      <c r="AK931">
        <v>1</v>
      </c>
      <c r="AL931" t="s">
        <v>1894</v>
      </c>
      <c r="AM931" t="s">
        <v>1895</v>
      </c>
      <c r="AN931" t="s">
        <v>1896</v>
      </c>
      <c r="AO931" t="s">
        <v>4073</v>
      </c>
      <c r="AP931" t="s">
        <v>4074</v>
      </c>
      <c r="AQ931" t="s">
        <v>74</v>
      </c>
      <c r="AR931" t="s">
        <v>4075</v>
      </c>
      <c r="AS931" t="s">
        <v>4076</v>
      </c>
      <c r="AT931" t="s">
        <v>15810</v>
      </c>
      <c r="AU931">
        <v>2009</v>
      </c>
      <c r="AV931">
        <v>73</v>
      </c>
      <c r="AW931">
        <v>13</v>
      </c>
      <c r="AX931" t="s">
        <v>74</v>
      </c>
      <c r="AY931" t="s">
        <v>14586</v>
      </c>
      <c r="AZ931" t="s">
        <v>74</v>
      </c>
      <c r="BA931" t="s">
        <v>74</v>
      </c>
      <c r="BB931" t="s">
        <v>16620</v>
      </c>
      <c r="BC931" t="s">
        <v>16620</v>
      </c>
      <c r="BD931" t="s">
        <v>74</v>
      </c>
      <c r="BE931" t="s">
        <v>74</v>
      </c>
      <c r="BF931" t="s">
        <v>74</v>
      </c>
      <c r="BG931" t="s">
        <v>74</v>
      </c>
      <c r="BH931" t="s">
        <v>74</v>
      </c>
      <c r="BI931">
        <v>1</v>
      </c>
      <c r="BJ931" t="s">
        <v>261</v>
      </c>
      <c r="BK931" t="s">
        <v>1986</v>
      </c>
      <c r="BL931" t="s">
        <v>261</v>
      </c>
      <c r="BM931" t="s">
        <v>16600</v>
      </c>
      <c r="BN931" t="s">
        <v>74</v>
      </c>
      <c r="BO931" t="s">
        <v>74</v>
      </c>
      <c r="BP931" t="s">
        <v>74</v>
      </c>
      <c r="BQ931" t="s">
        <v>74</v>
      </c>
      <c r="BR931" t="s">
        <v>101</v>
      </c>
      <c r="BS931" t="s">
        <v>16621</v>
      </c>
      <c r="BT931" t="str">
        <f>HYPERLINK("https%3A%2F%2Fwww.webofscience.com%2Fwos%2Fwoscc%2Ffull-record%2FWOS:000267229900490","View Full Record in Web of Science")</f>
        <v>View Full Record in Web of Science</v>
      </c>
    </row>
    <row r="932" spans="1:72" x14ac:dyDescent="0.15">
      <c r="A932" t="s">
        <v>72</v>
      </c>
      <c r="B932" t="s">
        <v>16622</v>
      </c>
      <c r="C932" t="s">
        <v>74</v>
      </c>
      <c r="D932" t="s">
        <v>74</v>
      </c>
      <c r="E932" t="s">
        <v>74</v>
      </c>
      <c r="F932" t="s">
        <v>16623</v>
      </c>
      <c r="G932" t="s">
        <v>74</v>
      </c>
      <c r="H932" t="s">
        <v>74</v>
      </c>
      <c r="I932" t="s">
        <v>16624</v>
      </c>
      <c r="J932" t="s">
        <v>4061</v>
      </c>
      <c r="K932" t="s">
        <v>74</v>
      </c>
      <c r="L932" t="s">
        <v>74</v>
      </c>
      <c r="M932" t="s">
        <v>78</v>
      </c>
      <c r="N932" t="s">
        <v>52</v>
      </c>
      <c r="O932" t="s">
        <v>16593</v>
      </c>
      <c r="P932" t="s">
        <v>16594</v>
      </c>
      <c r="Q932" t="s">
        <v>16595</v>
      </c>
      <c r="R932" t="s">
        <v>74</v>
      </c>
      <c r="S932" t="s">
        <v>74</v>
      </c>
      <c r="T932" t="s">
        <v>74</v>
      </c>
      <c r="U932" t="s">
        <v>16625</v>
      </c>
      <c r="V932" t="s">
        <v>74</v>
      </c>
      <c r="W932" t="s">
        <v>16626</v>
      </c>
      <c r="X932" t="s">
        <v>16627</v>
      </c>
      <c r="Y932" t="s">
        <v>74</v>
      </c>
      <c r="Z932" t="s">
        <v>74</v>
      </c>
      <c r="AA932" t="s">
        <v>16628</v>
      </c>
      <c r="AB932" t="s">
        <v>16629</v>
      </c>
      <c r="AC932" t="s">
        <v>74</v>
      </c>
      <c r="AD932" t="s">
        <v>74</v>
      </c>
      <c r="AE932" t="s">
        <v>74</v>
      </c>
      <c r="AF932" t="s">
        <v>74</v>
      </c>
      <c r="AG932">
        <v>6</v>
      </c>
      <c r="AH932">
        <v>0</v>
      </c>
      <c r="AI932">
        <v>0</v>
      </c>
      <c r="AJ932">
        <v>0</v>
      </c>
      <c r="AK932">
        <v>2</v>
      </c>
      <c r="AL932" t="s">
        <v>1894</v>
      </c>
      <c r="AM932" t="s">
        <v>1895</v>
      </c>
      <c r="AN932" t="s">
        <v>1896</v>
      </c>
      <c r="AO932" t="s">
        <v>4073</v>
      </c>
      <c r="AP932" t="s">
        <v>74</v>
      </c>
      <c r="AQ932" t="s">
        <v>74</v>
      </c>
      <c r="AR932" t="s">
        <v>4075</v>
      </c>
      <c r="AS932" t="s">
        <v>4076</v>
      </c>
      <c r="AT932" t="s">
        <v>15810</v>
      </c>
      <c r="AU932">
        <v>2009</v>
      </c>
      <c r="AV932">
        <v>73</v>
      </c>
      <c r="AW932">
        <v>13</v>
      </c>
      <c r="AX932" t="s">
        <v>74</v>
      </c>
      <c r="AY932" t="s">
        <v>74</v>
      </c>
      <c r="AZ932" t="s">
        <v>74</v>
      </c>
      <c r="BA932" t="s">
        <v>74</v>
      </c>
      <c r="BB932" t="s">
        <v>16630</v>
      </c>
      <c r="BC932" t="s">
        <v>16630</v>
      </c>
      <c r="BD932" t="s">
        <v>74</v>
      </c>
      <c r="BE932" t="s">
        <v>74</v>
      </c>
      <c r="BF932" t="s">
        <v>74</v>
      </c>
      <c r="BG932" t="s">
        <v>74</v>
      </c>
      <c r="BH932" t="s">
        <v>74</v>
      </c>
      <c r="BI932">
        <v>1</v>
      </c>
      <c r="BJ932" t="s">
        <v>261</v>
      </c>
      <c r="BK932" t="s">
        <v>98</v>
      </c>
      <c r="BL932" t="s">
        <v>261</v>
      </c>
      <c r="BM932" t="s">
        <v>16600</v>
      </c>
      <c r="BN932" t="s">
        <v>74</v>
      </c>
      <c r="BO932" t="s">
        <v>74</v>
      </c>
      <c r="BP932" t="s">
        <v>74</v>
      </c>
      <c r="BQ932" t="s">
        <v>74</v>
      </c>
      <c r="BR932" t="s">
        <v>101</v>
      </c>
      <c r="BS932" t="s">
        <v>16631</v>
      </c>
      <c r="BT932" t="str">
        <f>HYPERLINK("https%3A%2F%2Fwww.webofscience.com%2Fwos%2Fwoscc%2Ffull-record%2FWOS:000267229900637","View Full Record in Web of Science")</f>
        <v>View Full Record in Web of Science</v>
      </c>
    </row>
    <row r="933" spans="1:72" x14ac:dyDescent="0.15">
      <c r="A933" t="s">
        <v>72</v>
      </c>
      <c r="B933" t="s">
        <v>16632</v>
      </c>
      <c r="C933" t="s">
        <v>74</v>
      </c>
      <c r="D933" t="s">
        <v>74</v>
      </c>
      <c r="E933" t="s">
        <v>74</v>
      </c>
      <c r="F933" t="s">
        <v>16633</v>
      </c>
      <c r="G933" t="s">
        <v>74</v>
      </c>
      <c r="H933" t="s">
        <v>74</v>
      </c>
      <c r="I933" t="s">
        <v>16634</v>
      </c>
      <c r="J933" t="s">
        <v>4061</v>
      </c>
      <c r="K933" t="s">
        <v>74</v>
      </c>
      <c r="L933" t="s">
        <v>74</v>
      </c>
      <c r="M933" t="s">
        <v>78</v>
      </c>
      <c r="N933" t="s">
        <v>52</v>
      </c>
      <c r="O933" t="s">
        <v>16593</v>
      </c>
      <c r="P933" t="s">
        <v>16594</v>
      </c>
      <c r="Q933" t="s">
        <v>16595</v>
      </c>
      <c r="R933" t="s">
        <v>74</v>
      </c>
      <c r="S933" t="s">
        <v>74</v>
      </c>
      <c r="T933" t="s">
        <v>74</v>
      </c>
      <c r="U933" t="s">
        <v>74</v>
      </c>
      <c r="V933" t="s">
        <v>74</v>
      </c>
      <c r="W933" t="s">
        <v>16635</v>
      </c>
      <c r="X933" t="s">
        <v>16636</v>
      </c>
      <c r="Y933" t="s">
        <v>74</v>
      </c>
      <c r="Z933" t="s">
        <v>16637</v>
      </c>
      <c r="AA933" t="s">
        <v>74</v>
      </c>
      <c r="AB933" t="s">
        <v>74</v>
      </c>
      <c r="AC933" t="s">
        <v>74</v>
      </c>
      <c r="AD933" t="s">
        <v>74</v>
      </c>
      <c r="AE933" t="s">
        <v>74</v>
      </c>
      <c r="AF933" t="s">
        <v>74</v>
      </c>
      <c r="AG933">
        <v>5</v>
      </c>
      <c r="AH933">
        <v>0</v>
      </c>
      <c r="AI933">
        <v>0</v>
      </c>
      <c r="AJ933">
        <v>0</v>
      </c>
      <c r="AK933">
        <v>0</v>
      </c>
      <c r="AL933" t="s">
        <v>1894</v>
      </c>
      <c r="AM933" t="s">
        <v>1895</v>
      </c>
      <c r="AN933" t="s">
        <v>1896</v>
      </c>
      <c r="AO933" t="s">
        <v>4073</v>
      </c>
      <c r="AP933" t="s">
        <v>74</v>
      </c>
      <c r="AQ933" t="s">
        <v>74</v>
      </c>
      <c r="AR933" t="s">
        <v>4075</v>
      </c>
      <c r="AS933" t="s">
        <v>4076</v>
      </c>
      <c r="AT933" t="s">
        <v>15810</v>
      </c>
      <c r="AU933">
        <v>2009</v>
      </c>
      <c r="AV933">
        <v>73</v>
      </c>
      <c r="AW933">
        <v>13</v>
      </c>
      <c r="AX933" t="s">
        <v>74</v>
      </c>
      <c r="AY933" t="s">
        <v>74</v>
      </c>
      <c r="AZ933" t="s">
        <v>74</v>
      </c>
      <c r="BA933" t="s">
        <v>74</v>
      </c>
      <c r="BB933" t="s">
        <v>16638</v>
      </c>
      <c r="BC933" t="s">
        <v>16638</v>
      </c>
      <c r="BD933" t="s">
        <v>74</v>
      </c>
      <c r="BE933" t="s">
        <v>74</v>
      </c>
      <c r="BF933" t="s">
        <v>74</v>
      </c>
      <c r="BG933" t="s">
        <v>74</v>
      </c>
      <c r="BH933" t="s">
        <v>74</v>
      </c>
      <c r="BI933">
        <v>1</v>
      </c>
      <c r="BJ933" t="s">
        <v>261</v>
      </c>
      <c r="BK933" t="s">
        <v>98</v>
      </c>
      <c r="BL933" t="s">
        <v>261</v>
      </c>
      <c r="BM933" t="s">
        <v>16600</v>
      </c>
      <c r="BN933" t="s">
        <v>74</v>
      </c>
      <c r="BO933" t="s">
        <v>74</v>
      </c>
      <c r="BP933" t="s">
        <v>74</v>
      </c>
      <c r="BQ933" t="s">
        <v>74</v>
      </c>
      <c r="BR933" t="s">
        <v>101</v>
      </c>
      <c r="BS933" t="s">
        <v>16639</v>
      </c>
      <c r="BT933" t="str">
        <f>HYPERLINK("https%3A%2F%2Fwww.webofscience.com%2Fwos%2Fwoscc%2Ffull-record%2FWOS:000267229901194","View Full Record in Web of Science")</f>
        <v>View Full Record in Web of Science</v>
      </c>
    </row>
    <row r="934" spans="1:72" x14ac:dyDescent="0.15">
      <c r="A934" t="s">
        <v>72</v>
      </c>
      <c r="B934" t="s">
        <v>16640</v>
      </c>
      <c r="C934" t="s">
        <v>74</v>
      </c>
      <c r="D934" t="s">
        <v>74</v>
      </c>
      <c r="E934" t="s">
        <v>74</v>
      </c>
      <c r="F934" t="s">
        <v>16641</v>
      </c>
      <c r="G934" t="s">
        <v>74</v>
      </c>
      <c r="H934" t="s">
        <v>74</v>
      </c>
      <c r="I934" t="s">
        <v>16642</v>
      </c>
      <c r="J934" t="s">
        <v>4061</v>
      </c>
      <c r="K934" t="s">
        <v>74</v>
      </c>
      <c r="L934" t="s">
        <v>74</v>
      </c>
      <c r="M934" t="s">
        <v>78</v>
      </c>
      <c r="N934" t="s">
        <v>52</v>
      </c>
      <c r="O934" t="s">
        <v>16593</v>
      </c>
      <c r="P934" t="s">
        <v>16594</v>
      </c>
      <c r="Q934" t="s">
        <v>16595</v>
      </c>
      <c r="R934" t="s">
        <v>74</v>
      </c>
      <c r="S934" t="s">
        <v>74</v>
      </c>
      <c r="T934" t="s">
        <v>74</v>
      </c>
      <c r="U934" t="s">
        <v>74</v>
      </c>
      <c r="V934" t="s">
        <v>74</v>
      </c>
      <c r="W934" t="s">
        <v>16643</v>
      </c>
      <c r="X934" t="s">
        <v>9529</v>
      </c>
      <c r="Y934" t="s">
        <v>74</v>
      </c>
      <c r="Z934" t="s">
        <v>16644</v>
      </c>
      <c r="AA934" t="s">
        <v>16645</v>
      </c>
      <c r="AB934" t="s">
        <v>16646</v>
      </c>
      <c r="AC934" t="s">
        <v>74</v>
      </c>
      <c r="AD934" t="s">
        <v>74</v>
      </c>
      <c r="AE934" t="s">
        <v>74</v>
      </c>
      <c r="AF934" t="s">
        <v>74</v>
      </c>
      <c r="AG934">
        <v>0</v>
      </c>
      <c r="AH934">
        <v>0</v>
      </c>
      <c r="AI934">
        <v>0</v>
      </c>
      <c r="AJ934">
        <v>0</v>
      </c>
      <c r="AK934">
        <v>3</v>
      </c>
      <c r="AL934" t="s">
        <v>1894</v>
      </c>
      <c r="AM934" t="s">
        <v>1895</v>
      </c>
      <c r="AN934" t="s">
        <v>1896</v>
      </c>
      <c r="AO934" t="s">
        <v>4073</v>
      </c>
      <c r="AP934" t="s">
        <v>4074</v>
      </c>
      <c r="AQ934" t="s">
        <v>74</v>
      </c>
      <c r="AR934" t="s">
        <v>4075</v>
      </c>
      <c r="AS934" t="s">
        <v>4076</v>
      </c>
      <c r="AT934" t="s">
        <v>15810</v>
      </c>
      <c r="AU934">
        <v>2009</v>
      </c>
      <c r="AV934">
        <v>73</v>
      </c>
      <c r="AW934">
        <v>13</v>
      </c>
      <c r="AX934" t="s">
        <v>74</v>
      </c>
      <c r="AY934" t="s">
        <v>14586</v>
      </c>
      <c r="AZ934" t="s">
        <v>74</v>
      </c>
      <c r="BA934" t="s">
        <v>74</v>
      </c>
      <c r="BB934" t="s">
        <v>16647</v>
      </c>
      <c r="BC934" t="s">
        <v>16647</v>
      </c>
      <c r="BD934" t="s">
        <v>74</v>
      </c>
      <c r="BE934" t="s">
        <v>74</v>
      </c>
      <c r="BF934" t="s">
        <v>74</v>
      </c>
      <c r="BG934" t="s">
        <v>74</v>
      </c>
      <c r="BH934" t="s">
        <v>74</v>
      </c>
      <c r="BI934">
        <v>1</v>
      </c>
      <c r="BJ934" t="s">
        <v>261</v>
      </c>
      <c r="BK934" t="s">
        <v>1986</v>
      </c>
      <c r="BL934" t="s">
        <v>261</v>
      </c>
      <c r="BM934" t="s">
        <v>16600</v>
      </c>
      <c r="BN934" t="s">
        <v>74</v>
      </c>
      <c r="BO934" t="s">
        <v>74</v>
      </c>
      <c r="BP934" t="s">
        <v>74</v>
      </c>
      <c r="BQ934" t="s">
        <v>74</v>
      </c>
      <c r="BR934" t="s">
        <v>101</v>
      </c>
      <c r="BS934" t="s">
        <v>16648</v>
      </c>
      <c r="BT934" t="str">
        <f>HYPERLINK("https%3A%2F%2Fwww.webofscience.com%2Fwos%2Fwoscc%2Ffull-record%2FWOS:000267229901366","View Full Record in Web of Science")</f>
        <v>View Full Record in Web of Science</v>
      </c>
    </row>
    <row r="935" spans="1:72" x14ac:dyDescent="0.15">
      <c r="A935" t="s">
        <v>72</v>
      </c>
      <c r="B935" t="s">
        <v>16649</v>
      </c>
      <c r="C935" t="s">
        <v>74</v>
      </c>
      <c r="D935" t="s">
        <v>74</v>
      </c>
      <c r="E935" t="s">
        <v>74</v>
      </c>
      <c r="F935" t="s">
        <v>16650</v>
      </c>
      <c r="G935" t="s">
        <v>74</v>
      </c>
      <c r="H935" t="s">
        <v>74</v>
      </c>
      <c r="I935" t="s">
        <v>16651</v>
      </c>
      <c r="J935" t="s">
        <v>4061</v>
      </c>
      <c r="K935" t="s">
        <v>74</v>
      </c>
      <c r="L935" t="s">
        <v>74</v>
      </c>
      <c r="M935" t="s">
        <v>78</v>
      </c>
      <c r="N935" t="s">
        <v>52</v>
      </c>
      <c r="O935" t="s">
        <v>16593</v>
      </c>
      <c r="P935" t="s">
        <v>16594</v>
      </c>
      <c r="Q935" t="s">
        <v>16595</v>
      </c>
      <c r="R935" t="s">
        <v>74</v>
      </c>
      <c r="S935" t="s">
        <v>74</v>
      </c>
      <c r="T935" t="s">
        <v>74</v>
      </c>
      <c r="U935" t="s">
        <v>74</v>
      </c>
      <c r="V935" t="s">
        <v>74</v>
      </c>
      <c r="W935" t="s">
        <v>16652</v>
      </c>
      <c r="X935" t="s">
        <v>16653</v>
      </c>
      <c r="Y935" t="s">
        <v>74</v>
      </c>
      <c r="Z935" t="s">
        <v>16654</v>
      </c>
      <c r="AA935" t="s">
        <v>16655</v>
      </c>
      <c r="AB935" t="s">
        <v>74</v>
      </c>
      <c r="AC935" t="s">
        <v>74</v>
      </c>
      <c r="AD935" t="s">
        <v>74</v>
      </c>
      <c r="AE935" t="s">
        <v>74</v>
      </c>
      <c r="AF935" t="s">
        <v>74</v>
      </c>
      <c r="AG935">
        <v>2</v>
      </c>
      <c r="AH935">
        <v>0</v>
      </c>
      <c r="AI935">
        <v>0</v>
      </c>
      <c r="AJ935">
        <v>0</v>
      </c>
      <c r="AK935">
        <v>2</v>
      </c>
      <c r="AL935" t="s">
        <v>1894</v>
      </c>
      <c r="AM935" t="s">
        <v>1895</v>
      </c>
      <c r="AN935" t="s">
        <v>1896</v>
      </c>
      <c r="AO935" t="s">
        <v>4073</v>
      </c>
      <c r="AP935" t="s">
        <v>74</v>
      </c>
      <c r="AQ935" t="s">
        <v>74</v>
      </c>
      <c r="AR935" t="s">
        <v>4075</v>
      </c>
      <c r="AS935" t="s">
        <v>4076</v>
      </c>
      <c r="AT935" t="s">
        <v>15810</v>
      </c>
      <c r="AU935">
        <v>2009</v>
      </c>
      <c r="AV935">
        <v>73</v>
      </c>
      <c r="AW935">
        <v>13</v>
      </c>
      <c r="AX935" t="s">
        <v>74</v>
      </c>
      <c r="AY935" t="s">
        <v>74</v>
      </c>
      <c r="AZ935" t="s">
        <v>74</v>
      </c>
      <c r="BA935" t="s">
        <v>74</v>
      </c>
      <c r="BB935" t="s">
        <v>16656</v>
      </c>
      <c r="BC935" t="s">
        <v>16656</v>
      </c>
      <c r="BD935" t="s">
        <v>74</v>
      </c>
      <c r="BE935" t="s">
        <v>74</v>
      </c>
      <c r="BF935" t="s">
        <v>74</v>
      </c>
      <c r="BG935" t="s">
        <v>74</v>
      </c>
      <c r="BH935" t="s">
        <v>74</v>
      </c>
      <c r="BI935">
        <v>1</v>
      </c>
      <c r="BJ935" t="s">
        <v>261</v>
      </c>
      <c r="BK935" t="s">
        <v>98</v>
      </c>
      <c r="BL935" t="s">
        <v>261</v>
      </c>
      <c r="BM935" t="s">
        <v>16600</v>
      </c>
      <c r="BN935" t="s">
        <v>74</v>
      </c>
      <c r="BO935" t="s">
        <v>74</v>
      </c>
      <c r="BP935" t="s">
        <v>74</v>
      </c>
      <c r="BQ935" t="s">
        <v>74</v>
      </c>
      <c r="BR935" t="s">
        <v>101</v>
      </c>
      <c r="BS935" t="s">
        <v>16657</v>
      </c>
      <c r="BT935" t="str">
        <f>HYPERLINK("https%3A%2F%2Fwww.webofscience.com%2Fwos%2Fwoscc%2Ffull-record%2FWOS:000267229901577","View Full Record in Web of Science")</f>
        <v>View Full Record in Web of Science</v>
      </c>
    </row>
    <row r="936" spans="1:72" x14ac:dyDescent="0.15">
      <c r="A936" t="s">
        <v>72</v>
      </c>
      <c r="B936" t="s">
        <v>16658</v>
      </c>
      <c r="C936" t="s">
        <v>74</v>
      </c>
      <c r="D936" t="s">
        <v>74</v>
      </c>
      <c r="E936" t="s">
        <v>74</v>
      </c>
      <c r="F936" t="s">
        <v>16659</v>
      </c>
      <c r="G936" t="s">
        <v>74</v>
      </c>
      <c r="H936" t="s">
        <v>74</v>
      </c>
      <c r="I936" t="s">
        <v>16660</v>
      </c>
      <c r="J936" t="s">
        <v>4061</v>
      </c>
      <c r="K936" t="s">
        <v>74</v>
      </c>
      <c r="L936" t="s">
        <v>74</v>
      </c>
      <c r="M936" t="s">
        <v>78</v>
      </c>
      <c r="N936" t="s">
        <v>52</v>
      </c>
      <c r="O936" t="s">
        <v>16593</v>
      </c>
      <c r="P936" t="s">
        <v>16594</v>
      </c>
      <c r="Q936" t="s">
        <v>16595</v>
      </c>
      <c r="R936" t="s">
        <v>74</v>
      </c>
      <c r="S936" t="s">
        <v>74</v>
      </c>
      <c r="T936" t="s">
        <v>74</v>
      </c>
      <c r="U936" t="s">
        <v>74</v>
      </c>
      <c r="V936" t="s">
        <v>74</v>
      </c>
      <c r="W936" t="s">
        <v>16661</v>
      </c>
      <c r="X936" t="s">
        <v>16662</v>
      </c>
      <c r="Y936" t="s">
        <v>74</v>
      </c>
      <c r="Z936" t="s">
        <v>16663</v>
      </c>
      <c r="AA936" t="s">
        <v>16664</v>
      </c>
      <c r="AB936" t="s">
        <v>74</v>
      </c>
      <c r="AC936" t="s">
        <v>74</v>
      </c>
      <c r="AD936" t="s">
        <v>74</v>
      </c>
      <c r="AE936" t="s">
        <v>74</v>
      </c>
      <c r="AF936" t="s">
        <v>74</v>
      </c>
      <c r="AG936">
        <v>4</v>
      </c>
      <c r="AH936">
        <v>0</v>
      </c>
      <c r="AI936">
        <v>0</v>
      </c>
      <c r="AJ936">
        <v>0</v>
      </c>
      <c r="AK936">
        <v>6</v>
      </c>
      <c r="AL936" t="s">
        <v>1894</v>
      </c>
      <c r="AM936" t="s">
        <v>1895</v>
      </c>
      <c r="AN936" t="s">
        <v>1896</v>
      </c>
      <c r="AO936" t="s">
        <v>4073</v>
      </c>
      <c r="AP936" t="s">
        <v>74</v>
      </c>
      <c r="AQ936" t="s">
        <v>74</v>
      </c>
      <c r="AR936" t="s">
        <v>4075</v>
      </c>
      <c r="AS936" t="s">
        <v>4076</v>
      </c>
      <c r="AT936" t="s">
        <v>15810</v>
      </c>
      <c r="AU936">
        <v>2009</v>
      </c>
      <c r="AV936">
        <v>73</v>
      </c>
      <c r="AW936">
        <v>13</v>
      </c>
      <c r="AX936" t="s">
        <v>74</v>
      </c>
      <c r="AY936" t="s">
        <v>14586</v>
      </c>
      <c r="AZ936" t="s">
        <v>74</v>
      </c>
      <c r="BA936" t="s">
        <v>74</v>
      </c>
      <c r="BB936" t="s">
        <v>16665</v>
      </c>
      <c r="BC936" t="s">
        <v>16665</v>
      </c>
      <c r="BD936" t="s">
        <v>74</v>
      </c>
      <c r="BE936" t="s">
        <v>74</v>
      </c>
      <c r="BF936" t="s">
        <v>74</v>
      </c>
      <c r="BG936" t="s">
        <v>74</v>
      </c>
      <c r="BH936" t="s">
        <v>74</v>
      </c>
      <c r="BI936">
        <v>1</v>
      </c>
      <c r="BJ936" t="s">
        <v>261</v>
      </c>
      <c r="BK936" t="s">
        <v>1986</v>
      </c>
      <c r="BL936" t="s">
        <v>261</v>
      </c>
      <c r="BM936" t="s">
        <v>16600</v>
      </c>
      <c r="BN936" t="s">
        <v>74</v>
      </c>
      <c r="BO936" t="s">
        <v>74</v>
      </c>
      <c r="BP936" t="s">
        <v>74</v>
      </c>
      <c r="BQ936" t="s">
        <v>74</v>
      </c>
      <c r="BR936" t="s">
        <v>101</v>
      </c>
      <c r="BS936" t="s">
        <v>16666</v>
      </c>
      <c r="BT936" t="str">
        <f>HYPERLINK("https%3A%2F%2Fwww.webofscience.com%2Fwos%2Fwoscc%2Ffull-record%2FWOS:000267229902054","View Full Record in Web of Science")</f>
        <v>View Full Record in Web of Science</v>
      </c>
    </row>
    <row r="937" spans="1:72" x14ac:dyDescent="0.15">
      <c r="A937" t="s">
        <v>72</v>
      </c>
      <c r="B937" t="s">
        <v>16667</v>
      </c>
      <c r="C937" t="s">
        <v>74</v>
      </c>
      <c r="D937" t="s">
        <v>74</v>
      </c>
      <c r="E937" t="s">
        <v>74</v>
      </c>
      <c r="F937" t="s">
        <v>16668</v>
      </c>
      <c r="G937" t="s">
        <v>74</v>
      </c>
      <c r="H937" t="s">
        <v>74</v>
      </c>
      <c r="I937" t="s">
        <v>16669</v>
      </c>
      <c r="J937" t="s">
        <v>4061</v>
      </c>
      <c r="K937" t="s">
        <v>74</v>
      </c>
      <c r="L937" t="s">
        <v>74</v>
      </c>
      <c r="M937" t="s">
        <v>78</v>
      </c>
      <c r="N937" t="s">
        <v>52</v>
      </c>
      <c r="O937" t="s">
        <v>16593</v>
      </c>
      <c r="P937" t="s">
        <v>16594</v>
      </c>
      <c r="Q937" t="s">
        <v>16595</v>
      </c>
      <c r="R937" t="s">
        <v>74</v>
      </c>
      <c r="S937" t="s">
        <v>74</v>
      </c>
      <c r="T937" t="s">
        <v>74</v>
      </c>
      <c r="U937" t="s">
        <v>16670</v>
      </c>
      <c r="V937" t="s">
        <v>74</v>
      </c>
      <c r="W937" t="s">
        <v>16671</v>
      </c>
      <c r="X937" t="s">
        <v>7536</v>
      </c>
      <c r="Y937" t="s">
        <v>74</v>
      </c>
      <c r="Z937" t="s">
        <v>16672</v>
      </c>
      <c r="AA937" t="s">
        <v>16673</v>
      </c>
      <c r="AB937" t="s">
        <v>16674</v>
      </c>
      <c r="AC937" t="s">
        <v>74</v>
      </c>
      <c r="AD937" t="s">
        <v>74</v>
      </c>
      <c r="AE937" t="s">
        <v>74</v>
      </c>
      <c r="AF937" t="s">
        <v>74</v>
      </c>
      <c r="AG937">
        <v>3</v>
      </c>
      <c r="AH937">
        <v>1</v>
      </c>
      <c r="AI937">
        <v>1</v>
      </c>
      <c r="AJ937">
        <v>0</v>
      </c>
      <c r="AK937">
        <v>0</v>
      </c>
      <c r="AL937" t="s">
        <v>1894</v>
      </c>
      <c r="AM937" t="s">
        <v>1895</v>
      </c>
      <c r="AN937" t="s">
        <v>1896</v>
      </c>
      <c r="AO937" t="s">
        <v>4073</v>
      </c>
      <c r="AP937" t="s">
        <v>74</v>
      </c>
      <c r="AQ937" t="s">
        <v>74</v>
      </c>
      <c r="AR937" t="s">
        <v>4075</v>
      </c>
      <c r="AS937" t="s">
        <v>4076</v>
      </c>
      <c r="AT937" t="s">
        <v>15810</v>
      </c>
      <c r="AU937">
        <v>2009</v>
      </c>
      <c r="AV937">
        <v>73</v>
      </c>
      <c r="AW937">
        <v>13</v>
      </c>
      <c r="AX937" t="s">
        <v>74</v>
      </c>
      <c r="AY937" t="s">
        <v>74</v>
      </c>
      <c r="AZ937" t="s">
        <v>74</v>
      </c>
      <c r="BA937" t="s">
        <v>74</v>
      </c>
      <c r="BB937" t="s">
        <v>16675</v>
      </c>
      <c r="BC937" t="s">
        <v>16675</v>
      </c>
      <c r="BD937" t="s">
        <v>74</v>
      </c>
      <c r="BE937" t="s">
        <v>74</v>
      </c>
      <c r="BF937" t="s">
        <v>74</v>
      </c>
      <c r="BG937" t="s">
        <v>74</v>
      </c>
      <c r="BH937" t="s">
        <v>74</v>
      </c>
      <c r="BI937">
        <v>1</v>
      </c>
      <c r="BJ937" t="s">
        <v>261</v>
      </c>
      <c r="BK937" t="s">
        <v>98</v>
      </c>
      <c r="BL937" t="s">
        <v>261</v>
      </c>
      <c r="BM937" t="s">
        <v>16600</v>
      </c>
      <c r="BN937" t="s">
        <v>74</v>
      </c>
      <c r="BO937" t="s">
        <v>74</v>
      </c>
      <c r="BP937" t="s">
        <v>74</v>
      </c>
      <c r="BQ937" t="s">
        <v>74</v>
      </c>
      <c r="BR937" t="s">
        <v>101</v>
      </c>
      <c r="BS937" t="s">
        <v>16676</v>
      </c>
      <c r="BT937" t="str">
        <f>HYPERLINK("https%3A%2F%2Fwww.webofscience.com%2Fwos%2Fwoscc%2Ffull-record%2FWOS:000267229902134","View Full Record in Web of Science")</f>
        <v>View Full Record in Web of Science</v>
      </c>
    </row>
    <row r="938" spans="1:72" x14ac:dyDescent="0.15">
      <c r="A938" t="s">
        <v>72</v>
      </c>
      <c r="B938" t="s">
        <v>16677</v>
      </c>
      <c r="C938" t="s">
        <v>74</v>
      </c>
      <c r="D938" t="s">
        <v>74</v>
      </c>
      <c r="E938" t="s">
        <v>74</v>
      </c>
      <c r="F938" t="s">
        <v>16678</v>
      </c>
      <c r="G938" t="s">
        <v>74</v>
      </c>
      <c r="H938" t="s">
        <v>74</v>
      </c>
      <c r="I938" t="s">
        <v>16679</v>
      </c>
      <c r="J938" t="s">
        <v>4061</v>
      </c>
      <c r="K938" t="s">
        <v>74</v>
      </c>
      <c r="L938" t="s">
        <v>74</v>
      </c>
      <c r="M938" t="s">
        <v>78</v>
      </c>
      <c r="N938" t="s">
        <v>52</v>
      </c>
      <c r="O938" t="s">
        <v>16593</v>
      </c>
      <c r="P938" t="s">
        <v>16594</v>
      </c>
      <c r="Q938" t="s">
        <v>16595</v>
      </c>
      <c r="R938" t="s">
        <v>74</v>
      </c>
      <c r="S938" t="s">
        <v>74</v>
      </c>
      <c r="T938" t="s">
        <v>74</v>
      </c>
      <c r="U938" t="s">
        <v>16680</v>
      </c>
      <c r="V938" t="s">
        <v>74</v>
      </c>
      <c r="W938" t="s">
        <v>16681</v>
      </c>
      <c r="X938" t="s">
        <v>16682</v>
      </c>
      <c r="Y938" t="s">
        <v>74</v>
      </c>
      <c r="Z938" t="s">
        <v>16683</v>
      </c>
      <c r="AA938" t="s">
        <v>16684</v>
      </c>
      <c r="AB938" t="s">
        <v>16685</v>
      </c>
      <c r="AC938" t="s">
        <v>74</v>
      </c>
      <c r="AD938" t="s">
        <v>74</v>
      </c>
      <c r="AE938" t="s">
        <v>74</v>
      </c>
      <c r="AF938" t="s">
        <v>74</v>
      </c>
      <c r="AG938">
        <v>6</v>
      </c>
      <c r="AH938">
        <v>0</v>
      </c>
      <c r="AI938">
        <v>0</v>
      </c>
      <c r="AJ938">
        <v>0</v>
      </c>
      <c r="AK938">
        <v>7</v>
      </c>
      <c r="AL938" t="s">
        <v>1894</v>
      </c>
      <c r="AM938" t="s">
        <v>1895</v>
      </c>
      <c r="AN938" t="s">
        <v>1896</v>
      </c>
      <c r="AO938" t="s">
        <v>4073</v>
      </c>
      <c r="AP938" t="s">
        <v>4074</v>
      </c>
      <c r="AQ938" t="s">
        <v>74</v>
      </c>
      <c r="AR938" t="s">
        <v>4075</v>
      </c>
      <c r="AS938" t="s">
        <v>4076</v>
      </c>
      <c r="AT938" t="s">
        <v>15810</v>
      </c>
      <c r="AU938">
        <v>2009</v>
      </c>
      <c r="AV938">
        <v>73</v>
      </c>
      <c r="AW938">
        <v>13</v>
      </c>
      <c r="AX938" t="s">
        <v>74</v>
      </c>
      <c r="AY938" t="s">
        <v>14586</v>
      </c>
      <c r="AZ938" t="s">
        <v>74</v>
      </c>
      <c r="BA938" t="s">
        <v>74</v>
      </c>
      <c r="BB938" t="s">
        <v>16686</v>
      </c>
      <c r="BC938" t="s">
        <v>16686</v>
      </c>
      <c r="BD938" t="s">
        <v>74</v>
      </c>
      <c r="BE938" t="s">
        <v>74</v>
      </c>
      <c r="BF938" t="s">
        <v>74</v>
      </c>
      <c r="BG938" t="s">
        <v>74</v>
      </c>
      <c r="BH938" t="s">
        <v>74</v>
      </c>
      <c r="BI938">
        <v>1</v>
      </c>
      <c r="BJ938" t="s">
        <v>261</v>
      </c>
      <c r="BK938" t="s">
        <v>1986</v>
      </c>
      <c r="BL938" t="s">
        <v>261</v>
      </c>
      <c r="BM938" t="s">
        <v>16600</v>
      </c>
      <c r="BN938" t="s">
        <v>74</v>
      </c>
      <c r="BO938" t="s">
        <v>74</v>
      </c>
      <c r="BP938" t="s">
        <v>74</v>
      </c>
      <c r="BQ938" t="s">
        <v>74</v>
      </c>
      <c r="BR938" t="s">
        <v>101</v>
      </c>
      <c r="BS938" t="s">
        <v>16687</v>
      </c>
      <c r="BT938" t="str">
        <f>HYPERLINK("https%3A%2F%2Fwww.webofscience.com%2Fwos%2Fwoscc%2Ffull-record%2FWOS:000267229902150","View Full Record in Web of Science")</f>
        <v>View Full Record in Web of Science</v>
      </c>
    </row>
    <row r="939" spans="1:72" x14ac:dyDescent="0.15">
      <c r="A939" t="s">
        <v>72</v>
      </c>
      <c r="B939" t="s">
        <v>16688</v>
      </c>
      <c r="C939" t="s">
        <v>74</v>
      </c>
      <c r="D939" t="s">
        <v>74</v>
      </c>
      <c r="E939" t="s">
        <v>74</v>
      </c>
      <c r="F939" t="s">
        <v>16689</v>
      </c>
      <c r="G939" t="s">
        <v>74</v>
      </c>
      <c r="H939" t="s">
        <v>74</v>
      </c>
      <c r="I939" t="s">
        <v>16690</v>
      </c>
      <c r="J939" t="s">
        <v>4061</v>
      </c>
      <c r="K939" t="s">
        <v>74</v>
      </c>
      <c r="L939" t="s">
        <v>74</v>
      </c>
      <c r="M939" t="s">
        <v>78</v>
      </c>
      <c r="N939" t="s">
        <v>52</v>
      </c>
      <c r="O939" t="s">
        <v>16593</v>
      </c>
      <c r="P939" t="s">
        <v>16594</v>
      </c>
      <c r="Q939" t="s">
        <v>16595</v>
      </c>
      <c r="R939" t="s">
        <v>74</v>
      </c>
      <c r="S939" t="s">
        <v>74</v>
      </c>
      <c r="T939" t="s">
        <v>74</v>
      </c>
      <c r="U939" t="s">
        <v>74</v>
      </c>
      <c r="V939" t="s">
        <v>74</v>
      </c>
      <c r="W939" t="s">
        <v>16691</v>
      </c>
      <c r="X939" t="s">
        <v>16692</v>
      </c>
      <c r="Y939" t="s">
        <v>74</v>
      </c>
      <c r="Z939" t="s">
        <v>16693</v>
      </c>
      <c r="AA939" t="s">
        <v>16694</v>
      </c>
      <c r="AB939" t="s">
        <v>16695</v>
      </c>
      <c r="AC939" t="s">
        <v>74</v>
      </c>
      <c r="AD939" t="s">
        <v>74</v>
      </c>
      <c r="AE939" t="s">
        <v>74</v>
      </c>
      <c r="AF939" t="s">
        <v>74</v>
      </c>
      <c r="AG939">
        <v>0</v>
      </c>
      <c r="AH939">
        <v>0</v>
      </c>
      <c r="AI939">
        <v>0</v>
      </c>
      <c r="AJ939">
        <v>0</v>
      </c>
      <c r="AK939">
        <v>7</v>
      </c>
      <c r="AL939" t="s">
        <v>1894</v>
      </c>
      <c r="AM939" t="s">
        <v>1895</v>
      </c>
      <c r="AN939" t="s">
        <v>1896</v>
      </c>
      <c r="AO939" t="s">
        <v>4073</v>
      </c>
      <c r="AP939" t="s">
        <v>74</v>
      </c>
      <c r="AQ939" t="s">
        <v>74</v>
      </c>
      <c r="AR939" t="s">
        <v>4075</v>
      </c>
      <c r="AS939" t="s">
        <v>4076</v>
      </c>
      <c r="AT939" t="s">
        <v>15810</v>
      </c>
      <c r="AU939">
        <v>2009</v>
      </c>
      <c r="AV939">
        <v>73</v>
      </c>
      <c r="AW939">
        <v>13</v>
      </c>
      <c r="AX939" t="s">
        <v>74</v>
      </c>
      <c r="AY939" t="s">
        <v>74</v>
      </c>
      <c r="AZ939" t="s">
        <v>74</v>
      </c>
      <c r="BA939" t="s">
        <v>74</v>
      </c>
      <c r="BB939" t="s">
        <v>16696</v>
      </c>
      <c r="BC939" t="s">
        <v>16696</v>
      </c>
      <c r="BD939" t="s">
        <v>74</v>
      </c>
      <c r="BE939" t="s">
        <v>74</v>
      </c>
      <c r="BF939" t="s">
        <v>74</v>
      </c>
      <c r="BG939" t="s">
        <v>74</v>
      </c>
      <c r="BH939" t="s">
        <v>74</v>
      </c>
      <c r="BI939">
        <v>1</v>
      </c>
      <c r="BJ939" t="s">
        <v>261</v>
      </c>
      <c r="BK939" t="s">
        <v>98</v>
      </c>
      <c r="BL939" t="s">
        <v>261</v>
      </c>
      <c r="BM939" t="s">
        <v>16600</v>
      </c>
      <c r="BN939" t="s">
        <v>74</v>
      </c>
      <c r="BO939" t="s">
        <v>74</v>
      </c>
      <c r="BP939" t="s">
        <v>74</v>
      </c>
      <c r="BQ939" t="s">
        <v>74</v>
      </c>
      <c r="BR939" t="s">
        <v>101</v>
      </c>
      <c r="BS939" t="s">
        <v>16697</v>
      </c>
      <c r="BT939" t="str">
        <f>HYPERLINK("https%3A%2F%2Fwww.webofscience.com%2Fwos%2Fwoscc%2Ffull-record%2FWOS:000267229902169","View Full Record in Web of Science")</f>
        <v>View Full Record in Web of Science</v>
      </c>
    </row>
    <row r="940" spans="1:72" x14ac:dyDescent="0.15">
      <c r="A940" t="s">
        <v>72</v>
      </c>
      <c r="B940" t="s">
        <v>16698</v>
      </c>
      <c r="C940" t="s">
        <v>74</v>
      </c>
      <c r="D940" t="s">
        <v>74</v>
      </c>
      <c r="E940" t="s">
        <v>74</v>
      </c>
      <c r="F940" t="s">
        <v>16699</v>
      </c>
      <c r="G940" t="s">
        <v>74</v>
      </c>
      <c r="H940" t="s">
        <v>74</v>
      </c>
      <c r="I940" t="s">
        <v>16700</v>
      </c>
      <c r="J940" t="s">
        <v>4061</v>
      </c>
      <c r="K940" t="s">
        <v>74</v>
      </c>
      <c r="L940" t="s">
        <v>74</v>
      </c>
      <c r="M940" t="s">
        <v>78</v>
      </c>
      <c r="N940" t="s">
        <v>52</v>
      </c>
      <c r="O940" t="s">
        <v>16593</v>
      </c>
      <c r="P940" t="s">
        <v>16594</v>
      </c>
      <c r="Q940" t="s">
        <v>16595</v>
      </c>
      <c r="R940" t="s">
        <v>74</v>
      </c>
      <c r="S940" t="s">
        <v>74</v>
      </c>
      <c r="T940" t="s">
        <v>74</v>
      </c>
      <c r="U940" t="s">
        <v>16701</v>
      </c>
      <c r="V940" t="s">
        <v>74</v>
      </c>
      <c r="W940" t="s">
        <v>16702</v>
      </c>
      <c r="X940" t="s">
        <v>16703</v>
      </c>
      <c r="Y940" t="s">
        <v>74</v>
      </c>
      <c r="Z940" t="s">
        <v>16704</v>
      </c>
      <c r="AA940" t="s">
        <v>16705</v>
      </c>
      <c r="AB940" t="s">
        <v>16706</v>
      </c>
      <c r="AC940" t="s">
        <v>74</v>
      </c>
      <c r="AD940" t="s">
        <v>74</v>
      </c>
      <c r="AE940" t="s">
        <v>74</v>
      </c>
      <c r="AF940" t="s">
        <v>74</v>
      </c>
      <c r="AG940">
        <v>9</v>
      </c>
      <c r="AH940">
        <v>0</v>
      </c>
      <c r="AI940">
        <v>0</v>
      </c>
      <c r="AJ940">
        <v>0</v>
      </c>
      <c r="AK940">
        <v>2</v>
      </c>
      <c r="AL940" t="s">
        <v>1894</v>
      </c>
      <c r="AM940" t="s">
        <v>1895</v>
      </c>
      <c r="AN940" t="s">
        <v>1896</v>
      </c>
      <c r="AO940" t="s">
        <v>4073</v>
      </c>
      <c r="AP940" t="s">
        <v>4074</v>
      </c>
      <c r="AQ940" t="s">
        <v>74</v>
      </c>
      <c r="AR940" t="s">
        <v>4075</v>
      </c>
      <c r="AS940" t="s">
        <v>4076</v>
      </c>
      <c r="AT940" t="s">
        <v>15810</v>
      </c>
      <c r="AU940">
        <v>2009</v>
      </c>
      <c r="AV940">
        <v>73</v>
      </c>
      <c r="AW940">
        <v>13</v>
      </c>
      <c r="AX940" t="s">
        <v>74</v>
      </c>
      <c r="AY940" t="s">
        <v>14586</v>
      </c>
      <c r="AZ940" t="s">
        <v>74</v>
      </c>
      <c r="BA940" t="s">
        <v>74</v>
      </c>
      <c r="BB940" t="s">
        <v>16707</v>
      </c>
      <c r="BC940" t="s">
        <v>16707</v>
      </c>
      <c r="BD940" t="s">
        <v>74</v>
      </c>
      <c r="BE940" t="s">
        <v>74</v>
      </c>
      <c r="BF940" t="s">
        <v>74</v>
      </c>
      <c r="BG940" t="s">
        <v>74</v>
      </c>
      <c r="BH940" t="s">
        <v>74</v>
      </c>
      <c r="BI940">
        <v>1</v>
      </c>
      <c r="BJ940" t="s">
        <v>261</v>
      </c>
      <c r="BK940" t="s">
        <v>1986</v>
      </c>
      <c r="BL940" t="s">
        <v>261</v>
      </c>
      <c r="BM940" t="s">
        <v>16600</v>
      </c>
      <c r="BN940" t="s">
        <v>74</v>
      </c>
      <c r="BO940" t="s">
        <v>74</v>
      </c>
      <c r="BP940" t="s">
        <v>74</v>
      </c>
      <c r="BQ940" t="s">
        <v>74</v>
      </c>
      <c r="BR940" t="s">
        <v>101</v>
      </c>
      <c r="BS940" t="s">
        <v>16708</v>
      </c>
      <c r="BT940" t="str">
        <f>HYPERLINK("https%3A%2F%2Fwww.webofscience.com%2Fwos%2Fwoscc%2Ffull-record%2FWOS:000267229902222","View Full Record in Web of Science")</f>
        <v>View Full Record in Web of Science</v>
      </c>
    </row>
    <row r="941" spans="1:72" x14ac:dyDescent="0.15">
      <c r="A941" t="s">
        <v>72</v>
      </c>
      <c r="B941" t="s">
        <v>16709</v>
      </c>
      <c r="C941" t="s">
        <v>74</v>
      </c>
      <c r="D941" t="s">
        <v>74</v>
      </c>
      <c r="E941" t="s">
        <v>74</v>
      </c>
      <c r="F941" t="s">
        <v>16710</v>
      </c>
      <c r="G941" t="s">
        <v>74</v>
      </c>
      <c r="H941" t="s">
        <v>74</v>
      </c>
      <c r="I941" t="s">
        <v>16711</v>
      </c>
      <c r="J941" t="s">
        <v>4061</v>
      </c>
      <c r="K941" t="s">
        <v>74</v>
      </c>
      <c r="L941" t="s">
        <v>74</v>
      </c>
      <c r="M941" t="s">
        <v>78</v>
      </c>
      <c r="N941" t="s">
        <v>52</v>
      </c>
      <c r="O941" t="s">
        <v>16593</v>
      </c>
      <c r="P941" t="s">
        <v>16594</v>
      </c>
      <c r="Q941" t="s">
        <v>16595</v>
      </c>
      <c r="R941" t="s">
        <v>74</v>
      </c>
      <c r="S941" t="s">
        <v>74</v>
      </c>
      <c r="T941" t="s">
        <v>74</v>
      </c>
      <c r="U941" t="s">
        <v>74</v>
      </c>
      <c r="V941" t="s">
        <v>74</v>
      </c>
      <c r="W941" t="s">
        <v>16712</v>
      </c>
      <c r="X941" t="s">
        <v>16713</v>
      </c>
      <c r="Y941" t="s">
        <v>74</v>
      </c>
      <c r="Z941" t="s">
        <v>16714</v>
      </c>
      <c r="AA941" t="s">
        <v>74</v>
      </c>
      <c r="AB941" t="s">
        <v>74</v>
      </c>
      <c r="AC941" t="s">
        <v>74</v>
      </c>
      <c r="AD941" t="s">
        <v>74</v>
      </c>
      <c r="AE941" t="s">
        <v>74</v>
      </c>
      <c r="AF941" t="s">
        <v>74</v>
      </c>
      <c r="AG941">
        <v>0</v>
      </c>
      <c r="AH941">
        <v>3</v>
      </c>
      <c r="AI941">
        <v>4</v>
      </c>
      <c r="AJ941">
        <v>0</v>
      </c>
      <c r="AK941">
        <v>2</v>
      </c>
      <c r="AL941" t="s">
        <v>1894</v>
      </c>
      <c r="AM941" t="s">
        <v>1895</v>
      </c>
      <c r="AN941" t="s">
        <v>1896</v>
      </c>
      <c r="AO941" t="s">
        <v>4073</v>
      </c>
      <c r="AP941" t="s">
        <v>74</v>
      </c>
      <c r="AQ941" t="s">
        <v>74</v>
      </c>
      <c r="AR941" t="s">
        <v>4075</v>
      </c>
      <c r="AS941" t="s">
        <v>4076</v>
      </c>
      <c r="AT941" t="s">
        <v>15810</v>
      </c>
      <c r="AU941">
        <v>2009</v>
      </c>
      <c r="AV941">
        <v>73</v>
      </c>
      <c r="AW941">
        <v>13</v>
      </c>
      <c r="AX941" t="s">
        <v>74</v>
      </c>
      <c r="AY941" t="s">
        <v>74</v>
      </c>
      <c r="AZ941" t="s">
        <v>74</v>
      </c>
      <c r="BA941" t="s">
        <v>74</v>
      </c>
      <c r="BB941" t="s">
        <v>16715</v>
      </c>
      <c r="BC941" t="s">
        <v>16715</v>
      </c>
      <c r="BD941" t="s">
        <v>74</v>
      </c>
      <c r="BE941" t="s">
        <v>74</v>
      </c>
      <c r="BF941" t="s">
        <v>74</v>
      </c>
      <c r="BG941" t="s">
        <v>74</v>
      </c>
      <c r="BH941" t="s">
        <v>74</v>
      </c>
      <c r="BI941">
        <v>1</v>
      </c>
      <c r="BJ941" t="s">
        <v>261</v>
      </c>
      <c r="BK941" t="s">
        <v>98</v>
      </c>
      <c r="BL941" t="s">
        <v>261</v>
      </c>
      <c r="BM941" t="s">
        <v>16600</v>
      </c>
      <c r="BN941" t="s">
        <v>74</v>
      </c>
      <c r="BO941" t="s">
        <v>74</v>
      </c>
      <c r="BP941" t="s">
        <v>74</v>
      </c>
      <c r="BQ941" t="s">
        <v>74</v>
      </c>
      <c r="BR941" t="s">
        <v>101</v>
      </c>
      <c r="BS941" t="s">
        <v>16716</v>
      </c>
      <c r="BT941" t="str">
        <f>HYPERLINK("https%3A%2F%2Fwww.webofscience.com%2Fwos%2Fwoscc%2Ffull-record%2FWOS:000267229902254","View Full Record in Web of Science")</f>
        <v>View Full Record in Web of Science</v>
      </c>
    </row>
    <row r="942" spans="1:72" x14ac:dyDescent="0.15">
      <c r="A942" t="s">
        <v>72</v>
      </c>
      <c r="B942" t="s">
        <v>16717</v>
      </c>
      <c r="C942" t="s">
        <v>74</v>
      </c>
      <c r="D942" t="s">
        <v>74</v>
      </c>
      <c r="E942" t="s">
        <v>74</v>
      </c>
      <c r="F942" t="s">
        <v>16718</v>
      </c>
      <c r="G942" t="s">
        <v>74</v>
      </c>
      <c r="H942" t="s">
        <v>74</v>
      </c>
      <c r="I942" t="s">
        <v>16719</v>
      </c>
      <c r="J942" t="s">
        <v>4061</v>
      </c>
      <c r="K942" t="s">
        <v>74</v>
      </c>
      <c r="L942" t="s">
        <v>74</v>
      </c>
      <c r="M942" t="s">
        <v>78</v>
      </c>
      <c r="N942" t="s">
        <v>52</v>
      </c>
      <c r="O942" t="s">
        <v>16593</v>
      </c>
      <c r="P942" t="s">
        <v>16594</v>
      </c>
      <c r="Q942" t="s">
        <v>16595</v>
      </c>
      <c r="R942" t="s">
        <v>74</v>
      </c>
      <c r="S942" t="s">
        <v>74</v>
      </c>
      <c r="T942" t="s">
        <v>74</v>
      </c>
      <c r="U942" t="s">
        <v>74</v>
      </c>
      <c r="V942" t="s">
        <v>74</v>
      </c>
      <c r="W942" t="s">
        <v>16720</v>
      </c>
      <c r="X942" t="s">
        <v>16721</v>
      </c>
      <c r="Y942" t="s">
        <v>74</v>
      </c>
      <c r="Z942" t="s">
        <v>74</v>
      </c>
      <c r="AA942" t="s">
        <v>16722</v>
      </c>
      <c r="AB942" t="s">
        <v>74</v>
      </c>
      <c r="AC942" t="s">
        <v>74</v>
      </c>
      <c r="AD942" t="s">
        <v>74</v>
      </c>
      <c r="AE942" t="s">
        <v>74</v>
      </c>
      <c r="AF942" t="s">
        <v>74</v>
      </c>
      <c r="AG942">
        <v>5</v>
      </c>
      <c r="AH942">
        <v>0</v>
      </c>
      <c r="AI942">
        <v>0</v>
      </c>
      <c r="AJ942">
        <v>0</v>
      </c>
      <c r="AK942">
        <v>2</v>
      </c>
      <c r="AL942" t="s">
        <v>1894</v>
      </c>
      <c r="AM942" t="s">
        <v>1895</v>
      </c>
      <c r="AN942" t="s">
        <v>1896</v>
      </c>
      <c r="AO942" t="s">
        <v>4073</v>
      </c>
      <c r="AP942" t="s">
        <v>74</v>
      </c>
      <c r="AQ942" t="s">
        <v>74</v>
      </c>
      <c r="AR942" t="s">
        <v>4075</v>
      </c>
      <c r="AS942" t="s">
        <v>4076</v>
      </c>
      <c r="AT942" t="s">
        <v>15810</v>
      </c>
      <c r="AU942">
        <v>2009</v>
      </c>
      <c r="AV942">
        <v>73</v>
      </c>
      <c r="AW942">
        <v>13</v>
      </c>
      <c r="AX942" t="s">
        <v>74</v>
      </c>
      <c r="AY942" t="s">
        <v>74</v>
      </c>
      <c r="AZ942" t="s">
        <v>74</v>
      </c>
      <c r="BA942" t="s">
        <v>74</v>
      </c>
      <c r="BB942" t="s">
        <v>16723</v>
      </c>
      <c r="BC942" t="s">
        <v>16723</v>
      </c>
      <c r="BD942" t="s">
        <v>74</v>
      </c>
      <c r="BE942" t="s">
        <v>74</v>
      </c>
      <c r="BF942" t="s">
        <v>74</v>
      </c>
      <c r="BG942" t="s">
        <v>74</v>
      </c>
      <c r="BH942" t="s">
        <v>74</v>
      </c>
      <c r="BI942">
        <v>1</v>
      </c>
      <c r="BJ942" t="s">
        <v>261</v>
      </c>
      <c r="BK942" t="s">
        <v>98</v>
      </c>
      <c r="BL942" t="s">
        <v>261</v>
      </c>
      <c r="BM942" t="s">
        <v>16600</v>
      </c>
      <c r="BN942" t="s">
        <v>74</v>
      </c>
      <c r="BO942" t="s">
        <v>74</v>
      </c>
      <c r="BP942" t="s">
        <v>74</v>
      </c>
      <c r="BQ942" t="s">
        <v>74</v>
      </c>
      <c r="BR942" t="s">
        <v>101</v>
      </c>
      <c r="BS942" t="s">
        <v>16724</v>
      </c>
      <c r="BT942" t="str">
        <f>HYPERLINK("https%3A%2F%2Fwww.webofscience.com%2Fwos%2Fwoscc%2Ffull-record%2FWOS:000267229902343","View Full Record in Web of Science")</f>
        <v>View Full Record in Web of Science</v>
      </c>
    </row>
    <row r="943" spans="1:72" x14ac:dyDescent="0.15">
      <c r="A943" t="s">
        <v>72</v>
      </c>
      <c r="B943" t="s">
        <v>16725</v>
      </c>
      <c r="C943" t="s">
        <v>74</v>
      </c>
      <c r="D943" t="s">
        <v>74</v>
      </c>
      <c r="E943" t="s">
        <v>74</v>
      </c>
      <c r="F943" t="s">
        <v>16726</v>
      </c>
      <c r="G943" t="s">
        <v>74</v>
      </c>
      <c r="H943" t="s">
        <v>74</v>
      </c>
      <c r="I943" t="s">
        <v>16727</v>
      </c>
      <c r="J943" t="s">
        <v>4061</v>
      </c>
      <c r="K943" t="s">
        <v>74</v>
      </c>
      <c r="L943" t="s">
        <v>74</v>
      </c>
      <c r="M943" t="s">
        <v>78</v>
      </c>
      <c r="N943" t="s">
        <v>52</v>
      </c>
      <c r="O943" t="s">
        <v>16593</v>
      </c>
      <c r="P943" t="s">
        <v>16594</v>
      </c>
      <c r="Q943" t="s">
        <v>16595</v>
      </c>
      <c r="R943" t="s">
        <v>74</v>
      </c>
      <c r="S943" t="s">
        <v>74</v>
      </c>
      <c r="T943" t="s">
        <v>74</v>
      </c>
      <c r="U943" t="s">
        <v>74</v>
      </c>
      <c r="V943" t="s">
        <v>74</v>
      </c>
      <c r="W943" t="s">
        <v>16728</v>
      </c>
      <c r="X943" t="s">
        <v>374</v>
      </c>
      <c r="Y943" t="s">
        <v>74</v>
      </c>
      <c r="Z943" t="s">
        <v>6378</v>
      </c>
      <c r="AA943" t="s">
        <v>74</v>
      </c>
      <c r="AB943" t="s">
        <v>74</v>
      </c>
      <c r="AC943" t="s">
        <v>74</v>
      </c>
      <c r="AD943" t="s">
        <v>74</v>
      </c>
      <c r="AE943" t="s">
        <v>74</v>
      </c>
      <c r="AF943" t="s">
        <v>74</v>
      </c>
      <c r="AG943">
        <v>1</v>
      </c>
      <c r="AH943">
        <v>0</v>
      </c>
      <c r="AI943">
        <v>0</v>
      </c>
      <c r="AJ943">
        <v>0</v>
      </c>
      <c r="AK943">
        <v>1</v>
      </c>
      <c r="AL943" t="s">
        <v>1894</v>
      </c>
      <c r="AM943" t="s">
        <v>1895</v>
      </c>
      <c r="AN943" t="s">
        <v>1896</v>
      </c>
      <c r="AO943" t="s">
        <v>4073</v>
      </c>
      <c r="AP943" t="s">
        <v>74</v>
      </c>
      <c r="AQ943" t="s">
        <v>74</v>
      </c>
      <c r="AR943" t="s">
        <v>4075</v>
      </c>
      <c r="AS943" t="s">
        <v>4076</v>
      </c>
      <c r="AT943" t="s">
        <v>15810</v>
      </c>
      <c r="AU943">
        <v>2009</v>
      </c>
      <c r="AV943">
        <v>73</v>
      </c>
      <c r="AW943">
        <v>13</v>
      </c>
      <c r="AX943" t="s">
        <v>74</v>
      </c>
      <c r="AY943" t="s">
        <v>74</v>
      </c>
      <c r="AZ943" t="s">
        <v>74</v>
      </c>
      <c r="BA943" t="s">
        <v>74</v>
      </c>
      <c r="BB943" t="s">
        <v>16729</v>
      </c>
      <c r="BC943" t="s">
        <v>16729</v>
      </c>
      <c r="BD943" t="s">
        <v>74</v>
      </c>
      <c r="BE943" t="s">
        <v>74</v>
      </c>
      <c r="BF943" t="s">
        <v>74</v>
      </c>
      <c r="BG943" t="s">
        <v>74</v>
      </c>
      <c r="BH943" t="s">
        <v>74</v>
      </c>
      <c r="BI943">
        <v>1</v>
      </c>
      <c r="BJ943" t="s">
        <v>261</v>
      </c>
      <c r="BK943" t="s">
        <v>98</v>
      </c>
      <c r="BL943" t="s">
        <v>261</v>
      </c>
      <c r="BM943" t="s">
        <v>16600</v>
      </c>
      <c r="BN943" t="s">
        <v>74</v>
      </c>
      <c r="BO943" t="s">
        <v>74</v>
      </c>
      <c r="BP943" t="s">
        <v>74</v>
      </c>
      <c r="BQ943" t="s">
        <v>74</v>
      </c>
      <c r="BR943" t="s">
        <v>101</v>
      </c>
      <c r="BS943" t="s">
        <v>16730</v>
      </c>
      <c r="BT943" t="str">
        <f>HYPERLINK("https%3A%2F%2Fwww.webofscience.com%2Fwos%2Fwoscc%2Ffull-record%2FWOS:000267229902612","View Full Record in Web of Science")</f>
        <v>View Full Record in Web of Science</v>
      </c>
    </row>
    <row r="944" spans="1:72" x14ac:dyDescent="0.15">
      <c r="A944" t="s">
        <v>72</v>
      </c>
      <c r="B944" t="s">
        <v>16731</v>
      </c>
      <c r="C944" t="s">
        <v>74</v>
      </c>
      <c r="D944" t="s">
        <v>74</v>
      </c>
      <c r="E944" t="s">
        <v>74</v>
      </c>
      <c r="F944" t="s">
        <v>16732</v>
      </c>
      <c r="G944" t="s">
        <v>74</v>
      </c>
      <c r="H944" t="s">
        <v>74</v>
      </c>
      <c r="I944" t="s">
        <v>16733</v>
      </c>
      <c r="J944" t="s">
        <v>4061</v>
      </c>
      <c r="K944" t="s">
        <v>74</v>
      </c>
      <c r="L944" t="s">
        <v>74</v>
      </c>
      <c r="M944" t="s">
        <v>78</v>
      </c>
      <c r="N944" t="s">
        <v>52</v>
      </c>
      <c r="O944" t="s">
        <v>16593</v>
      </c>
      <c r="P944" t="s">
        <v>16594</v>
      </c>
      <c r="Q944" t="s">
        <v>16595</v>
      </c>
      <c r="R944" t="s">
        <v>74</v>
      </c>
      <c r="S944" t="s">
        <v>74</v>
      </c>
      <c r="T944" t="s">
        <v>74</v>
      </c>
      <c r="U944" t="s">
        <v>74</v>
      </c>
      <c r="V944" t="s">
        <v>74</v>
      </c>
      <c r="W944" t="s">
        <v>16734</v>
      </c>
      <c r="X944" t="s">
        <v>16735</v>
      </c>
      <c r="Y944" t="s">
        <v>74</v>
      </c>
      <c r="Z944" t="s">
        <v>16736</v>
      </c>
      <c r="AA944" t="s">
        <v>74</v>
      </c>
      <c r="AB944" t="s">
        <v>74</v>
      </c>
      <c r="AC944" t="s">
        <v>74</v>
      </c>
      <c r="AD944" t="s">
        <v>74</v>
      </c>
      <c r="AE944" t="s">
        <v>74</v>
      </c>
      <c r="AF944" t="s">
        <v>74</v>
      </c>
      <c r="AG944">
        <v>0</v>
      </c>
      <c r="AH944">
        <v>0</v>
      </c>
      <c r="AI944">
        <v>0</v>
      </c>
      <c r="AJ944">
        <v>0</v>
      </c>
      <c r="AK944">
        <v>1</v>
      </c>
      <c r="AL944" t="s">
        <v>1894</v>
      </c>
      <c r="AM944" t="s">
        <v>1895</v>
      </c>
      <c r="AN944" t="s">
        <v>1896</v>
      </c>
      <c r="AO944" t="s">
        <v>4073</v>
      </c>
      <c r="AP944" t="s">
        <v>74</v>
      </c>
      <c r="AQ944" t="s">
        <v>74</v>
      </c>
      <c r="AR944" t="s">
        <v>4075</v>
      </c>
      <c r="AS944" t="s">
        <v>4076</v>
      </c>
      <c r="AT944" t="s">
        <v>15810</v>
      </c>
      <c r="AU944">
        <v>2009</v>
      </c>
      <c r="AV944">
        <v>73</v>
      </c>
      <c r="AW944">
        <v>13</v>
      </c>
      <c r="AX944" t="s">
        <v>74</v>
      </c>
      <c r="AY944" t="s">
        <v>74</v>
      </c>
      <c r="AZ944" t="s">
        <v>74</v>
      </c>
      <c r="BA944" t="s">
        <v>74</v>
      </c>
      <c r="BB944" t="s">
        <v>16737</v>
      </c>
      <c r="BC944" t="s">
        <v>16737</v>
      </c>
      <c r="BD944" t="s">
        <v>74</v>
      </c>
      <c r="BE944" t="s">
        <v>74</v>
      </c>
      <c r="BF944" t="s">
        <v>74</v>
      </c>
      <c r="BG944" t="s">
        <v>74</v>
      </c>
      <c r="BH944" t="s">
        <v>74</v>
      </c>
      <c r="BI944">
        <v>1</v>
      </c>
      <c r="BJ944" t="s">
        <v>261</v>
      </c>
      <c r="BK944" t="s">
        <v>98</v>
      </c>
      <c r="BL944" t="s">
        <v>261</v>
      </c>
      <c r="BM944" t="s">
        <v>16600</v>
      </c>
      <c r="BN944" t="s">
        <v>74</v>
      </c>
      <c r="BO944" t="s">
        <v>74</v>
      </c>
      <c r="BP944" t="s">
        <v>74</v>
      </c>
      <c r="BQ944" t="s">
        <v>74</v>
      </c>
      <c r="BR944" t="s">
        <v>101</v>
      </c>
      <c r="BS944" t="s">
        <v>16738</v>
      </c>
      <c r="BT944" t="str">
        <f>HYPERLINK("https%3A%2F%2Fwww.webofscience.com%2Fwos%2Fwoscc%2Ffull-record%2FWOS:000267229903031","View Full Record in Web of Science")</f>
        <v>View Full Record in Web of Science</v>
      </c>
    </row>
    <row r="945" spans="1:72" x14ac:dyDescent="0.15">
      <c r="A945" t="s">
        <v>72</v>
      </c>
      <c r="B945" t="s">
        <v>16739</v>
      </c>
      <c r="C945" t="s">
        <v>74</v>
      </c>
      <c r="D945" t="s">
        <v>74</v>
      </c>
      <c r="E945" t="s">
        <v>74</v>
      </c>
      <c r="F945" t="s">
        <v>16740</v>
      </c>
      <c r="G945" t="s">
        <v>74</v>
      </c>
      <c r="H945" t="s">
        <v>74</v>
      </c>
      <c r="I945" t="s">
        <v>16741</v>
      </c>
      <c r="J945" t="s">
        <v>4061</v>
      </c>
      <c r="K945" t="s">
        <v>74</v>
      </c>
      <c r="L945" t="s">
        <v>74</v>
      </c>
      <c r="M945" t="s">
        <v>78</v>
      </c>
      <c r="N945" t="s">
        <v>52</v>
      </c>
      <c r="O945" t="s">
        <v>16593</v>
      </c>
      <c r="P945" t="s">
        <v>16594</v>
      </c>
      <c r="Q945" t="s">
        <v>16595</v>
      </c>
      <c r="R945" t="s">
        <v>74</v>
      </c>
      <c r="S945" t="s">
        <v>74</v>
      </c>
      <c r="T945" t="s">
        <v>74</v>
      </c>
      <c r="U945" t="s">
        <v>74</v>
      </c>
      <c r="V945" t="s">
        <v>74</v>
      </c>
      <c r="W945" t="s">
        <v>16742</v>
      </c>
      <c r="X945" t="s">
        <v>16743</v>
      </c>
      <c r="Y945" t="s">
        <v>74</v>
      </c>
      <c r="Z945" t="s">
        <v>16744</v>
      </c>
      <c r="AA945" t="s">
        <v>3768</v>
      </c>
      <c r="AB945" t="s">
        <v>16745</v>
      </c>
      <c r="AC945" t="s">
        <v>74</v>
      </c>
      <c r="AD945" t="s">
        <v>74</v>
      </c>
      <c r="AE945" t="s">
        <v>74</v>
      </c>
      <c r="AF945" t="s">
        <v>74</v>
      </c>
      <c r="AG945">
        <v>0</v>
      </c>
      <c r="AH945">
        <v>0</v>
      </c>
      <c r="AI945">
        <v>0</v>
      </c>
      <c r="AJ945">
        <v>0</v>
      </c>
      <c r="AK945">
        <v>2</v>
      </c>
      <c r="AL945" t="s">
        <v>1894</v>
      </c>
      <c r="AM945" t="s">
        <v>1895</v>
      </c>
      <c r="AN945" t="s">
        <v>1896</v>
      </c>
      <c r="AO945" t="s">
        <v>4073</v>
      </c>
      <c r="AP945" t="s">
        <v>74</v>
      </c>
      <c r="AQ945" t="s">
        <v>74</v>
      </c>
      <c r="AR945" t="s">
        <v>4075</v>
      </c>
      <c r="AS945" t="s">
        <v>4076</v>
      </c>
      <c r="AT945" t="s">
        <v>15810</v>
      </c>
      <c r="AU945">
        <v>2009</v>
      </c>
      <c r="AV945">
        <v>73</v>
      </c>
      <c r="AW945">
        <v>13</v>
      </c>
      <c r="AX945" t="s">
        <v>74</v>
      </c>
      <c r="AY945" t="s">
        <v>74</v>
      </c>
      <c r="AZ945" t="s">
        <v>74</v>
      </c>
      <c r="BA945" t="s">
        <v>74</v>
      </c>
      <c r="BB945" t="s">
        <v>16746</v>
      </c>
      <c r="BC945" t="s">
        <v>16746</v>
      </c>
      <c r="BD945" t="s">
        <v>74</v>
      </c>
      <c r="BE945" t="s">
        <v>74</v>
      </c>
      <c r="BF945" t="s">
        <v>74</v>
      </c>
      <c r="BG945" t="s">
        <v>74</v>
      </c>
      <c r="BH945" t="s">
        <v>74</v>
      </c>
      <c r="BI945">
        <v>1</v>
      </c>
      <c r="BJ945" t="s">
        <v>261</v>
      </c>
      <c r="BK945" t="s">
        <v>98</v>
      </c>
      <c r="BL945" t="s">
        <v>261</v>
      </c>
      <c r="BM945" t="s">
        <v>16600</v>
      </c>
      <c r="BN945" t="s">
        <v>74</v>
      </c>
      <c r="BO945" t="s">
        <v>74</v>
      </c>
      <c r="BP945" t="s">
        <v>74</v>
      </c>
      <c r="BQ945" t="s">
        <v>74</v>
      </c>
      <c r="BR945" t="s">
        <v>101</v>
      </c>
      <c r="BS945" t="s">
        <v>16747</v>
      </c>
      <c r="BT945" t="str">
        <f>HYPERLINK("https%3A%2F%2Fwww.webofscience.com%2Fwos%2Fwoscc%2Ffull-record%2FWOS:000267229903130","View Full Record in Web of Science")</f>
        <v>View Full Record in Web of Science</v>
      </c>
    </row>
    <row r="946" spans="1:72" x14ac:dyDescent="0.15">
      <c r="A946" t="s">
        <v>72</v>
      </c>
      <c r="B946" t="s">
        <v>16748</v>
      </c>
      <c r="C946" t="s">
        <v>74</v>
      </c>
      <c r="D946" t="s">
        <v>74</v>
      </c>
      <c r="E946" t="s">
        <v>74</v>
      </c>
      <c r="F946" t="s">
        <v>16749</v>
      </c>
      <c r="G946" t="s">
        <v>74</v>
      </c>
      <c r="H946" t="s">
        <v>74</v>
      </c>
      <c r="I946" t="s">
        <v>16750</v>
      </c>
      <c r="J946" t="s">
        <v>4061</v>
      </c>
      <c r="K946" t="s">
        <v>74</v>
      </c>
      <c r="L946" t="s">
        <v>74</v>
      </c>
      <c r="M946" t="s">
        <v>78</v>
      </c>
      <c r="N946" t="s">
        <v>52</v>
      </c>
      <c r="O946" t="s">
        <v>16593</v>
      </c>
      <c r="P946" t="s">
        <v>16594</v>
      </c>
      <c r="Q946" t="s">
        <v>16595</v>
      </c>
      <c r="R946" t="s">
        <v>74</v>
      </c>
      <c r="S946" t="s">
        <v>74</v>
      </c>
      <c r="T946" t="s">
        <v>74</v>
      </c>
      <c r="U946" t="s">
        <v>74</v>
      </c>
      <c r="V946" t="s">
        <v>74</v>
      </c>
      <c r="W946" t="s">
        <v>16751</v>
      </c>
      <c r="X946" t="s">
        <v>16752</v>
      </c>
      <c r="Y946" t="s">
        <v>74</v>
      </c>
      <c r="Z946" t="s">
        <v>16753</v>
      </c>
      <c r="AA946" t="s">
        <v>74</v>
      </c>
      <c r="AB946" t="s">
        <v>74</v>
      </c>
      <c r="AC946" t="s">
        <v>74</v>
      </c>
      <c r="AD946" t="s">
        <v>74</v>
      </c>
      <c r="AE946" t="s">
        <v>74</v>
      </c>
      <c r="AF946" t="s">
        <v>74</v>
      </c>
      <c r="AG946">
        <v>0</v>
      </c>
      <c r="AH946">
        <v>0</v>
      </c>
      <c r="AI946">
        <v>0</v>
      </c>
      <c r="AJ946">
        <v>0</v>
      </c>
      <c r="AK946">
        <v>3</v>
      </c>
      <c r="AL946" t="s">
        <v>1894</v>
      </c>
      <c r="AM946" t="s">
        <v>1895</v>
      </c>
      <c r="AN946" t="s">
        <v>1896</v>
      </c>
      <c r="AO946" t="s">
        <v>4073</v>
      </c>
      <c r="AP946" t="s">
        <v>74</v>
      </c>
      <c r="AQ946" t="s">
        <v>74</v>
      </c>
      <c r="AR946" t="s">
        <v>4075</v>
      </c>
      <c r="AS946" t="s">
        <v>4076</v>
      </c>
      <c r="AT946" t="s">
        <v>15810</v>
      </c>
      <c r="AU946">
        <v>2009</v>
      </c>
      <c r="AV946">
        <v>73</v>
      </c>
      <c r="AW946">
        <v>13</v>
      </c>
      <c r="AX946" t="s">
        <v>74</v>
      </c>
      <c r="AY946" t="s">
        <v>74</v>
      </c>
      <c r="AZ946" t="s">
        <v>74</v>
      </c>
      <c r="BA946" t="s">
        <v>74</v>
      </c>
      <c r="BB946" t="s">
        <v>16754</v>
      </c>
      <c r="BC946" t="s">
        <v>16754</v>
      </c>
      <c r="BD946" t="s">
        <v>74</v>
      </c>
      <c r="BE946" t="s">
        <v>74</v>
      </c>
      <c r="BF946" t="s">
        <v>74</v>
      </c>
      <c r="BG946" t="s">
        <v>74</v>
      </c>
      <c r="BH946" t="s">
        <v>74</v>
      </c>
      <c r="BI946">
        <v>1</v>
      </c>
      <c r="BJ946" t="s">
        <v>261</v>
      </c>
      <c r="BK946" t="s">
        <v>98</v>
      </c>
      <c r="BL946" t="s">
        <v>261</v>
      </c>
      <c r="BM946" t="s">
        <v>16600</v>
      </c>
      <c r="BN946" t="s">
        <v>74</v>
      </c>
      <c r="BO946" t="s">
        <v>74</v>
      </c>
      <c r="BP946" t="s">
        <v>74</v>
      </c>
      <c r="BQ946" t="s">
        <v>74</v>
      </c>
      <c r="BR946" t="s">
        <v>101</v>
      </c>
      <c r="BS946" t="s">
        <v>16755</v>
      </c>
      <c r="BT946" t="str">
        <f>HYPERLINK("https%3A%2F%2Fwww.webofscience.com%2Fwos%2Fwoscc%2Ffull-record%2FWOS:000267229903247","View Full Record in Web of Science")</f>
        <v>View Full Record in Web of Science</v>
      </c>
    </row>
    <row r="947" spans="1:72" x14ac:dyDescent="0.15">
      <c r="A947" t="s">
        <v>72</v>
      </c>
      <c r="B947" t="s">
        <v>16756</v>
      </c>
      <c r="C947" t="s">
        <v>74</v>
      </c>
      <c r="D947" t="s">
        <v>74</v>
      </c>
      <c r="E947" t="s">
        <v>74</v>
      </c>
      <c r="F947" t="s">
        <v>16757</v>
      </c>
      <c r="G947" t="s">
        <v>74</v>
      </c>
      <c r="H947" t="s">
        <v>74</v>
      </c>
      <c r="I947" t="s">
        <v>16758</v>
      </c>
      <c r="J947" t="s">
        <v>4061</v>
      </c>
      <c r="K947" t="s">
        <v>74</v>
      </c>
      <c r="L947" t="s">
        <v>74</v>
      </c>
      <c r="M947" t="s">
        <v>78</v>
      </c>
      <c r="N947" t="s">
        <v>52</v>
      </c>
      <c r="O947" t="s">
        <v>16593</v>
      </c>
      <c r="P947" t="s">
        <v>16594</v>
      </c>
      <c r="Q947" t="s">
        <v>16595</v>
      </c>
      <c r="R947" t="s">
        <v>74</v>
      </c>
      <c r="S947" t="s">
        <v>74</v>
      </c>
      <c r="T947" t="s">
        <v>74</v>
      </c>
      <c r="U947" t="s">
        <v>74</v>
      </c>
      <c r="V947" t="s">
        <v>74</v>
      </c>
      <c r="W947" t="s">
        <v>16759</v>
      </c>
      <c r="X947" t="s">
        <v>2267</v>
      </c>
      <c r="Y947" t="s">
        <v>74</v>
      </c>
      <c r="Z947" t="s">
        <v>16760</v>
      </c>
      <c r="AA947" t="s">
        <v>16761</v>
      </c>
      <c r="AB947" t="s">
        <v>16762</v>
      </c>
      <c r="AC947" t="s">
        <v>74</v>
      </c>
      <c r="AD947" t="s">
        <v>74</v>
      </c>
      <c r="AE947" t="s">
        <v>74</v>
      </c>
      <c r="AF947" t="s">
        <v>74</v>
      </c>
      <c r="AG947">
        <v>0</v>
      </c>
      <c r="AH947">
        <v>0</v>
      </c>
      <c r="AI947">
        <v>0</v>
      </c>
      <c r="AJ947">
        <v>0</v>
      </c>
      <c r="AK947">
        <v>3</v>
      </c>
      <c r="AL947" t="s">
        <v>1894</v>
      </c>
      <c r="AM947" t="s">
        <v>1895</v>
      </c>
      <c r="AN947" t="s">
        <v>1896</v>
      </c>
      <c r="AO947" t="s">
        <v>4073</v>
      </c>
      <c r="AP947" t="s">
        <v>74</v>
      </c>
      <c r="AQ947" t="s">
        <v>74</v>
      </c>
      <c r="AR947" t="s">
        <v>4075</v>
      </c>
      <c r="AS947" t="s">
        <v>4076</v>
      </c>
      <c r="AT947" t="s">
        <v>15810</v>
      </c>
      <c r="AU947">
        <v>2009</v>
      </c>
      <c r="AV947">
        <v>73</v>
      </c>
      <c r="AW947">
        <v>13</v>
      </c>
      <c r="AX947" t="s">
        <v>74</v>
      </c>
      <c r="AY947" t="s">
        <v>74</v>
      </c>
      <c r="AZ947" t="s">
        <v>74</v>
      </c>
      <c r="BA947" t="s">
        <v>74</v>
      </c>
      <c r="BB947" t="s">
        <v>16763</v>
      </c>
      <c r="BC947" t="s">
        <v>16763</v>
      </c>
      <c r="BD947" t="s">
        <v>74</v>
      </c>
      <c r="BE947" t="s">
        <v>74</v>
      </c>
      <c r="BF947" t="s">
        <v>74</v>
      </c>
      <c r="BG947" t="s">
        <v>74</v>
      </c>
      <c r="BH947" t="s">
        <v>74</v>
      </c>
      <c r="BI947">
        <v>1</v>
      </c>
      <c r="BJ947" t="s">
        <v>261</v>
      </c>
      <c r="BK947" t="s">
        <v>98</v>
      </c>
      <c r="BL947" t="s">
        <v>261</v>
      </c>
      <c r="BM947" t="s">
        <v>16600</v>
      </c>
      <c r="BN947" t="s">
        <v>74</v>
      </c>
      <c r="BO947" t="s">
        <v>74</v>
      </c>
      <c r="BP947" t="s">
        <v>74</v>
      </c>
      <c r="BQ947" t="s">
        <v>74</v>
      </c>
      <c r="BR947" t="s">
        <v>101</v>
      </c>
      <c r="BS947" t="s">
        <v>16764</v>
      </c>
      <c r="BT947" t="str">
        <f>HYPERLINK("https%3A%2F%2Fwww.webofscience.com%2Fwos%2Fwoscc%2Ffull-record%2FWOS:000267229903349","View Full Record in Web of Science")</f>
        <v>View Full Record in Web of Science</v>
      </c>
    </row>
    <row r="948" spans="1:72" x14ac:dyDescent="0.15">
      <c r="A948" t="s">
        <v>72</v>
      </c>
      <c r="B948" t="s">
        <v>16765</v>
      </c>
      <c r="C948" t="s">
        <v>74</v>
      </c>
      <c r="D948" t="s">
        <v>74</v>
      </c>
      <c r="E948" t="s">
        <v>74</v>
      </c>
      <c r="F948" t="s">
        <v>16766</v>
      </c>
      <c r="G948" t="s">
        <v>74</v>
      </c>
      <c r="H948" t="s">
        <v>74</v>
      </c>
      <c r="I948" t="s">
        <v>16767</v>
      </c>
      <c r="J948" t="s">
        <v>5184</v>
      </c>
      <c r="K948" t="s">
        <v>74</v>
      </c>
      <c r="L948" t="s">
        <v>74</v>
      </c>
      <c r="M948" t="s">
        <v>78</v>
      </c>
      <c r="N948" t="s">
        <v>297</v>
      </c>
      <c r="O948" t="s">
        <v>74</v>
      </c>
      <c r="P948" t="s">
        <v>74</v>
      </c>
      <c r="Q948" t="s">
        <v>74</v>
      </c>
      <c r="R948" t="s">
        <v>74</v>
      </c>
      <c r="S948" t="s">
        <v>74</v>
      </c>
      <c r="T948" t="s">
        <v>74</v>
      </c>
      <c r="U948" t="s">
        <v>16768</v>
      </c>
      <c r="V948" t="s">
        <v>16769</v>
      </c>
      <c r="W948" t="s">
        <v>16770</v>
      </c>
      <c r="X948" t="s">
        <v>16771</v>
      </c>
      <c r="Y948" t="s">
        <v>16772</v>
      </c>
      <c r="Z948" t="s">
        <v>16773</v>
      </c>
      <c r="AA948" t="s">
        <v>74</v>
      </c>
      <c r="AB948" t="s">
        <v>74</v>
      </c>
      <c r="AC948" t="s">
        <v>16774</v>
      </c>
      <c r="AD948" t="s">
        <v>16775</v>
      </c>
      <c r="AE948" t="s">
        <v>16776</v>
      </c>
      <c r="AF948" t="s">
        <v>74</v>
      </c>
      <c r="AG948">
        <v>108</v>
      </c>
      <c r="AH948">
        <v>27</v>
      </c>
      <c r="AI948">
        <v>29</v>
      </c>
      <c r="AJ948">
        <v>0</v>
      </c>
      <c r="AK948">
        <v>11</v>
      </c>
      <c r="AL948" t="s">
        <v>5193</v>
      </c>
      <c r="AM948" t="s">
        <v>4515</v>
      </c>
      <c r="AN948" t="s">
        <v>5194</v>
      </c>
      <c r="AO948" t="s">
        <v>5195</v>
      </c>
      <c r="AP948" t="s">
        <v>5196</v>
      </c>
      <c r="AQ948" t="s">
        <v>74</v>
      </c>
      <c r="AR948" t="s">
        <v>5197</v>
      </c>
      <c r="AS948" t="s">
        <v>5198</v>
      </c>
      <c r="AT948" t="s">
        <v>15810</v>
      </c>
      <c r="AU948">
        <v>2009</v>
      </c>
      <c r="AV948">
        <v>121</v>
      </c>
      <c r="AW948" t="s">
        <v>15133</v>
      </c>
      <c r="AX948" t="s">
        <v>74</v>
      </c>
      <c r="AY948" t="s">
        <v>74</v>
      </c>
      <c r="AZ948" t="s">
        <v>74</v>
      </c>
      <c r="BA948" t="s">
        <v>74</v>
      </c>
      <c r="BB948">
        <v>1071</v>
      </c>
      <c r="BC948">
        <v>1088</v>
      </c>
      <c r="BD948" t="s">
        <v>74</v>
      </c>
      <c r="BE948" t="s">
        <v>16777</v>
      </c>
      <c r="BF948" t="str">
        <f>HYPERLINK("http://dx.doi.org/10.1130/B26333.1","http://dx.doi.org/10.1130/B26333.1")</f>
        <v>http://dx.doi.org/10.1130/B26333.1</v>
      </c>
      <c r="BG948" t="s">
        <v>74</v>
      </c>
      <c r="BH948" t="s">
        <v>74</v>
      </c>
      <c r="BI948">
        <v>18</v>
      </c>
      <c r="BJ948" t="s">
        <v>464</v>
      </c>
      <c r="BK948" t="s">
        <v>98</v>
      </c>
      <c r="BL948" t="s">
        <v>465</v>
      </c>
      <c r="BM948" t="s">
        <v>16778</v>
      </c>
      <c r="BN948" t="s">
        <v>74</v>
      </c>
      <c r="BO948" t="s">
        <v>74</v>
      </c>
      <c r="BP948" t="s">
        <v>74</v>
      </c>
      <c r="BQ948" t="s">
        <v>74</v>
      </c>
      <c r="BR948" t="s">
        <v>101</v>
      </c>
      <c r="BS948" t="s">
        <v>16779</v>
      </c>
      <c r="BT948" t="str">
        <f>HYPERLINK("https%3A%2F%2Fwww.webofscience.com%2Fwos%2Fwoscc%2Ffull-record%2FWOS:000267393800006","View Full Record in Web of Science")</f>
        <v>View Full Record in Web of Science</v>
      </c>
    </row>
    <row r="949" spans="1:72" x14ac:dyDescent="0.15">
      <c r="A949" t="s">
        <v>72</v>
      </c>
      <c r="B949" t="s">
        <v>16780</v>
      </c>
      <c r="C949" t="s">
        <v>74</v>
      </c>
      <c r="D949" t="s">
        <v>74</v>
      </c>
      <c r="E949" t="s">
        <v>74</v>
      </c>
      <c r="F949" t="s">
        <v>16781</v>
      </c>
      <c r="G949" t="s">
        <v>74</v>
      </c>
      <c r="H949" t="s">
        <v>74</v>
      </c>
      <c r="I949" t="s">
        <v>16782</v>
      </c>
      <c r="J949" t="s">
        <v>7653</v>
      </c>
      <c r="K949" t="s">
        <v>74</v>
      </c>
      <c r="L949" t="s">
        <v>74</v>
      </c>
      <c r="M949" t="s">
        <v>78</v>
      </c>
      <c r="N949" t="s">
        <v>79</v>
      </c>
      <c r="O949" t="s">
        <v>74</v>
      </c>
      <c r="P949" t="s">
        <v>74</v>
      </c>
      <c r="Q949" t="s">
        <v>74</v>
      </c>
      <c r="R949" t="s">
        <v>74</v>
      </c>
      <c r="S949" t="s">
        <v>74</v>
      </c>
      <c r="T949" t="s">
        <v>74</v>
      </c>
      <c r="U949" t="s">
        <v>16783</v>
      </c>
      <c r="V949" t="s">
        <v>16784</v>
      </c>
      <c r="W949" t="s">
        <v>16785</v>
      </c>
      <c r="X949" t="s">
        <v>16786</v>
      </c>
      <c r="Y949" t="s">
        <v>16787</v>
      </c>
      <c r="Z949" t="s">
        <v>74</v>
      </c>
      <c r="AA949" t="s">
        <v>16788</v>
      </c>
      <c r="AB949" t="s">
        <v>16789</v>
      </c>
      <c r="AC949" t="s">
        <v>16790</v>
      </c>
      <c r="AD949" t="s">
        <v>16791</v>
      </c>
      <c r="AE949" t="s">
        <v>16792</v>
      </c>
      <c r="AF949" t="s">
        <v>74</v>
      </c>
      <c r="AG949">
        <v>8</v>
      </c>
      <c r="AH949">
        <v>145</v>
      </c>
      <c r="AI949">
        <v>161</v>
      </c>
      <c r="AJ949">
        <v>0</v>
      </c>
      <c r="AK949">
        <v>16</v>
      </c>
      <c r="AL949" t="s">
        <v>5193</v>
      </c>
      <c r="AM949" t="s">
        <v>4515</v>
      </c>
      <c r="AN949" t="s">
        <v>5194</v>
      </c>
      <c r="AO949" t="s">
        <v>7665</v>
      </c>
      <c r="AP949" t="s">
        <v>7666</v>
      </c>
      <c r="AQ949" t="s">
        <v>74</v>
      </c>
      <c r="AR949" t="s">
        <v>7653</v>
      </c>
      <c r="AS949" t="s">
        <v>465</v>
      </c>
      <c r="AT949" t="s">
        <v>15810</v>
      </c>
      <c r="AU949">
        <v>2009</v>
      </c>
      <c r="AV949">
        <v>37</v>
      </c>
      <c r="AW949">
        <v>6</v>
      </c>
      <c r="AX949" t="s">
        <v>74</v>
      </c>
      <c r="AY949" t="s">
        <v>74</v>
      </c>
      <c r="AZ949" t="s">
        <v>74</v>
      </c>
      <c r="BA949" t="s">
        <v>74</v>
      </c>
      <c r="BB949">
        <v>507</v>
      </c>
      <c r="BC949">
        <v>510</v>
      </c>
      <c r="BD949" t="s">
        <v>74</v>
      </c>
      <c r="BE949" t="s">
        <v>16793</v>
      </c>
      <c r="BF949" t="str">
        <f>HYPERLINK("http://dx.doi.org/10.1130/G25578A.1","http://dx.doi.org/10.1130/G25578A.1")</f>
        <v>http://dx.doi.org/10.1130/G25578A.1</v>
      </c>
      <c r="BG949" t="s">
        <v>74</v>
      </c>
      <c r="BH949" t="s">
        <v>74</v>
      </c>
      <c r="BI949">
        <v>4</v>
      </c>
      <c r="BJ949" t="s">
        <v>465</v>
      </c>
      <c r="BK949" t="s">
        <v>98</v>
      </c>
      <c r="BL949" t="s">
        <v>465</v>
      </c>
      <c r="BM949" t="s">
        <v>16794</v>
      </c>
      <c r="BN949" t="s">
        <v>74</v>
      </c>
      <c r="BO949" t="s">
        <v>1119</v>
      </c>
      <c r="BP949" t="s">
        <v>74</v>
      </c>
      <c r="BQ949" t="s">
        <v>74</v>
      </c>
      <c r="BR949" t="s">
        <v>101</v>
      </c>
      <c r="BS949" t="s">
        <v>16795</v>
      </c>
      <c r="BT949" t="str">
        <f>HYPERLINK("https%3A%2F%2Fwww.webofscience.com%2Fwos%2Fwoscc%2Ffull-record%2FWOS:000266655500010","View Full Record in Web of Science")</f>
        <v>View Full Record in Web of Science</v>
      </c>
    </row>
    <row r="950" spans="1:72" x14ac:dyDescent="0.15">
      <c r="A950" t="s">
        <v>72</v>
      </c>
      <c r="B950" t="s">
        <v>16796</v>
      </c>
      <c r="C950" t="s">
        <v>74</v>
      </c>
      <c r="D950" t="s">
        <v>74</v>
      </c>
      <c r="E950" t="s">
        <v>74</v>
      </c>
      <c r="F950" t="s">
        <v>16797</v>
      </c>
      <c r="G950" t="s">
        <v>74</v>
      </c>
      <c r="H950" t="s">
        <v>74</v>
      </c>
      <c r="I950" t="s">
        <v>16798</v>
      </c>
      <c r="J950" t="s">
        <v>5241</v>
      </c>
      <c r="K950" t="s">
        <v>74</v>
      </c>
      <c r="L950" t="s">
        <v>74</v>
      </c>
      <c r="M950" t="s">
        <v>78</v>
      </c>
      <c r="N950" t="s">
        <v>79</v>
      </c>
      <c r="O950" t="s">
        <v>74</v>
      </c>
      <c r="P950" t="s">
        <v>74</v>
      </c>
      <c r="Q950" t="s">
        <v>74</v>
      </c>
      <c r="R950" t="s">
        <v>74</v>
      </c>
      <c r="S950" t="s">
        <v>74</v>
      </c>
      <c r="T950" t="s">
        <v>16799</v>
      </c>
      <c r="U950" t="s">
        <v>16800</v>
      </c>
      <c r="V950" t="s">
        <v>16801</v>
      </c>
      <c r="W950" t="s">
        <v>16802</v>
      </c>
      <c r="X950" t="s">
        <v>16803</v>
      </c>
      <c r="Y950" t="s">
        <v>16804</v>
      </c>
      <c r="Z950" t="s">
        <v>16805</v>
      </c>
      <c r="AA950" t="s">
        <v>16806</v>
      </c>
      <c r="AB950" t="s">
        <v>16807</v>
      </c>
      <c r="AC950" t="s">
        <v>16808</v>
      </c>
      <c r="AD950" t="s">
        <v>16175</v>
      </c>
      <c r="AE950" t="s">
        <v>16809</v>
      </c>
      <c r="AF950" t="s">
        <v>74</v>
      </c>
      <c r="AG950">
        <v>61</v>
      </c>
      <c r="AH950">
        <v>79</v>
      </c>
      <c r="AI950">
        <v>80</v>
      </c>
      <c r="AJ950">
        <v>0</v>
      </c>
      <c r="AK950">
        <v>17</v>
      </c>
      <c r="AL950" t="s">
        <v>2171</v>
      </c>
      <c r="AM950" t="s">
        <v>1895</v>
      </c>
      <c r="AN950" t="s">
        <v>2172</v>
      </c>
      <c r="AO950" t="s">
        <v>5254</v>
      </c>
      <c r="AP950" t="s">
        <v>5255</v>
      </c>
      <c r="AQ950" t="s">
        <v>74</v>
      </c>
      <c r="AR950" t="s">
        <v>5256</v>
      </c>
      <c r="AS950" t="s">
        <v>5257</v>
      </c>
      <c r="AT950" t="s">
        <v>15810</v>
      </c>
      <c r="AU950">
        <v>2009</v>
      </c>
      <c r="AV950">
        <v>177</v>
      </c>
      <c r="AW950">
        <v>3</v>
      </c>
      <c r="AX950" t="s">
        <v>74</v>
      </c>
      <c r="AY950" t="s">
        <v>74</v>
      </c>
      <c r="AZ950" t="s">
        <v>74</v>
      </c>
      <c r="BA950" t="s">
        <v>74</v>
      </c>
      <c r="BB950">
        <v>849</v>
      </c>
      <c r="BC950">
        <v>864</v>
      </c>
      <c r="BD950" t="s">
        <v>74</v>
      </c>
      <c r="BE950" t="s">
        <v>16810</v>
      </c>
      <c r="BF950" t="str">
        <f>HYPERLINK("http://dx.doi.org/10.1111/j.1365-246X.2009.04139.x","http://dx.doi.org/10.1111/j.1365-246X.2009.04139.x")</f>
        <v>http://dx.doi.org/10.1111/j.1365-246X.2009.04139.x</v>
      </c>
      <c r="BG950" t="s">
        <v>74</v>
      </c>
      <c r="BH950" t="s">
        <v>74</v>
      </c>
      <c r="BI950">
        <v>16</v>
      </c>
      <c r="BJ950" t="s">
        <v>261</v>
      </c>
      <c r="BK950" t="s">
        <v>98</v>
      </c>
      <c r="BL950" t="s">
        <v>261</v>
      </c>
      <c r="BM950" t="s">
        <v>16811</v>
      </c>
      <c r="BN950" t="s">
        <v>74</v>
      </c>
      <c r="BO950" t="s">
        <v>627</v>
      </c>
      <c r="BP950" t="s">
        <v>74</v>
      </c>
      <c r="BQ950" t="s">
        <v>74</v>
      </c>
      <c r="BR950" t="s">
        <v>101</v>
      </c>
      <c r="BS950" t="s">
        <v>16812</v>
      </c>
      <c r="BT950" t="str">
        <f>HYPERLINK("https%3A%2F%2Fwww.webofscience.com%2Fwos%2Fwoscc%2Ffull-record%2FWOS:000266025200003","View Full Record in Web of Science")</f>
        <v>View Full Record in Web of Science</v>
      </c>
    </row>
    <row r="951" spans="1:72" x14ac:dyDescent="0.15">
      <c r="A951" t="s">
        <v>72</v>
      </c>
      <c r="B951" t="s">
        <v>16813</v>
      </c>
      <c r="C951" t="s">
        <v>74</v>
      </c>
      <c r="D951" t="s">
        <v>74</v>
      </c>
      <c r="E951" t="s">
        <v>74</v>
      </c>
      <c r="F951" t="s">
        <v>16814</v>
      </c>
      <c r="G951" t="s">
        <v>74</v>
      </c>
      <c r="H951" t="s">
        <v>74</v>
      </c>
      <c r="I951" t="s">
        <v>16815</v>
      </c>
      <c r="J951" t="s">
        <v>16816</v>
      </c>
      <c r="K951" t="s">
        <v>74</v>
      </c>
      <c r="L951" t="s">
        <v>74</v>
      </c>
      <c r="M951" t="s">
        <v>78</v>
      </c>
      <c r="N951" t="s">
        <v>297</v>
      </c>
      <c r="O951" t="s">
        <v>74</v>
      </c>
      <c r="P951" t="s">
        <v>74</v>
      </c>
      <c r="Q951" t="s">
        <v>74</v>
      </c>
      <c r="R951" t="s">
        <v>74</v>
      </c>
      <c r="S951" t="s">
        <v>74</v>
      </c>
      <c r="T951" t="s">
        <v>16817</v>
      </c>
      <c r="U951" t="s">
        <v>16818</v>
      </c>
      <c r="V951" t="s">
        <v>16819</v>
      </c>
      <c r="W951" t="s">
        <v>16820</v>
      </c>
      <c r="X951" t="s">
        <v>16821</v>
      </c>
      <c r="Y951" t="s">
        <v>16822</v>
      </c>
      <c r="Z951" t="s">
        <v>16823</v>
      </c>
      <c r="AA951" t="s">
        <v>74</v>
      </c>
      <c r="AB951" t="s">
        <v>16824</v>
      </c>
      <c r="AC951" t="s">
        <v>16825</v>
      </c>
      <c r="AD951" t="s">
        <v>16825</v>
      </c>
      <c r="AE951" t="s">
        <v>16826</v>
      </c>
      <c r="AF951" t="s">
        <v>74</v>
      </c>
      <c r="AG951">
        <v>164</v>
      </c>
      <c r="AH951">
        <v>31</v>
      </c>
      <c r="AI951">
        <v>32</v>
      </c>
      <c r="AJ951">
        <v>0</v>
      </c>
      <c r="AK951">
        <v>13</v>
      </c>
      <c r="AL951" t="s">
        <v>2614</v>
      </c>
      <c r="AM951" t="s">
        <v>2615</v>
      </c>
      <c r="AN951" t="s">
        <v>2910</v>
      </c>
      <c r="AO951" t="s">
        <v>16827</v>
      </c>
      <c r="AP951" t="s">
        <v>16828</v>
      </c>
      <c r="AQ951" t="s">
        <v>74</v>
      </c>
      <c r="AR951" t="s">
        <v>16816</v>
      </c>
      <c r="AS951" t="s">
        <v>16816</v>
      </c>
      <c r="AT951" t="s">
        <v>15810</v>
      </c>
      <c r="AU951">
        <v>2009</v>
      </c>
      <c r="AV951">
        <v>131</v>
      </c>
      <c r="AW951" t="s">
        <v>180</v>
      </c>
      <c r="AX951" t="s">
        <v>74</v>
      </c>
      <c r="AY951" t="s">
        <v>74</v>
      </c>
      <c r="AZ951" t="s">
        <v>74</v>
      </c>
      <c r="BA951" t="s">
        <v>74</v>
      </c>
      <c r="BB951">
        <v>113</v>
      </c>
      <c r="BC951">
        <v>136</v>
      </c>
      <c r="BD951" t="s">
        <v>74</v>
      </c>
      <c r="BE951" t="s">
        <v>16829</v>
      </c>
      <c r="BF951" t="str">
        <f>HYPERLINK("http://dx.doi.org/10.1080/11035890902857846","http://dx.doi.org/10.1080/11035890902857846")</f>
        <v>http://dx.doi.org/10.1080/11035890902857846</v>
      </c>
      <c r="BG951" t="s">
        <v>74</v>
      </c>
      <c r="BH951" t="s">
        <v>74</v>
      </c>
      <c r="BI951">
        <v>24</v>
      </c>
      <c r="BJ951" t="s">
        <v>7566</v>
      </c>
      <c r="BK951" t="s">
        <v>98</v>
      </c>
      <c r="BL951" t="s">
        <v>7566</v>
      </c>
      <c r="BM951" t="s">
        <v>16830</v>
      </c>
      <c r="BN951" t="s">
        <v>74</v>
      </c>
      <c r="BO951" t="s">
        <v>263</v>
      </c>
      <c r="BP951" t="s">
        <v>74</v>
      </c>
      <c r="BQ951" t="s">
        <v>74</v>
      </c>
      <c r="BR951" t="s">
        <v>101</v>
      </c>
      <c r="BS951" t="s">
        <v>16831</v>
      </c>
      <c r="BT951" t="str">
        <f>HYPERLINK("https%3A%2F%2Fwww.webofscience.com%2Fwos%2Fwoscc%2Ffull-record%2FWOS:000269693400008","View Full Record in Web of Science")</f>
        <v>View Full Record in Web of Science</v>
      </c>
    </row>
    <row r="952" spans="1:72" x14ac:dyDescent="0.15">
      <c r="A952" t="s">
        <v>72</v>
      </c>
      <c r="B952" t="s">
        <v>16832</v>
      </c>
      <c r="C952" t="s">
        <v>74</v>
      </c>
      <c r="D952" t="s">
        <v>74</v>
      </c>
      <c r="E952" t="s">
        <v>74</v>
      </c>
      <c r="F952" t="s">
        <v>16833</v>
      </c>
      <c r="G952" t="s">
        <v>74</v>
      </c>
      <c r="H952" t="s">
        <v>74</v>
      </c>
      <c r="I952" t="s">
        <v>16834</v>
      </c>
      <c r="J952" t="s">
        <v>5390</v>
      </c>
      <c r="K952" t="s">
        <v>74</v>
      </c>
      <c r="L952" t="s">
        <v>74</v>
      </c>
      <c r="M952" t="s">
        <v>78</v>
      </c>
      <c r="N952" t="s">
        <v>79</v>
      </c>
      <c r="O952" t="s">
        <v>74</v>
      </c>
      <c r="P952" t="s">
        <v>74</v>
      </c>
      <c r="Q952" t="s">
        <v>74</v>
      </c>
      <c r="R952" t="s">
        <v>74</v>
      </c>
      <c r="S952" t="s">
        <v>74</v>
      </c>
      <c r="T952" t="s">
        <v>16835</v>
      </c>
      <c r="U952" t="s">
        <v>16836</v>
      </c>
      <c r="V952" t="s">
        <v>16837</v>
      </c>
      <c r="W952" t="s">
        <v>16838</v>
      </c>
      <c r="X952" t="s">
        <v>16839</v>
      </c>
      <c r="Y952" t="s">
        <v>16840</v>
      </c>
      <c r="Z952" t="s">
        <v>16841</v>
      </c>
      <c r="AA952" t="s">
        <v>16842</v>
      </c>
      <c r="AB952" t="s">
        <v>16843</v>
      </c>
      <c r="AC952" t="s">
        <v>16844</v>
      </c>
      <c r="AD952" t="s">
        <v>16845</v>
      </c>
      <c r="AE952" t="s">
        <v>16846</v>
      </c>
      <c r="AF952" t="s">
        <v>74</v>
      </c>
      <c r="AG952">
        <v>54</v>
      </c>
      <c r="AH952">
        <v>197</v>
      </c>
      <c r="AI952">
        <v>212</v>
      </c>
      <c r="AJ952">
        <v>7</v>
      </c>
      <c r="AK952">
        <v>131</v>
      </c>
      <c r="AL952" t="s">
        <v>3033</v>
      </c>
      <c r="AM952" t="s">
        <v>1185</v>
      </c>
      <c r="AN952" t="s">
        <v>1186</v>
      </c>
      <c r="AO952" t="s">
        <v>5401</v>
      </c>
      <c r="AP952" t="s">
        <v>74</v>
      </c>
      <c r="AQ952" t="s">
        <v>74</v>
      </c>
      <c r="AR952" t="s">
        <v>5403</v>
      </c>
      <c r="AS952" t="s">
        <v>5404</v>
      </c>
      <c r="AT952" t="s">
        <v>15810</v>
      </c>
      <c r="AU952">
        <v>2009</v>
      </c>
      <c r="AV952">
        <v>15</v>
      </c>
      <c r="AW952">
        <v>6</v>
      </c>
      <c r="AX952" t="s">
        <v>74</v>
      </c>
      <c r="AY952" t="s">
        <v>74</v>
      </c>
      <c r="AZ952" t="s">
        <v>74</v>
      </c>
      <c r="BA952" t="s">
        <v>74</v>
      </c>
      <c r="BB952">
        <v>1405</v>
      </c>
      <c r="BC952">
        <v>1412</v>
      </c>
      <c r="BD952" t="s">
        <v>74</v>
      </c>
      <c r="BE952" t="s">
        <v>16847</v>
      </c>
      <c r="BF952" t="str">
        <f>HYPERLINK("http://dx.doi.org/10.1111/j.1365-2486.2008.01767.x","http://dx.doi.org/10.1111/j.1365-2486.2008.01767.x")</f>
        <v>http://dx.doi.org/10.1111/j.1365-2486.2008.01767.x</v>
      </c>
      <c r="BG952" t="s">
        <v>74</v>
      </c>
      <c r="BH952" t="s">
        <v>74</v>
      </c>
      <c r="BI952">
        <v>8</v>
      </c>
      <c r="BJ952" t="s">
        <v>5406</v>
      </c>
      <c r="BK952" t="s">
        <v>98</v>
      </c>
      <c r="BL952" t="s">
        <v>3115</v>
      </c>
      <c r="BM952" t="s">
        <v>16848</v>
      </c>
      <c r="BN952" t="s">
        <v>74</v>
      </c>
      <c r="BO952" t="s">
        <v>74</v>
      </c>
      <c r="BP952" t="s">
        <v>74</v>
      </c>
      <c r="BQ952" t="s">
        <v>74</v>
      </c>
      <c r="BR952" t="s">
        <v>101</v>
      </c>
      <c r="BS952" t="s">
        <v>16849</v>
      </c>
      <c r="BT952" t="str">
        <f>HYPERLINK("https%3A%2F%2Fwww.webofscience.com%2Fwos%2Fwoscc%2Ffull-record%2FWOS:000265771400004","View Full Record in Web of Science")</f>
        <v>View Full Record in Web of Science</v>
      </c>
    </row>
    <row r="953" spans="1:72" x14ac:dyDescent="0.15">
      <c r="A953" t="s">
        <v>72</v>
      </c>
      <c r="B953" t="s">
        <v>16850</v>
      </c>
      <c r="C953" t="s">
        <v>74</v>
      </c>
      <c r="D953" t="s">
        <v>74</v>
      </c>
      <c r="E953" t="s">
        <v>74</v>
      </c>
      <c r="F953" t="s">
        <v>16851</v>
      </c>
      <c r="G953" t="s">
        <v>74</v>
      </c>
      <c r="H953" t="s">
        <v>74</v>
      </c>
      <c r="I953" t="s">
        <v>16852</v>
      </c>
      <c r="J953" t="s">
        <v>16853</v>
      </c>
      <c r="K953" t="s">
        <v>74</v>
      </c>
      <c r="L953" t="s">
        <v>74</v>
      </c>
      <c r="M953" t="s">
        <v>78</v>
      </c>
      <c r="N953" t="s">
        <v>79</v>
      </c>
      <c r="O953" t="s">
        <v>74</v>
      </c>
      <c r="P953" t="s">
        <v>74</v>
      </c>
      <c r="Q953" t="s">
        <v>74</v>
      </c>
      <c r="R953" t="s">
        <v>74</v>
      </c>
      <c r="S953" t="s">
        <v>74</v>
      </c>
      <c r="T953" t="s">
        <v>16854</v>
      </c>
      <c r="U953" t="s">
        <v>16855</v>
      </c>
      <c r="V953" t="s">
        <v>16856</v>
      </c>
      <c r="W953" t="s">
        <v>16857</v>
      </c>
      <c r="X953" t="s">
        <v>192</v>
      </c>
      <c r="Y953" t="s">
        <v>16858</v>
      </c>
      <c r="Z953" t="s">
        <v>16859</v>
      </c>
      <c r="AA953" t="s">
        <v>74</v>
      </c>
      <c r="AB953" t="s">
        <v>74</v>
      </c>
      <c r="AC953" t="s">
        <v>74</v>
      </c>
      <c r="AD953" t="s">
        <v>74</v>
      </c>
      <c r="AE953" t="s">
        <v>74</v>
      </c>
      <c r="AF953" t="s">
        <v>74</v>
      </c>
      <c r="AG953">
        <v>23</v>
      </c>
      <c r="AH953">
        <v>3</v>
      </c>
      <c r="AI953">
        <v>3</v>
      </c>
      <c r="AJ953">
        <v>0</v>
      </c>
      <c r="AK953">
        <v>2</v>
      </c>
      <c r="AL953" t="s">
        <v>2588</v>
      </c>
      <c r="AM953" t="s">
        <v>2589</v>
      </c>
      <c r="AN953" t="s">
        <v>2590</v>
      </c>
      <c r="AO953" t="s">
        <v>16860</v>
      </c>
      <c r="AP953" t="s">
        <v>16861</v>
      </c>
      <c r="AQ953" t="s">
        <v>74</v>
      </c>
      <c r="AR953" t="s">
        <v>16862</v>
      </c>
      <c r="AS953" t="s">
        <v>16863</v>
      </c>
      <c r="AT953" t="s">
        <v>15810</v>
      </c>
      <c r="AU953">
        <v>2009</v>
      </c>
      <c r="AV953">
        <v>63</v>
      </c>
      <c r="AW953">
        <v>2</v>
      </c>
      <c r="AX953" t="s">
        <v>74</v>
      </c>
      <c r="AY953" t="s">
        <v>74</v>
      </c>
      <c r="AZ953" t="s">
        <v>74</v>
      </c>
      <c r="BA953" t="s">
        <v>74</v>
      </c>
      <c r="BB953">
        <v>149</v>
      </c>
      <c r="BC953">
        <v>158</v>
      </c>
      <c r="BD953" t="s">
        <v>74</v>
      </c>
      <c r="BE953" t="s">
        <v>16864</v>
      </c>
      <c r="BF953" t="str">
        <f>HYPERLINK("http://dx.doi.org/10.1007/s10152-008-0141-8","http://dx.doi.org/10.1007/s10152-008-0141-8")</f>
        <v>http://dx.doi.org/10.1007/s10152-008-0141-8</v>
      </c>
      <c r="BG953" t="s">
        <v>74</v>
      </c>
      <c r="BH953" t="s">
        <v>74</v>
      </c>
      <c r="BI953">
        <v>10</v>
      </c>
      <c r="BJ953" t="s">
        <v>5741</v>
      </c>
      <c r="BK953" t="s">
        <v>98</v>
      </c>
      <c r="BL953" t="s">
        <v>5741</v>
      </c>
      <c r="BM953" t="s">
        <v>16865</v>
      </c>
      <c r="BN953" t="s">
        <v>74</v>
      </c>
      <c r="BO953" t="s">
        <v>627</v>
      </c>
      <c r="BP953" t="s">
        <v>74</v>
      </c>
      <c r="BQ953" t="s">
        <v>74</v>
      </c>
      <c r="BR953" t="s">
        <v>101</v>
      </c>
      <c r="BS953" t="s">
        <v>16866</v>
      </c>
      <c r="BT953" t="str">
        <f>HYPERLINK("https%3A%2F%2Fwww.webofscience.com%2Fwos%2Fwoscc%2Ffull-record%2FWOS:000266087700004","View Full Record in Web of Science")</f>
        <v>View Full Record in Web of Science</v>
      </c>
    </row>
    <row r="954" spans="1:72" x14ac:dyDescent="0.15">
      <c r="A954" t="s">
        <v>72</v>
      </c>
      <c r="B954" t="s">
        <v>16867</v>
      </c>
      <c r="C954" t="s">
        <v>74</v>
      </c>
      <c r="D954" t="s">
        <v>74</v>
      </c>
      <c r="E954" t="s">
        <v>74</v>
      </c>
      <c r="F954" t="s">
        <v>16868</v>
      </c>
      <c r="G954" t="s">
        <v>74</v>
      </c>
      <c r="H954" t="s">
        <v>74</v>
      </c>
      <c r="I954" t="s">
        <v>16869</v>
      </c>
      <c r="J954" t="s">
        <v>16870</v>
      </c>
      <c r="K954" t="s">
        <v>74</v>
      </c>
      <c r="L954" t="s">
        <v>74</v>
      </c>
      <c r="M954" t="s">
        <v>78</v>
      </c>
      <c r="N954" t="s">
        <v>1965</v>
      </c>
      <c r="O954" t="s">
        <v>16871</v>
      </c>
      <c r="P954" t="s">
        <v>16872</v>
      </c>
      <c r="Q954" t="s">
        <v>16873</v>
      </c>
      <c r="R954" t="s">
        <v>74</v>
      </c>
      <c r="S954" t="s">
        <v>74</v>
      </c>
      <c r="T954" t="s">
        <v>16874</v>
      </c>
      <c r="U954" t="s">
        <v>74</v>
      </c>
      <c r="V954" t="s">
        <v>16875</v>
      </c>
      <c r="W954" t="s">
        <v>16876</v>
      </c>
      <c r="X954" t="s">
        <v>16877</v>
      </c>
      <c r="Y954" t="s">
        <v>16878</v>
      </c>
      <c r="Z954" t="s">
        <v>16879</v>
      </c>
      <c r="AA954" t="s">
        <v>16880</v>
      </c>
      <c r="AB954" t="s">
        <v>16881</v>
      </c>
      <c r="AC954" t="s">
        <v>74</v>
      </c>
      <c r="AD954" t="s">
        <v>74</v>
      </c>
      <c r="AE954" t="s">
        <v>74</v>
      </c>
      <c r="AF954" t="s">
        <v>74</v>
      </c>
      <c r="AG954">
        <v>7</v>
      </c>
      <c r="AH954">
        <v>7</v>
      </c>
      <c r="AI954">
        <v>8</v>
      </c>
      <c r="AJ954">
        <v>0</v>
      </c>
      <c r="AK954">
        <v>3</v>
      </c>
      <c r="AL954" t="s">
        <v>2197</v>
      </c>
      <c r="AM954" t="s">
        <v>2198</v>
      </c>
      <c r="AN954" t="s">
        <v>2199</v>
      </c>
      <c r="AO954" t="s">
        <v>16882</v>
      </c>
      <c r="AP954" t="s">
        <v>16883</v>
      </c>
      <c r="AQ954" t="s">
        <v>74</v>
      </c>
      <c r="AR954" t="s">
        <v>16884</v>
      </c>
      <c r="AS954" t="s">
        <v>16885</v>
      </c>
      <c r="AT954" t="s">
        <v>15810</v>
      </c>
      <c r="AU954">
        <v>2009</v>
      </c>
      <c r="AV954">
        <v>56</v>
      </c>
      <c r="AW954">
        <v>3</v>
      </c>
      <c r="AX954">
        <v>2</v>
      </c>
      <c r="AY954" t="s">
        <v>74</v>
      </c>
      <c r="AZ954" t="s">
        <v>74</v>
      </c>
      <c r="BA954" t="s">
        <v>74</v>
      </c>
      <c r="BB954">
        <v>1396</v>
      </c>
      <c r="BC954">
        <v>1399</v>
      </c>
      <c r="BD954" t="s">
        <v>74</v>
      </c>
      <c r="BE954" t="s">
        <v>16886</v>
      </c>
      <c r="BF954" t="str">
        <f>HYPERLINK("http://dx.doi.org/10.1109/TNS.2008.2011484","http://dx.doi.org/10.1109/TNS.2008.2011484")</f>
        <v>http://dx.doi.org/10.1109/TNS.2008.2011484</v>
      </c>
      <c r="BG954" t="s">
        <v>74</v>
      </c>
      <c r="BH954" t="s">
        <v>74</v>
      </c>
      <c r="BI954">
        <v>4</v>
      </c>
      <c r="BJ954" t="s">
        <v>16887</v>
      </c>
      <c r="BK954" t="s">
        <v>1986</v>
      </c>
      <c r="BL954" t="s">
        <v>16888</v>
      </c>
      <c r="BM954" t="s">
        <v>16889</v>
      </c>
      <c r="BN954" t="s">
        <v>74</v>
      </c>
      <c r="BO954" t="s">
        <v>74</v>
      </c>
      <c r="BP954" t="s">
        <v>74</v>
      </c>
      <c r="BQ954" t="s">
        <v>74</v>
      </c>
      <c r="BR954" t="s">
        <v>101</v>
      </c>
      <c r="BS954" t="s">
        <v>16890</v>
      </c>
      <c r="BT954" t="str">
        <f>HYPERLINK("https%3A%2F%2Fwww.webofscience.com%2Fwos%2Fwoscc%2Ffull-record%2FWOS:000267434900118","View Full Record in Web of Science")</f>
        <v>View Full Record in Web of Science</v>
      </c>
    </row>
    <row r="955" spans="1:72" x14ac:dyDescent="0.15">
      <c r="A955" t="s">
        <v>72</v>
      </c>
      <c r="B955" t="s">
        <v>16891</v>
      </c>
      <c r="C955" t="s">
        <v>74</v>
      </c>
      <c r="D955" t="s">
        <v>74</v>
      </c>
      <c r="E955" t="s">
        <v>74</v>
      </c>
      <c r="F955" t="s">
        <v>16892</v>
      </c>
      <c r="G955" t="s">
        <v>74</v>
      </c>
      <c r="H955" t="s">
        <v>74</v>
      </c>
      <c r="I955" t="s">
        <v>16893</v>
      </c>
      <c r="J955" t="s">
        <v>2262</v>
      </c>
      <c r="K955" t="s">
        <v>74</v>
      </c>
      <c r="L955" t="s">
        <v>74</v>
      </c>
      <c r="M955" t="s">
        <v>78</v>
      </c>
      <c r="N955" t="s">
        <v>79</v>
      </c>
      <c r="O955" t="s">
        <v>74</v>
      </c>
      <c r="P955" t="s">
        <v>74</v>
      </c>
      <c r="Q955" t="s">
        <v>74</v>
      </c>
      <c r="R955" t="s">
        <v>74</v>
      </c>
      <c r="S955" t="s">
        <v>74</v>
      </c>
      <c r="T955" t="s">
        <v>16894</v>
      </c>
      <c r="U955" t="s">
        <v>16895</v>
      </c>
      <c r="V955" t="s">
        <v>16896</v>
      </c>
      <c r="W955" t="s">
        <v>16897</v>
      </c>
      <c r="X955" t="s">
        <v>16898</v>
      </c>
      <c r="Y955" t="s">
        <v>16899</v>
      </c>
      <c r="Z955" t="s">
        <v>16900</v>
      </c>
      <c r="AA955" t="s">
        <v>16901</v>
      </c>
      <c r="AB955" t="s">
        <v>16902</v>
      </c>
      <c r="AC955" t="s">
        <v>16903</v>
      </c>
      <c r="AD955" t="s">
        <v>16904</v>
      </c>
      <c r="AE955" t="s">
        <v>16905</v>
      </c>
      <c r="AF955" t="s">
        <v>74</v>
      </c>
      <c r="AG955">
        <v>20</v>
      </c>
      <c r="AH955">
        <v>1</v>
      </c>
      <c r="AI955">
        <v>1</v>
      </c>
      <c r="AJ955">
        <v>0</v>
      </c>
      <c r="AK955">
        <v>12</v>
      </c>
      <c r="AL955" t="s">
        <v>1850</v>
      </c>
      <c r="AM955" t="s">
        <v>684</v>
      </c>
      <c r="AN955" t="s">
        <v>3108</v>
      </c>
      <c r="AO955" t="s">
        <v>2273</v>
      </c>
      <c r="AP955" t="s">
        <v>16906</v>
      </c>
      <c r="AQ955" t="s">
        <v>74</v>
      </c>
      <c r="AR955" t="s">
        <v>2274</v>
      </c>
      <c r="AS955" t="s">
        <v>2275</v>
      </c>
      <c r="AT955" t="s">
        <v>15810</v>
      </c>
      <c r="AU955">
        <v>2009</v>
      </c>
      <c r="AV955">
        <v>98</v>
      </c>
      <c r="AW955">
        <v>4</v>
      </c>
      <c r="AX955" t="s">
        <v>74</v>
      </c>
      <c r="AY955" t="s">
        <v>74</v>
      </c>
      <c r="AZ955" t="s">
        <v>74</v>
      </c>
      <c r="BA955" t="s">
        <v>74</v>
      </c>
      <c r="BB955">
        <v>839</v>
      </c>
      <c r="BC955">
        <v>848</v>
      </c>
      <c r="BD955" t="s">
        <v>74</v>
      </c>
      <c r="BE955" t="s">
        <v>16907</v>
      </c>
      <c r="BF955" t="str">
        <f>HYPERLINK("http://dx.doi.org/10.1007/s00531-008-0315-2","http://dx.doi.org/10.1007/s00531-008-0315-2")</f>
        <v>http://dx.doi.org/10.1007/s00531-008-0315-2</v>
      </c>
      <c r="BG955" t="s">
        <v>74</v>
      </c>
      <c r="BH955" t="s">
        <v>74</v>
      </c>
      <c r="BI955">
        <v>10</v>
      </c>
      <c r="BJ955" t="s">
        <v>464</v>
      </c>
      <c r="BK955" t="s">
        <v>98</v>
      </c>
      <c r="BL955" t="s">
        <v>465</v>
      </c>
      <c r="BM955" t="s">
        <v>16908</v>
      </c>
      <c r="BN955" t="s">
        <v>74</v>
      </c>
      <c r="BO955" t="s">
        <v>74</v>
      </c>
      <c r="BP955" t="s">
        <v>74</v>
      </c>
      <c r="BQ955" t="s">
        <v>74</v>
      </c>
      <c r="BR955" t="s">
        <v>101</v>
      </c>
      <c r="BS955" t="s">
        <v>16909</v>
      </c>
      <c r="BT955" t="str">
        <f>HYPERLINK("https%3A%2F%2Fwww.webofscience.com%2Fwos%2Fwoscc%2Ffull-record%2FWOS:000266496600009","View Full Record in Web of Science")</f>
        <v>View Full Record in Web of Science</v>
      </c>
    </row>
    <row r="956" spans="1:72" x14ac:dyDescent="0.15">
      <c r="A956" t="s">
        <v>72</v>
      </c>
      <c r="B956" t="s">
        <v>16910</v>
      </c>
      <c r="C956" t="s">
        <v>74</v>
      </c>
      <c r="D956" t="s">
        <v>74</v>
      </c>
      <c r="E956" t="s">
        <v>74</v>
      </c>
      <c r="F956" t="s">
        <v>16911</v>
      </c>
      <c r="G956" t="s">
        <v>74</v>
      </c>
      <c r="H956" t="s">
        <v>74</v>
      </c>
      <c r="I956" t="s">
        <v>16912</v>
      </c>
      <c r="J956" t="s">
        <v>2262</v>
      </c>
      <c r="K956" t="s">
        <v>74</v>
      </c>
      <c r="L956" t="s">
        <v>74</v>
      </c>
      <c r="M956" t="s">
        <v>78</v>
      </c>
      <c r="N956" t="s">
        <v>79</v>
      </c>
      <c r="O956" t="s">
        <v>74</v>
      </c>
      <c r="P956" t="s">
        <v>74</v>
      </c>
      <c r="Q956" t="s">
        <v>74</v>
      </c>
      <c r="R956" t="s">
        <v>74</v>
      </c>
      <c r="S956" t="s">
        <v>74</v>
      </c>
      <c r="T956" t="s">
        <v>16913</v>
      </c>
      <c r="U956" t="s">
        <v>16914</v>
      </c>
      <c r="V956" t="s">
        <v>16915</v>
      </c>
      <c r="W956" t="s">
        <v>16916</v>
      </c>
      <c r="X956" t="s">
        <v>16917</v>
      </c>
      <c r="Y956" t="s">
        <v>16918</v>
      </c>
      <c r="Z956" t="s">
        <v>16919</v>
      </c>
      <c r="AA956" t="s">
        <v>16920</v>
      </c>
      <c r="AB956" t="s">
        <v>16921</v>
      </c>
      <c r="AC956" t="s">
        <v>16922</v>
      </c>
      <c r="AD956" t="s">
        <v>16923</v>
      </c>
      <c r="AE956" t="s">
        <v>16924</v>
      </c>
      <c r="AF956" t="s">
        <v>74</v>
      </c>
      <c r="AG956">
        <v>68</v>
      </c>
      <c r="AH956">
        <v>43</v>
      </c>
      <c r="AI956">
        <v>44</v>
      </c>
      <c r="AJ956">
        <v>0</v>
      </c>
      <c r="AK956">
        <v>13</v>
      </c>
      <c r="AL956" t="s">
        <v>1850</v>
      </c>
      <c r="AM956" t="s">
        <v>684</v>
      </c>
      <c r="AN956" t="s">
        <v>3108</v>
      </c>
      <c r="AO956" t="s">
        <v>2273</v>
      </c>
      <c r="AP956" t="s">
        <v>16906</v>
      </c>
      <c r="AQ956" t="s">
        <v>74</v>
      </c>
      <c r="AR956" t="s">
        <v>2274</v>
      </c>
      <c r="AS956" t="s">
        <v>2275</v>
      </c>
      <c r="AT956" t="s">
        <v>15810</v>
      </c>
      <c r="AU956">
        <v>2009</v>
      </c>
      <c r="AV956">
        <v>98</v>
      </c>
      <c r="AW956">
        <v>4</v>
      </c>
      <c r="AX956" t="s">
        <v>74</v>
      </c>
      <c r="AY956" t="s">
        <v>74</v>
      </c>
      <c r="AZ956" t="s">
        <v>74</v>
      </c>
      <c r="BA956" t="s">
        <v>74</v>
      </c>
      <c r="BB956">
        <v>865</v>
      </c>
      <c r="BC956">
        <v>884</v>
      </c>
      <c r="BD956" t="s">
        <v>74</v>
      </c>
      <c r="BE956" t="s">
        <v>16925</v>
      </c>
      <c r="BF956" t="str">
        <f>HYPERLINK("http://dx.doi.org/10.1007/s00531-008-0312-5","http://dx.doi.org/10.1007/s00531-008-0312-5")</f>
        <v>http://dx.doi.org/10.1007/s00531-008-0312-5</v>
      </c>
      <c r="BG956" t="s">
        <v>74</v>
      </c>
      <c r="BH956" t="s">
        <v>74</v>
      </c>
      <c r="BI956">
        <v>20</v>
      </c>
      <c r="BJ956" t="s">
        <v>464</v>
      </c>
      <c r="BK956" t="s">
        <v>98</v>
      </c>
      <c r="BL956" t="s">
        <v>465</v>
      </c>
      <c r="BM956" t="s">
        <v>16908</v>
      </c>
      <c r="BN956" t="s">
        <v>74</v>
      </c>
      <c r="BO956" t="s">
        <v>74</v>
      </c>
      <c r="BP956" t="s">
        <v>74</v>
      </c>
      <c r="BQ956" t="s">
        <v>74</v>
      </c>
      <c r="BR956" t="s">
        <v>101</v>
      </c>
      <c r="BS956" t="s">
        <v>16926</v>
      </c>
      <c r="BT956" t="str">
        <f>HYPERLINK("https%3A%2F%2Fwww.webofscience.com%2Fwos%2Fwoscc%2Ffull-record%2FWOS:000266496600011","View Full Record in Web of Science")</f>
        <v>View Full Record in Web of Science</v>
      </c>
    </row>
    <row r="957" spans="1:72" x14ac:dyDescent="0.15">
      <c r="A957" t="s">
        <v>72</v>
      </c>
      <c r="B957" t="s">
        <v>16927</v>
      </c>
      <c r="C957" t="s">
        <v>74</v>
      </c>
      <c r="D957" t="s">
        <v>74</v>
      </c>
      <c r="E957" t="s">
        <v>74</v>
      </c>
      <c r="F957" t="s">
        <v>16928</v>
      </c>
      <c r="G957" t="s">
        <v>74</v>
      </c>
      <c r="H957" t="s">
        <v>74</v>
      </c>
      <c r="I957" t="s">
        <v>16929</v>
      </c>
      <c r="J957" t="s">
        <v>2282</v>
      </c>
      <c r="K957" t="s">
        <v>74</v>
      </c>
      <c r="L957" t="s">
        <v>74</v>
      </c>
      <c r="M957" t="s">
        <v>78</v>
      </c>
      <c r="N957" t="s">
        <v>79</v>
      </c>
      <c r="O957" t="s">
        <v>74</v>
      </c>
      <c r="P957" t="s">
        <v>74</v>
      </c>
      <c r="Q957" t="s">
        <v>74</v>
      </c>
      <c r="R957" t="s">
        <v>74</v>
      </c>
      <c r="S957" t="s">
        <v>74</v>
      </c>
      <c r="T957" t="s">
        <v>74</v>
      </c>
      <c r="U957" t="s">
        <v>16930</v>
      </c>
      <c r="V957" t="s">
        <v>16931</v>
      </c>
      <c r="W957" t="s">
        <v>16932</v>
      </c>
      <c r="X957" t="s">
        <v>7720</v>
      </c>
      <c r="Y957" t="s">
        <v>4838</v>
      </c>
      <c r="Z957" t="s">
        <v>7721</v>
      </c>
      <c r="AA957" t="s">
        <v>74</v>
      </c>
      <c r="AB957" t="s">
        <v>4841</v>
      </c>
      <c r="AC957" t="s">
        <v>16933</v>
      </c>
      <c r="AD957" t="s">
        <v>16934</v>
      </c>
      <c r="AE957" t="s">
        <v>16935</v>
      </c>
      <c r="AF957" t="s">
        <v>74</v>
      </c>
      <c r="AG957">
        <v>31</v>
      </c>
      <c r="AH957">
        <v>26</v>
      </c>
      <c r="AI957">
        <v>27</v>
      </c>
      <c r="AJ957">
        <v>0</v>
      </c>
      <c r="AK957">
        <v>7</v>
      </c>
      <c r="AL957" t="s">
        <v>2293</v>
      </c>
      <c r="AM957" t="s">
        <v>433</v>
      </c>
      <c r="AN957" t="s">
        <v>7725</v>
      </c>
      <c r="AO957" t="s">
        <v>2295</v>
      </c>
      <c r="AP957" t="s">
        <v>2296</v>
      </c>
      <c r="AQ957" t="s">
        <v>74</v>
      </c>
      <c r="AR957" t="s">
        <v>2297</v>
      </c>
      <c r="AS957" t="s">
        <v>2298</v>
      </c>
      <c r="AT957" t="s">
        <v>15810</v>
      </c>
      <c r="AU957">
        <v>2009</v>
      </c>
      <c r="AV957">
        <v>59</v>
      </c>
      <c r="AW957" t="s">
        <v>74</v>
      </c>
      <c r="AX957">
        <v>6</v>
      </c>
      <c r="AY957" t="s">
        <v>74</v>
      </c>
      <c r="AZ957" t="s">
        <v>74</v>
      </c>
      <c r="BA957" t="s">
        <v>74</v>
      </c>
      <c r="BB957">
        <v>1348</v>
      </c>
      <c r="BC957">
        <v>1352</v>
      </c>
      <c r="BD957" t="s">
        <v>74</v>
      </c>
      <c r="BE957" t="s">
        <v>16936</v>
      </c>
      <c r="BF957" t="str">
        <f>HYPERLINK("http://dx.doi.org/10.1099/ijs.0.006643-0","http://dx.doi.org/10.1099/ijs.0.006643-0")</f>
        <v>http://dx.doi.org/10.1099/ijs.0.006643-0</v>
      </c>
      <c r="BG957" t="s">
        <v>74</v>
      </c>
      <c r="BH957" t="s">
        <v>74</v>
      </c>
      <c r="BI957">
        <v>5</v>
      </c>
      <c r="BJ957" t="s">
        <v>1958</v>
      </c>
      <c r="BK957" t="s">
        <v>98</v>
      </c>
      <c r="BL957" t="s">
        <v>1958</v>
      </c>
      <c r="BM957" t="s">
        <v>16937</v>
      </c>
      <c r="BN957">
        <v>19502314</v>
      </c>
      <c r="BO957" t="s">
        <v>263</v>
      </c>
      <c r="BP957" t="s">
        <v>74</v>
      </c>
      <c r="BQ957" t="s">
        <v>74</v>
      </c>
      <c r="BR957" t="s">
        <v>101</v>
      </c>
      <c r="BS957" t="s">
        <v>16938</v>
      </c>
      <c r="BT957" t="str">
        <f>HYPERLINK("https%3A%2F%2Fwww.webofscience.com%2Fwos%2Fwoscc%2Ffull-record%2FWOS:000267645000017","View Full Record in Web of Science")</f>
        <v>View Full Record in Web of Science</v>
      </c>
    </row>
    <row r="958" spans="1:72" x14ac:dyDescent="0.15">
      <c r="A958" t="s">
        <v>72</v>
      </c>
      <c r="B958" t="s">
        <v>16939</v>
      </c>
      <c r="C958" t="s">
        <v>74</v>
      </c>
      <c r="D958" t="s">
        <v>74</v>
      </c>
      <c r="E958" t="s">
        <v>74</v>
      </c>
      <c r="F958" t="s">
        <v>16940</v>
      </c>
      <c r="G958" t="s">
        <v>74</v>
      </c>
      <c r="H958" t="s">
        <v>74</v>
      </c>
      <c r="I958" t="s">
        <v>16941</v>
      </c>
      <c r="J958" t="s">
        <v>2282</v>
      </c>
      <c r="K958" t="s">
        <v>74</v>
      </c>
      <c r="L958" t="s">
        <v>74</v>
      </c>
      <c r="M958" t="s">
        <v>78</v>
      </c>
      <c r="N958" t="s">
        <v>79</v>
      </c>
      <c r="O958" t="s">
        <v>74</v>
      </c>
      <c r="P958" t="s">
        <v>74</v>
      </c>
      <c r="Q958" t="s">
        <v>74</v>
      </c>
      <c r="R958" t="s">
        <v>74</v>
      </c>
      <c r="S958" t="s">
        <v>74</v>
      </c>
      <c r="T958" t="s">
        <v>74</v>
      </c>
      <c r="U958" t="s">
        <v>16942</v>
      </c>
      <c r="V958" t="s">
        <v>16943</v>
      </c>
      <c r="W958" t="s">
        <v>16944</v>
      </c>
      <c r="X958" t="s">
        <v>16945</v>
      </c>
      <c r="Y958" t="s">
        <v>16946</v>
      </c>
      <c r="Z958" t="s">
        <v>2288</v>
      </c>
      <c r="AA958" t="s">
        <v>16947</v>
      </c>
      <c r="AB958" t="s">
        <v>2289</v>
      </c>
      <c r="AC958" t="s">
        <v>74</v>
      </c>
      <c r="AD958" t="s">
        <v>74</v>
      </c>
      <c r="AE958" t="s">
        <v>74</v>
      </c>
      <c r="AF958" t="s">
        <v>74</v>
      </c>
      <c r="AG958">
        <v>30</v>
      </c>
      <c r="AH958">
        <v>31</v>
      </c>
      <c r="AI958">
        <v>31</v>
      </c>
      <c r="AJ958">
        <v>0</v>
      </c>
      <c r="AK958">
        <v>7</v>
      </c>
      <c r="AL958" t="s">
        <v>2293</v>
      </c>
      <c r="AM958" t="s">
        <v>433</v>
      </c>
      <c r="AN958" t="s">
        <v>2294</v>
      </c>
      <c r="AO958" t="s">
        <v>2295</v>
      </c>
      <c r="AP958" t="s">
        <v>2296</v>
      </c>
      <c r="AQ958" t="s">
        <v>74</v>
      </c>
      <c r="AR958" t="s">
        <v>2297</v>
      </c>
      <c r="AS958" t="s">
        <v>2298</v>
      </c>
      <c r="AT958" t="s">
        <v>15810</v>
      </c>
      <c r="AU958">
        <v>2009</v>
      </c>
      <c r="AV958">
        <v>59</v>
      </c>
      <c r="AW958" t="s">
        <v>74</v>
      </c>
      <c r="AX958">
        <v>6</v>
      </c>
      <c r="AY958" t="s">
        <v>74</v>
      </c>
      <c r="AZ958" t="s">
        <v>74</v>
      </c>
      <c r="BA958" t="s">
        <v>74</v>
      </c>
      <c r="BB958">
        <v>1455</v>
      </c>
      <c r="BC958">
        <v>1459</v>
      </c>
      <c r="BD958" t="s">
        <v>74</v>
      </c>
      <c r="BE958" t="s">
        <v>16948</v>
      </c>
      <c r="BF958" t="str">
        <f>HYPERLINK("http://dx.doi.org/10.1099/ijs.0.006056-0","http://dx.doi.org/10.1099/ijs.0.006056-0")</f>
        <v>http://dx.doi.org/10.1099/ijs.0.006056-0</v>
      </c>
      <c r="BG958" t="s">
        <v>74</v>
      </c>
      <c r="BH958" t="s">
        <v>74</v>
      </c>
      <c r="BI958">
        <v>5</v>
      </c>
      <c r="BJ958" t="s">
        <v>1958</v>
      </c>
      <c r="BK958" t="s">
        <v>98</v>
      </c>
      <c r="BL958" t="s">
        <v>1958</v>
      </c>
      <c r="BM958" t="s">
        <v>16937</v>
      </c>
      <c r="BN958">
        <v>19502334</v>
      </c>
      <c r="BO958" t="s">
        <v>74</v>
      </c>
      <c r="BP958" t="s">
        <v>74</v>
      </c>
      <c r="BQ958" t="s">
        <v>74</v>
      </c>
      <c r="BR958" t="s">
        <v>101</v>
      </c>
      <c r="BS958" t="s">
        <v>16949</v>
      </c>
      <c r="BT958" t="str">
        <f>HYPERLINK("https%3A%2F%2Fwww.webofscience.com%2Fwos%2Fwoscc%2Ffull-record%2FWOS:000267645000037","View Full Record in Web of Science")</f>
        <v>View Full Record in Web of Science</v>
      </c>
    </row>
    <row r="959" spans="1:72" x14ac:dyDescent="0.15">
      <c r="A959" t="s">
        <v>72</v>
      </c>
      <c r="B959" t="s">
        <v>16950</v>
      </c>
      <c r="C959" t="s">
        <v>74</v>
      </c>
      <c r="D959" t="s">
        <v>74</v>
      </c>
      <c r="E959" t="s">
        <v>74</v>
      </c>
      <c r="F959" t="s">
        <v>16951</v>
      </c>
      <c r="G959" t="s">
        <v>74</v>
      </c>
      <c r="H959" t="s">
        <v>74</v>
      </c>
      <c r="I959" t="s">
        <v>16952</v>
      </c>
      <c r="J959" t="s">
        <v>16953</v>
      </c>
      <c r="K959" t="s">
        <v>74</v>
      </c>
      <c r="L959" t="s">
        <v>74</v>
      </c>
      <c r="M959" t="s">
        <v>78</v>
      </c>
      <c r="N959" t="s">
        <v>79</v>
      </c>
      <c r="O959" t="s">
        <v>74</v>
      </c>
      <c r="P959" t="s">
        <v>74</v>
      </c>
      <c r="Q959" t="s">
        <v>74</v>
      </c>
      <c r="R959" t="s">
        <v>74</v>
      </c>
      <c r="S959" t="s">
        <v>74</v>
      </c>
      <c r="T959" t="s">
        <v>74</v>
      </c>
      <c r="U959" t="s">
        <v>16954</v>
      </c>
      <c r="V959" t="s">
        <v>16955</v>
      </c>
      <c r="W959" t="s">
        <v>16956</v>
      </c>
      <c r="X959" t="s">
        <v>16957</v>
      </c>
      <c r="Y959" t="s">
        <v>16958</v>
      </c>
      <c r="Z959" t="s">
        <v>16959</v>
      </c>
      <c r="AA959" t="s">
        <v>16960</v>
      </c>
      <c r="AB959" t="s">
        <v>16961</v>
      </c>
      <c r="AC959" t="s">
        <v>74</v>
      </c>
      <c r="AD959" t="s">
        <v>74</v>
      </c>
      <c r="AE959" t="s">
        <v>74</v>
      </c>
      <c r="AF959" t="s">
        <v>74</v>
      </c>
      <c r="AG959">
        <v>20</v>
      </c>
      <c r="AH959">
        <v>26</v>
      </c>
      <c r="AI959">
        <v>27</v>
      </c>
      <c r="AJ959">
        <v>0</v>
      </c>
      <c r="AK959">
        <v>9</v>
      </c>
      <c r="AL959" t="s">
        <v>2588</v>
      </c>
      <c r="AM959" t="s">
        <v>2589</v>
      </c>
      <c r="AN959" t="s">
        <v>2590</v>
      </c>
      <c r="AO959" t="s">
        <v>16962</v>
      </c>
      <c r="AP959" t="s">
        <v>16963</v>
      </c>
      <c r="AQ959" t="s">
        <v>74</v>
      </c>
      <c r="AR959" t="s">
        <v>16964</v>
      </c>
      <c r="AS959" t="s">
        <v>16965</v>
      </c>
      <c r="AT959" t="s">
        <v>15810</v>
      </c>
      <c r="AU959">
        <v>2009</v>
      </c>
      <c r="AV959">
        <v>176</v>
      </c>
      <c r="AW959">
        <v>3</v>
      </c>
      <c r="AX959" t="s">
        <v>74</v>
      </c>
      <c r="AY959" t="s">
        <v>74</v>
      </c>
      <c r="AZ959" t="s">
        <v>74</v>
      </c>
      <c r="BA959" t="s">
        <v>74</v>
      </c>
      <c r="BB959">
        <v>617</v>
      </c>
      <c r="BC959">
        <v>636</v>
      </c>
      <c r="BD959" t="s">
        <v>74</v>
      </c>
      <c r="BE959" t="s">
        <v>16966</v>
      </c>
      <c r="BF959" t="str">
        <f>HYPERLINK("http://dx.doi.org/10.1007/s00222-008-0172-4","http://dx.doi.org/10.1007/s00222-008-0172-4")</f>
        <v>http://dx.doi.org/10.1007/s00222-008-0172-4</v>
      </c>
      <c r="BG959" t="s">
        <v>74</v>
      </c>
      <c r="BH959" t="s">
        <v>74</v>
      </c>
      <c r="BI959">
        <v>20</v>
      </c>
      <c r="BJ959" t="s">
        <v>16967</v>
      </c>
      <c r="BK959" t="s">
        <v>98</v>
      </c>
      <c r="BL959" t="s">
        <v>16967</v>
      </c>
      <c r="BM959" t="s">
        <v>16968</v>
      </c>
      <c r="BN959" t="s">
        <v>74</v>
      </c>
      <c r="BO959" t="s">
        <v>74</v>
      </c>
      <c r="BP959" t="s">
        <v>74</v>
      </c>
      <c r="BQ959" t="s">
        <v>74</v>
      </c>
      <c r="BR959" t="s">
        <v>101</v>
      </c>
      <c r="BS959" t="s">
        <v>16969</v>
      </c>
      <c r="BT959" t="str">
        <f>HYPERLINK("https%3A%2F%2Fwww.webofscience.com%2Fwos%2Fwoscc%2Ffull-record%2FWOS:000265441400005","View Full Record in Web of Science")</f>
        <v>View Full Record in Web of Science</v>
      </c>
    </row>
    <row r="960" spans="1:72" x14ac:dyDescent="0.15">
      <c r="A960" t="s">
        <v>72</v>
      </c>
      <c r="B960" t="s">
        <v>16970</v>
      </c>
      <c r="C960" t="s">
        <v>74</v>
      </c>
      <c r="D960" t="s">
        <v>74</v>
      </c>
      <c r="E960" t="s">
        <v>74</v>
      </c>
      <c r="F960" t="s">
        <v>16971</v>
      </c>
      <c r="G960" t="s">
        <v>74</v>
      </c>
      <c r="H960" t="s">
        <v>74</v>
      </c>
      <c r="I960" t="s">
        <v>16972</v>
      </c>
      <c r="J960" t="s">
        <v>10023</v>
      </c>
      <c r="K960" t="s">
        <v>74</v>
      </c>
      <c r="L960" t="s">
        <v>74</v>
      </c>
      <c r="M960" t="s">
        <v>78</v>
      </c>
      <c r="N960" t="s">
        <v>79</v>
      </c>
      <c r="O960" t="s">
        <v>74</v>
      </c>
      <c r="P960" t="s">
        <v>74</v>
      </c>
      <c r="Q960" t="s">
        <v>74</v>
      </c>
      <c r="R960" t="s">
        <v>74</v>
      </c>
      <c r="S960" t="s">
        <v>74</v>
      </c>
      <c r="T960" t="s">
        <v>16973</v>
      </c>
      <c r="U960" t="s">
        <v>16974</v>
      </c>
      <c r="V960" t="s">
        <v>16975</v>
      </c>
      <c r="W960" t="s">
        <v>16976</v>
      </c>
      <c r="X960" t="s">
        <v>16977</v>
      </c>
      <c r="Y960" t="s">
        <v>16978</v>
      </c>
      <c r="Z960" t="s">
        <v>16979</v>
      </c>
      <c r="AA960" t="s">
        <v>16980</v>
      </c>
      <c r="AB960" t="s">
        <v>16981</v>
      </c>
      <c r="AC960" t="s">
        <v>16982</v>
      </c>
      <c r="AD960" t="s">
        <v>16983</v>
      </c>
      <c r="AE960" t="s">
        <v>16984</v>
      </c>
      <c r="AF960" t="s">
        <v>74</v>
      </c>
      <c r="AG960">
        <v>37</v>
      </c>
      <c r="AH960">
        <v>63</v>
      </c>
      <c r="AI960">
        <v>73</v>
      </c>
      <c r="AJ960">
        <v>2</v>
      </c>
      <c r="AK960">
        <v>32</v>
      </c>
      <c r="AL960" t="s">
        <v>2890</v>
      </c>
      <c r="AM960" t="s">
        <v>684</v>
      </c>
      <c r="AN960" t="s">
        <v>2891</v>
      </c>
      <c r="AO960" t="s">
        <v>10038</v>
      </c>
      <c r="AP960" t="s">
        <v>74</v>
      </c>
      <c r="AQ960" t="s">
        <v>74</v>
      </c>
      <c r="AR960" t="s">
        <v>10040</v>
      </c>
      <c r="AS960" t="s">
        <v>10041</v>
      </c>
      <c r="AT960" t="s">
        <v>15810</v>
      </c>
      <c r="AU960">
        <v>2009</v>
      </c>
      <c r="AV960">
        <v>3</v>
      </c>
      <c r="AW960">
        <v>6</v>
      </c>
      <c r="AX960" t="s">
        <v>74</v>
      </c>
      <c r="AY960" t="s">
        <v>74</v>
      </c>
      <c r="AZ960" t="s">
        <v>74</v>
      </c>
      <c r="BA960" t="s">
        <v>74</v>
      </c>
      <c r="BB960">
        <v>658</v>
      </c>
      <c r="BC960">
        <v>665</v>
      </c>
      <c r="BD960" t="s">
        <v>74</v>
      </c>
      <c r="BE960" t="s">
        <v>16985</v>
      </c>
      <c r="BF960" t="str">
        <f>HYPERLINK("http://dx.doi.org/10.1038/ismej.2009.25","http://dx.doi.org/10.1038/ismej.2009.25")</f>
        <v>http://dx.doi.org/10.1038/ismej.2009.25</v>
      </c>
      <c r="BG960" t="s">
        <v>74</v>
      </c>
      <c r="BH960" t="s">
        <v>74</v>
      </c>
      <c r="BI960">
        <v>8</v>
      </c>
      <c r="BJ960" t="s">
        <v>10043</v>
      </c>
      <c r="BK960" t="s">
        <v>98</v>
      </c>
      <c r="BL960" t="s">
        <v>10044</v>
      </c>
      <c r="BM960" t="s">
        <v>16986</v>
      </c>
      <c r="BN960">
        <v>19322243</v>
      </c>
      <c r="BO960" t="s">
        <v>263</v>
      </c>
      <c r="BP960" t="s">
        <v>74</v>
      </c>
      <c r="BQ960" t="s">
        <v>74</v>
      </c>
      <c r="BR960" t="s">
        <v>101</v>
      </c>
      <c r="BS960" t="s">
        <v>16987</v>
      </c>
      <c r="BT960" t="str">
        <f>HYPERLINK("https%3A%2F%2Fwww.webofscience.com%2Fwos%2Fwoscc%2Ffull-record%2FWOS:000266530600003","View Full Record in Web of Science")</f>
        <v>View Full Record in Web of Science</v>
      </c>
    </row>
    <row r="961" spans="1:72" x14ac:dyDescent="0.15">
      <c r="A961" t="s">
        <v>72</v>
      </c>
      <c r="B961" t="s">
        <v>16988</v>
      </c>
      <c r="C961" t="s">
        <v>74</v>
      </c>
      <c r="D961" t="s">
        <v>74</v>
      </c>
      <c r="E961" t="s">
        <v>74</v>
      </c>
      <c r="F961" t="s">
        <v>16989</v>
      </c>
      <c r="G961" t="s">
        <v>74</v>
      </c>
      <c r="H961" t="s">
        <v>74</v>
      </c>
      <c r="I961" t="s">
        <v>16990</v>
      </c>
      <c r="J961" t="s">
        <v>7750</v>
      </c>
      <c r="K961" t="s">
        <v>74</v>
      </c>
      <c r="L961" t="s">
        <v>74</v>
      </c>
      <c r="M961" t="s">
        <v>78</v>
      </c>
      <c r="N961" t="s">
        <v>79</v>
      </c>
      <c r="O961" t="s">
        <v>74</v>
      </c>
      <c r="P961" t="s">
        <v>74</v>
      </c>
      <c r="Q961" t="s">
        <v>74</v>
      </c>
      <c r="R961" t="s">
        <v>74</v>
      </c>
      <c r="S961" t="s">
        <v>74</v>
      </c>
      <c r="T961" t="s">
        <v>16991</v>
      </c>
      <c r="U961" t="s">
        <v>16992</v>
      </c>
      <c r="V961" t="s">
        <v>16993</v>
      </c>
      <c r="W961" t="s">
        <v>16994</v>
      </c>
      <c r="X961" t="s">
        <v>16995</v>
      </c>
      <c r="Y961" t="s">
        <v>16996</v>
      </c>
      <c r="Z961" t="s">
        <v>16997</v>
      </c>
      <c r="AA961" t="s">
        <v>74</v>
      </c>
      <c r="AB961" t="s">
        <v>16998</v>
      </c>
      <c r="AC961" t="s">
        <v>16999</v>
      </c>
      <c r="AD961" t="s">
        <v>16999</v>
      </c>
      <c r="AE961" t="s">
        <v>17000</v>
      </c>
      <c r="AF961" t="s">
        <v>74</v>
      </c>
      <c r="AG961">
        <v>48</v>
      </c>
      <c r="AH961">
        <v>114</v>
      </c>
      <c r="AI961">
        <v>136</v>
      </c>
      <c r="AJ961">
        <v>6</v>
      </c>
      <c r="AK961">
        <v>132</v>
      </c>
      <c r="AL961" t="s">
        <v>1184</v>
      </c>
      <c r="AM961" t="s">
        <v>1185</v>
      </c>
      <c r="AN961" t="s">
        <v>1186</v>
      </c>
      <c r="AO961" t="s">
        <v>7760</v>
      </c>
      <c r="AP961" t="s">
        <v>17001</v>
      </c>
      <c r="AQ961" t="s">
        <v>74</v>
      </c>
      <c r="AR961" t="s">
        <v>7761</v>
      </c>
      <c r="AS961" t="s">
        <v>7762</v>
      </c>
      <c r="AT961" t="s">
        <v>15810</v>
      </c>
      <c r="AU961">
        <v>2009</v>
      </c>
      <c r="AV961">
        <v>46</v>
      </c>
      <c r="AW961">
        <v>3</v>
      </c>
      <c r="AX961" t="s">
        <v>74</v>
      </c>
      <c r="AY961" t="s">
        <v>74</v>
      </c>
      <c r="AZ961" t="s">
        <v>74</v>
      </c>
      <c r="BA961" t="s">
        <v>74</v>
      </c>
      <c r="BB961">
        <v>632</v>
      </c>
      <c r="BC961">
        <v>640</v>
      </c>
      <c r="BD961" t="s">
        <v>74</v>
      </c>
      <c r="BE961" t="s">
        <v>17002</v>
      </c>
      <c r="BF961" t="str">
        <f>HYPERLINK("http://dx.doi.org/10.1111/j.1365-2664.2009.01647.x","http://dx.doi.org/10.1111/j.1365-2664.2009.01647.x")</f>
        <v>http://dx.doi.org/10.1111/j.1365-2664.2009.01647.x</v>
      </c>
      <c r="BG961" t="s">
        <v>74</v>
      </c>
      <c r="BH961" t="s">
        <v>74</v>
      </c>
      <c r="BI961">
        <v>9</v>
      </c>
      <c r="BJ961" t="s">
        <v>3114</v>
      </c>
      <c r="BK961" t="s">
        <v>98</v>
      </c>
      <c r="BL961" t="s">
        <v>3115</v>
      </c>
      <c r="BM961" t="s">
        <v>17003</v>
      </c>
      <c r="BN961" t="s">
        <v>74</v>
      </c>
      <c r="BO961" t="s">
        <v>263</v>
      </c>
      <c r="BP961" t="s">
        <v>74</v>
      </c>
      <c r="BQ961" t="s">
        <v>74</v>
      </c>
      <c r="BR961" t="s">
        <v>101</v>
      </c>
      <c r="BS961" t="s">
        <v>17004</v>
      </c>
      <c r="BT961" t="str">
        <f>HYPERLINK("https%3A%2F%2Fwww.webofscience.com%2Fwos%2Fwoscc%2Ffull-record%2FWOS:000265614800017","View Full Record in Web of Science")</f>
        <v>View Full Record in Web of Science</v>
      </c>
    </row>
    <row r="962" spans="1:72" x14ac:dyDescent="0.15">
      <c r="A962" t="s">
        <v>72</v>
      </c>
      <c r="B962" t="s">
        <v>17005</v>
      </c>
      <c r="C962" t="s">
        <v>74</v>
      </c>
      <c r="D962" t="s">
        <v>74</v>
      </c>
      <c r="E962" t="s">
        <v>74</v>
      </c>
      <c r="F962" t="s">
        <v>17006</v>
      </c>
      <c r="G962" t="s">
        <v>74</v>
      </c>
      <c r="H962" t="s">
        <v>74</v>
      </c>
      <c r="I962" t="s">
        <v>17007</v>
      </c>
      <c r="J962" t="s">
        <v>17008</v>
      </c>
      <c r="K962" t="s">
        <v>74</v>
      </c>
      <c r="L962" t="s">
        <v>74</v>
      </c>
      <c r="M962" t="s">
        <v>78</v>
      </c>
      <c r="N962" t="s">
        <v>79</v>
      </c>
      <c r="O962" t="s">
        <v>74</v>
      </c>
      <c r="P962" t="s">
        <v>74</v>
      </c>
      <c r="Q962" t="s">
        <v>74</v>
      </c>
      <c r="R962" t="s">
        <v>74</v>
      </c>
      <c r="S962" t="s">
        <v>74</v>
      </c>
      <c r="T962" t="s">
        <v>17009</v>
      </c>
      <c r="U962" t="s">
        <v>74</v>
      </c>
      <c r="V962" t="s">
        <v>17010</v>
      </c>
      <c r="W962" t="s">
        <v>17011</v>
      </c>
      <c r="X962" t="s">
        <v>8508</v>
      </c>
      <c r="Y962" t="s">
        <v>17012</v>
      </c>
      <c r="Z962" t="s">
        <v>17013</v>
      </c>
      <c r="AA962" t="s">
        <v>74</v>
      </c>
      <c r="AB962" t="s">
        <v>74</v>
      </c>
      <c r="AC962" t="s">
        <v>17014</v>
      </c>
      <c r="AD962" t="s">
        <v>17015</v>
      </c>
      <c r="AE962" t="s">
        <v>17016</v>
      </c>
      <c r="AF962" t="s">
        <v>74</v>
      </c>
      <c r="AG962">
        <v>22</v>
      </c>
      <c r="AH962">
        <v>2</v>
      </c>
      <c r="AI962">
        <v>3</v>
      </c>
      <c r="AJ962">
        <v>0</v>
      </c>
      <c r="AK962">
        <v>0</v>
      </c>
      <c r="AL962" t="s">
        <v>172</v>
      </c>
      <c r="AM962" t="s">
        <v>173</v>
      </c>
      <c r="AN962" t="s">
        <v>174</v>
      </c>
      <c r="AO962" t="s">
        <v>17017</v>
      </c>
      <c r="AP962" t="s">
        <v>17018</v>
      </c>
      <c r="AQ962" t="s">
        <v>74</v>
      </c>
      <c r="AR962" t="s">
        <v>17019</v>
      </c>
      <c r="AS962" t="s">
        <v>17020</v>
      </c>
      <c r="AT962" t="s">
        <v>15810</v>
      </c>
      <c r="AU962">
        <v>2009</v>
      </c>
      <c r="AV962">
        <v>3</v>
      </c>
      <c r="AW962">
        <v>2</v>
      </c>
      <c r="AX962" t="s">
        <v>74</v>
      </c>
      <c r="AY962" t="s">
        <v>74</v>
      </c>
      <c r="AZ962" t="s">
        <v>74</v>
      </c>
      <c r="BA962" t="s">
        <v>74</v>
      </c>
      <c r="BB962">
        <v>89</v>
      </c>
      <c r="BC962">
        <v>96</v>
      </c>
      <c r="BD962" t="s">
        <v>74</v>
      </c>
      <c r="BE962" t="s">
        <v>17021</v>
      </c>
      <c r="BF962" t="str">
        <f>HYPERLINK("http://dx.doi.org/10.1515/JAG.2009.010","http://dx.doi.org/10.1515/JAG.2009.010")</f>
        <v>http://dx.doi.org/10.1515/JAG.2009.010</v>
      </c>
      <c r="BG962" t="s">
        <v>74</v>
      </c>
      <c r="BH962" t="s">
        <v>74</v>
      </c>
      <c r="BI962">
        <v>8</v>
      </c>
      <c r="BJ962" t="s">
        <v>17022</v>
      </c>
      <c r="BK962" t="s">
        <v>1028</v>
      </c>
      <c r="BL962" t="s">
        <v>17022</v>
      </c>
      <c r="BM962" t="s">
        <v>17023</v>
      </c>
      <c r="BN962" t="s">
        <v>74</v>
      </c>
      <c r="BO962" t="s">
        <v>17024</v>
      </c>
      <c r="BP962" t="s">
        <v>74</v>
      </c>
      <c r="BQ962" t="s">
        <v>74</v>
      </c>
      <c r="BR962" t="s">
        <v>101</v>
      </c>
      <c r="BS962" t="s">
        <v>17025</v>
      </c>
      <c r="BT962" t="str">
        <f>HYPERLINK("https%3A%2F%2Fwww.webofscience.com%2Fwos%2Fwoscc%2Ffull-record%2FWOS:000214034900003","View Full Record in Web of Science")</f>
        <v>View Full Record in Web of Science</v>
      </c>
    </row>
    <row r="963" spans="1:72" x14ac:dyDescent="0.15">
      <c r="A963" t="s">
        <v>72</v>
      </c>
      <c r="B963" t="s">
        <v>2367</v>
      </c>
      <c r="C963" t="s">
        <v>74</v>
      </c>
      <c r="D963" t="s">
        <v>74</v>
      </c>
      <c r="E963" t="s">
        <v>74</v>
      </c>
      <c r="F963" t="s">
        <v>2368</v>
      </c>
      <c r="G963" t="s">
        <v>74</v>
      </c>
      <c r="H963" t="s">
        <v>74</v>
      </c>
      <c r="I963" t="s">
        <v>17026</v>
      </c>
      <c r="J963" t="s">
        <v>2328</v>
      </c>
      <c r="K963" t="s">
        <v>74</v>
      </c>
      <c r="L963" t="s">
        <v>74</v>
      </c>
      <c r="M963" t="s">
        <v>78</v>
      </c>
      <c r="N963" t="s">
        <v>79</v>
      </c>
      <c r="O963" t="s">
        <v>74</v>
      </c>
      <c r="P963" t="s">
        <v>74</v>
      </c>
      <c r="Q963" t="s">
        <v>74</v>
      </c>
      <c r="R963" t="s">
        <v>74</v>
      </c>
      <c r="S963" t="s">
        <v>74</v>
      </c>
      <c r="T963" t="s">
        <v>17027</v>
      </c>
      <c r="U963" t="s">
        <v>17028</v>
      </c>
      <c r="V963" t="s">
        <v>17029</v>
      </c>
      <c r="W963" t="s">
        <v>17030</v>
      </c>
      <c r="X963" t="s">
        <v>17031</v>
      </c>
      <c r="Y963" t="s">
        <v>17032</v>
      </c>
      <c r="Z963" t="s">
        <v>17033</v>
      </c>
      <c r="AA963" t="s">
        <v>74</v>
      </c>
      <c r="AB963" t="s">
        <v>2377</v>
      </c>
      <c r="AC963" t="s">
        <v>17034</v>
      </c>
      <c r="AD963" t="s">
        <v>17035</v>
      </c>
      <c r="AE963" t="s">
        <v>17036</v>
      </c>
      <c r="AF963" t="s">
        <v>74</v>
      </c>
      <c r="AG963">
        <v>26</v>
      </c>
      <c r="AH963">
        <v>3</v>
      </c>
      <c r="AI963">
        <v>4</v>
      </c>
      <c r="AJ963">
        <v>0</v>
      </c>
      <c r="AK963">
        <v>4</v>
      </c>
      <c r="AL963" t="s">
        <v>1894</v>
      </c>
      <c r="AM963" t="s">
        <v>1895</v>
      </c>
      <c r="AN963" t="s">
        <v>1896</v>
      </c>
      <c r="AO963" t="s">
        <v>2341</v>
      </c>
      <c r="AP963" t="s">
        <v>74</v>
      </c>
      <c r="AQ963" t="s">
        <v>74</v>
      </c>
      <c r="AR963" t="s">
        <v>2343</v>
      </c>
      <c r="AS963" t="s">
        <v>2344</v>
      </c>
      <c r="AT963" t="s">
        <v>15810</v>
      </c>
      <c r="AU963">
        <v>2009</v>
      </c>
      <c r="AV963">
        <v>71</v>
      </c>
      <c r="AW963" t="s">
        <v>12087</v>
      </c>
      <c r="AX963" t="s">
        <v>74</v>
      </c>
      <c r="AY963" t="s">
        <v>74</v>
      </c>
      <c r="AZ963" t="s">
        <v>74</v>
      </c>
      <c r="BA963" t="s">
        <v>74</v>
      </c>
      <c r="BB963">
        <v>787</v>
      </c>
      <c r="BC963">
        <v>793</v>
      </c>
      <c r="BD963" t="s">
        <v>74</v>
      </c>
      <c r="BE963" t="s">
        <v>17037</v>
      </c>
      <c r="BF963" t="str">
        <f>HYPERLINK("http://dx.doi.org/10.1016/j.jastp.2009.03.021","http://dx.doi.org/10.1016/j.jastp.2009.03.021")</f>
        <v>http://dx.doi.org/10.1016/j.jastp.2009.03.021</v>
      </c>
      <c r="BG963" t="s">
        <v>74</v>
      </c>
      <c r="BH963" t="s">
        <v>74</v>
      </c>
      <c r="BI963">
        <v>7</v>
      </c>
      <c r="BJ963" t="s">
        <v>2347</v>
      </c>
      <c r="BK963" t="s">
        <v>98</v>
      </c>
      <c r="BL963" t="s">
        <v>2347</v>
      </c>
      <c r="BM963" t="s">
        <v>17038</v>
      </c>
      <c r="BN963" t="s">
        <v>74</v>
      </c>
      <c r="BO963" t="s">
        <v>74</v>
      </c>
      <c r="BP963" t="s">
        <v>74</v>
      </c>
      <c r="BQ963" t="s">
        <v>74</v>
      </c>
      <c r="BR963" t="s">
        <v>101</v>
      </c>
      <c r="BS963" t="s">
        <v>17039</v>
      </c>
      <c r="BT963" t="str">
        <f>HYPERLINK("https%3A%2F%2Fwww.webofscience.com%2Fwos%2Fwoscc%2Ffull-record%2FWOS:000267572600001","View Full Record in Web of Science")</f>
        <v>View Full Record in Web of Science</v>
      </c>
    </row>
    <row r="964" spans="1:72" x14ac:dyDescent="0.15">
      <c r="A964" t="s">
        <v>72</v>
      </c>
      <c r="B964" t="s">
        <v>17040</v>
      </c>
      <c r="C964" t="s">
        <v>74</v>
      </c>
      <c r="D964" t="s">
        <v>74</v>
      </c>
      <c r="E964" t="s">
        <v>74</v>
      </c>
      <c r="F964" t="s">
        <v>17041</v>
      </c>
      <c r="G964" t="s">
        <v>74</v>
      </c>
      <c r="H964" t="s">
        <v>74</v>
      </c>
      <c r="I964" t="s">
        <v>17042</v>
      </c>
      <c r="J964" t="s">
        <v>2328</v>
      </c>
      <c r="K964" t="s">
        <v>74</v>
      </c>
      <c r="L964" t="s">
        <v>74</v>
      </c>
      <c r="M964" t="s">
        <v>78</v>
      </c>
      <c r="N964" t="s">
        <v>79</v>
      </c>
      <c r="O964" t="s">
        <v>74</v>
      </c>
      <c r="P964" t="s">
        <v>74</v>
      </c>
      <c r="Q964" t="s">
        <v>74</v>
      </c>
      <c r="R964" t="s">
        <v>74</v>
      </c>
      <c r="S964" t="s">
        <v>74</v>
      </c>
      <c r="T964" t="s">
        <v>17043</v>
      </c>
      <c r="U964" t="s">
        <v>17044</v>
      </c>
      <c r="V964" t="s">
        <v>17045</v>
      </c>
      <c r="W964" t="s">
        <v>17046</v>
      </c>
      <c r="X964" t="s">
        <v>17047</v>
      </c>
      <c r="Y964" t="s">
        <v>17048</v>
      </c>
      <c r="Z964" t="s">
        <v>17049</v>
      </c>
      <c r="AA964" t="s">
        <v>17050</v>
      </c>
      <c r="AB964" t="s">
        <v>17051</v>
      </c>
      <c r="AC964" t="s">
        <v>17052</v>
      </c>
      <c r="AD964" t="s">
        <v>17053</v>
      </c>
      <c r="AE964" t="s">
        <v>17054</v>
      </c>
      <c r="AF964" t="s">
        <v>74</v>
      </c>
      <c r="AG964">
        <v>51</v>
      </c>
      <c r="AH964">
        <v>74</v>
      </c>
      <c r="AI964">
        <v>96</v>
      </c>
      <c r="AJ964">
        <v>2</v>
      </c>
      <c r="AK964">
        <v>25</v>
      </c>
      <c r="AL964" t="s">
        <v>1894</v>
      </c>
      <c r="AM964" t="s">
        <v>1895</v>
      </c>
      <c r="AN964" t="s">
        <v>1896</v>
      </c>
      <c r="AO964" t="s">
        <v>2341</v>
      </c>
      <c r="AP964" t="s">
        <v>2342</v>
      </c>
      <c r="AQ964" t="s">
        <v>74</v>
      </c>
      <c r="AR964" t="s">
        <v>2343</v>
      </c>
      <c r="AS964" t="s">
        <v>2344</v>
      </c>
      <c r="AT964" t="s">
        <v>15810</v>
      </c>
      <c r="AU964">
        <v>2009</v>
      </c>
      <c r="AV964">
        <v>71</v>
      </c>
      <c r="AW964" t="s">
        <v>12087</v>
      </c>
      <c r="AX964" t="s">
        <v>74</v>
      </c>
      <c r="AY964" t="s">
        <v>74</v>
      </c>
      <c r="AZ964" t="s">
        <v>74</v>
      </c>
      <c r="BA964" t="s">
        <v>74</v>
      </c>
      <c r="BB964">
        <v>794</v>
      </c>
      <c r="BC964">
        <v>804</v>
      </c>
      <c r="BD964" t="s">
        <v>74</v>
      </c>
      <c r="BE964" t="s">
        <v>17055</v>
      </c>
      <c r="BF964" t="str">
        <f>HYPERLINK("http://dx.doi.org/10.1016/j.jastp.2009.02.010","http://dx.doi.org/10.1016/j.jastp.2009.02.010")</f>
        <v>http://dx.doi.org/10.1016/j.jastp.2009.02.010</v>
      </c>
      <c r="BG964" t="s">
        <v>74</v>
      </c>
      <c r="BH964" t="s">
        <v>74</v>
      </c>
      <c r="BI964">
        <v>11</v>
      </c>
      <c r="BJ964" t="s">
        <v>2347</v>
      </c>
      <c r="BK964" t="s">
        <v>98</v>
      </c>
      <c r="BL964" t="s">
        <v>2347</v>
      </c>
      <c r="BM964" t="s">
        <v>17038</v>
      </c>
      <c r="BN964" t="s">
        <v>74</v>
      </c>
      <c r="BO964" t="s">
        <v>74</v>
      </c>
      <c r="BP964" t="s">
        <v>74</v>
      </c>
      <c r="BQ964" t="s">
        <v>74</v>
      </c>
      <c r="BR964" t="s">
        <v>101</v>
      </c>
      <c r="BS964" t="s">
        <v>17056</v>
      </c>
      <c r="BT964" t="str">
        <f>HYPERLINK("https%3A%2F%2Fwww.webofscience.com%2Fwos%2Fwoscc%2Ffull-record%2FWOS:000267572600002","View Full Record in Web of Science")</f>
        <v>View Full Record in Web of Science</v>
      </c>
    </row>
    <row r="965" spans="1:72" x14ac:dyDescent="0.15">
      <c r="A965" t="s">
        <v>72</v>
      </c>
      <c r="B965" t="s">
        <v>17057</v>
      </c>
      <c r="C965" t="s">
        <v>74</v>
      </c>
      <c r="D965" t="s">
        <v>74</v>
      </c>
      <c r="E965" t="s">
        <v>74</v>
      </c>
      <c r="F965" t="s">
        <v>17058</v>
      </c>
      <c r="G965" t="s">
        <v>74</v>
      </c>
      <c r="H965" t="s">
        <v>74</v>
      </c>
      <c r="I965" t="s">
        <v>17059</v>
      </c>
      <c r="J965" t="s">
        <v>2328</v>
      </c>
      <c r="K965" t="s">
        <v>74</v>
      </c>
      <c r="L965" t="s">
        <v>74</v>
      </c>
      <c r="M965" t="s">
        <v>78</v>
      </c>
      <c r="N965" t="s">
        <v>79</v>
      </c>
      <c r="O965" t="s">
        <v>74</v>
      </c>
      <c r="P965" t="s">
        <v>74</v>
      </c>
      <c r="Q965" t="s">
        <v>74</v>
      </c>
      <c r="R965" t="s">
        <v>74</v>
      </c>
      <c r="S965" t="s">
        <v>74</v>
      </c>
      <c r="T965" t="s">
        <v>17060</v>
      </c>
      <c r="U965" t="s">
        <v>17061</v>
      </c>
      <c r="V965" t="s">
        <v>17062</v>
      </c>
      <c r="W965" t="s">
        <v>17063</v>
      </c>
      <c r="X965" t="s">
        <v>17064</v>
      </c>
      <c r="Y965" t="s">
        <v>17065</v>
      </c>
      <c r="Z965" t="s">
        <v>17066</v>
      </c>
      <c r="AA965" t="s">
        <v>74</v>
      </c>
      <c r="AB965" t="s">
        <v>74</v>
      </c>
      <c r="AC965" t="s">
        <v>17067</v>
      </c>
      <c r="AD965" t="s">
        <v>17068</v>
      </c>
      <c r="AE965" t="s">
        <v>17069</v>
      </c>
      <c r="AF965" t="s">
        <v>74</v>
      </c>
      <c r="AG965">
        <v>39</v>
      </c>
      <c r="AH965">
        <v>22</v>
      </c>
      <c r="AI965">
        <v>25</v>
      </c>
      <c r="AJ965">
        <v>1</v>
      </c>
      <c r="AK965">
        <v>12</v>
      </c>
      <c r="AL965" t="s">
        <v>1894</v>
      </c>
      <c r="AM965" t="s">
        <v>1895</v>
      </c>
      <c r="AN965" t="s">
        <v>1896</v>
      </c>
      <c r="AO965" t="s">
        <v>2341</v>
      </c>
      <c r="AP965" t="s">
        <v>2342</v>
      </c>
      <c r="AQ965" t="s">
        <v>74</v>
      </c>
      <c r="AR965" t="s">
        <v>2343</v>
      </c>
      <c r="AS965" t="s">
        <v>2344</v>
      </c>
      <c r="AT965" t="s">
        <v>15810</v>
      </c>
      <c r="AU965">
        <v>2009</v>
      </c>
      <c r="AV965">
        <v>71</v>
      </c>
      <c r="AW965" t="s">
        <v>12087</v>
      </c>
      <c r="AX965" t="s">
        <v>74</v>
      </c>
      <c r="AY965" t="s">
        <v>74</v>
      </c>
      <c r="AZ965" t="s">
        <v>74</v>
      </c>
      <c r="BA965" t="s">
        <v>74</v>
      </c>
      <c r="BB965">
        <v>866</v>
      </c>
      <c r="BC965">
        <v>874</v>
      </c>
      <c r="BD965" t="s">
        <v>74</v>
      </c>
      <c r="BE965" t="s">
        <v>17070</v>
      </c>
      <c r="BF965" t="str">
        <f>HYPERLINK("http://dx.doi.org/10.1016/j.jastp.2009.03.011","http://dx.doi.org/10.1016/j.jastp.2009.03.011")</f>
        <v>http://dx.doi.org/10.1016/j.jastp.2009.03.011</v>
      </c>
      <c r="BG965" t="s">
        <v>74</v>
      </c>
      <c r="BH965" t="s">
        <v>74</v>
      </c>
      <c r="BI965">
        <v>9</v>
      </c>
      <c r="BJ965" t="s">
        <v>2347</v>
      </c>
      <c r="BK965" t="s">
        <v>98</v>
      </c>
      <c r="BL965" t="s">
        <v>2347</v>
      </c>
      <c r="BM965" t="s">
        <v>17038</v>
      </c>
      <c r="BN965" t="s">
        <v>74</v>
      </c>
      <c r="BO965" t="s">
        <v>74</v>
      </c>
      <c r="BP965" t="s">
        <v>74</v>
      </c>
      <c r="BQ965" t="s">
        <v>74</v>
      </c>
      <c r="BR965" t="s">
        <v>101</v>
      </c>
      <c r="BS965" t="s">
        <v>17071</v>
      </c>
      <c r="BT965" t="str">
        <f>HYPERLINK("https%3A%2F%2Fwww.webofscience.com%2Fwos%2Fwoscc%2Ffull-record%2FWOS:000267572600010","View Full Record in Web of Science")</f>
        <v>View Full Record in Web of Science</v>
      </c>
    </row>
    <row r="966" spans="1:72" x14ac:dyDescent="0.15">
      <c r="A966" t="s">
        <v>72</v>
      </c>
      <c r="B966" t="s">
        <v>17072</v>
      </c>
      <c r="C966" t="s">
        <v>74</v>
      </c>
      <c r="D966" t="s">
        <v>74</v>
      </c>
      <c r="E966" t="s">
        <v>74</v>
      </c>
      <c r="F966" t="s">
        <v>17073</v>
      </c>
      <c r="G966" t="s">
        <v>74</v>
      </c>
      <c r="H966" t="s">
        <v>74</v>
      </c>
      <c r="I966" t="s">
        <v>17074</v>
      </c>
      <c r="J966" t="s">
        <v>2328</v>
      </c>
      <c r="K966" t="s">
        <v>74</v>
      </c>
      <c r="L966" t="s">
        <v>74</v>
      </c>
      <c r="M966" t="s">
        <v>78</v>
      </c>
      <c r="N966" t="s">
        <v>79</v>
      </c>
      <c r="O966" t="s">
        <v>74</v>
      </c>
      <c r="P966" t="s">
        <v>74</v>
      </c>
      <c r="Q966" t="s">
        <v>74</v>
      </c>
      <c r="R966" t="s">
        <v>74</v>
      </c>
      <c r="S966" t="s">
        <v>74</v>
      </c>
      <c r="T966" t="s">
        <v>17075</v>
      </c>
      <c r="U966" t="s">
        <v>17076</v>
      </c>
      <c r="V966" t="s">
        <v>17077</v>
      </c>
      <c r="W966" t="s">
        <v>17078</v>
      </c>
      <c r="X966" t="s">
        <v>17064</v>
      </c>
      <c r="Y966" t="s">
        <v>17079</v>
      </c>
      <c r="Z966" t="s">
        <v>17066</v>
      </c>
      <c r="AA966" t="s">
        <v>74</v>
      </c>
      <c r="AB966" t="s">
        <v>74</v>
      </c>
      <c r="AC966" t="s">
        <v>17080</v>
      </c>
      <c r="AD966" t="s">
        <v>17081</v>
      </c>
      <c r="AE966" t="s">
        <v>17082</v>
      </c>
      <c r="AF966" t="s">
        <v>74</v>
      </c>
      <c r="AG966">
        <v>36</v>
      </c>
      <c r="AH966">
        <v>27</v>
      </c>
      <c r="AI966">
        <v>29</v>
      </c>
      <c r="AJ966">
        <v>1</v>
      </c>
      <c r="AK966">
        <v>7</v>
      </c>
      <c r="AL966" t="s">
        <v>1894</v>
      </c>
      <c r="AM966" t="s">
        <v>1895</v>
      </c>
      <c r="AN966" t="s">
        <v>1896</v>
      </c>
      <c r="AO966" t="s">
        <v>2341</v>
      </c>
      <c r="AP966" t="s">
        <v>2342</v>
      </c>
      <c r="AQ966" t="s">
        <v>74</v>
      </c>
      <c r="AR966" t="s">
        <v>2343</v>
      </c>
      <c r="AS966" t="s">
        <v>2344</v>
      </c>
      <c r="AT966" t="s">
        <v>15810</v>
      </c>
      <c r="AU966">
        <v>2009</v>
      </c>
      <c r="AV966">
        <v>71</v>
      </c>
      <c r="AW966" t="s">
        <v>12087</v>
      </c>
      <c r="AX966" t="s">
        <v>74</v>
      </c>
      <c r="AY966" t="s">
        <v>74</v>
      </c>
      <c r="AZ966" t="s">
        <v>74</v>
      </c>
      <c r="BA966" t="s">
        <v>74</v>
      </c>
      <c r="BB966">
        <v>875</v>
      </c>
      <c r="BC966">
        <v>884</v>
      </c>
      <c r="BD966" t="s">
        <v>74</v>
      </c>
      <c r="BE966" t="s">
        <v>17083</v>
      </c>
      <c r="BF966" t="str">
        <f>HYPERLINK("http://dx.doi.org/10.1016/j.jastp.2009.03.009","http://dx.doi.org/10.1016/j.jastp.2009.03.009")</f>
        <v>http://dx.doi.org/10.1016/j.jastp.2009.03.009</v>
      </c>
      <c r="BG966" t="s">
        <v>74</v>
      </c>
      <c r="BH966" t="s">
        <v>74</v>
      </c>
      <c r="BI966">
        <v>10</v>
      </c>
      <c r="BJ966" t="s">
        <v>2347</v>
      </c>
      <c r="BK966" t="s">
        <v>98</v>
      </c>
      <c r="BL966" t="s">
        <v>2347</v>
      </c>
      <c r="BM966" t="s">
        <v>17038</v>
      </c>
      <c r="BN966" t="s">
        <v>74</v>
      </c>
      <c r="BO966" t="s">
        <v>74</v>
      </c>
      <c r="BP966" t="s">
        <v>74</v>
      </c>
      <c r="BQ966" t="s">
        <v>74</v>
      </c>
      <c r="BR966" t="s">
        <v>101</v>
      </c>
      <c r="BS966" t="s">
        <v>17084</v>
      </c>
      <c r="BT966" t="str">
        <f>HYPERLINK("https%3A%2F%2Fwww.webofscience.com%2Fwos%2Fwoscc%2Ffull-record%2FWOS:000267572600011","View Full Record in Web of Science")</f>
        <v>View Full Record in Web of Science</v>
      </c>
    </row>
    <row r="967" spans="1:72" x14ac:dyDescent="0.15">
      <c r="A967" t="s">
        <v>72</v>
      </c>
      <c r="B967" t="s">
        <v>17085</v>
      </c>
      <c r="C967" t="s">
        <v>74</v>
      </c>
      <c r="D967" t="s">
        <v>74</v>
      </c>
      <c r="E967" t="s">
        <v>74</v>
      </c>
      <c r="F967" t="s">
        <v>17086</v>
      </c>
      <c r="G967" t="s">
        <v>74</v>
      </c>
      <c r="H967" t="s">
        <v>74</v>
      </c>
      <c r="I967" t="s">
        <v>17087</v>
      </c>
      <c r="J967" t="s">
        <v>2328</v>
      </c>
      <c r="K967" t="s">
        <v>74</v>
      </c>
      <c r="L967" t="s">
        <v>74</v>
      </c>
      <c r="M967" t="s">
        <v>78</v>
      </c>
      <c r="N967" t="s">
        <v>79</v>
      </c>
      <c r="O967" t="s">
        <v>74</v>
      </c>
      <c r="P967" t="s">
        <v>74</v>
      </c>
      <c r="Q967" t="s">
        <v>74</v>
      </c>
      <c r="R967" t="s">
        <v>74</v>
      </c>
      <c r="S967" t="s">
        <v>74</v>
      </c>
      <c r="T967" t="s">
        <v>17088</v>
      </c>
      <c r="U967" t="s">
        <v>17089</v>
      </c>
      <c r="V967" t="s">
        <v>17090</v>
      </c>
      <c r="W967" t="s">
        <v>17091</v>
      </c>
      <c r="X967" t="s">
        <v>17092</v>
      </c>
      <c r="Y967" t="s">
        <v>17093</v>
      </c>
      <c r="Z967" t="s">
        <v>17094</v>
      </c>
      <c r="AA967" t="s">
        <v>74</v>
      </c>
      <c r="AB967" t="s">
        <v>6462</v>
      </c>
      <c r="AC967" t="s">
        <v>17095</v>
      </c>
      <c r="AD967" t="s">
        <v>17096</v>
      </c>
      <c r="AE967" t="s">
        <v>17097</v>
      </c>
      <c r="AF967" t="s">
        <v>74</v>
      </c>
      <c r="AG967">
        <v>36</v>
      </c>
      <c r="AH967">
        <v>37</v>
      </c>
      <c r="AI967">
        <v>43</v>
      </c>
      <c r="AJ967">
        <v>0</v>
      </c>
      <c r="AK967">
        <v>4</v>
      </c>
      <c r="AL967" t="s">
        <v>1894</v>
      </c>
      <c r="AM967" t="s">
        <v>1895</v>
      </c>
      <c r="AN967" t="s">
        <v>1896</v>
      </c>
      <c r="AO967" t="s">
        <v>2341</v>
      </c>
      <c r="AP967" t="s">
        <v>74</v>
      </c>
      <c r="AQ967" t="s">
        <v>74</v>
      </c>
      <c r="AR967" t="s">
        <v>2343</v>
      </c>
      <c r="AS967" t="s">
        <v>2344</v>
      </c>
      <c r="AT967" t="s">
        <v>15810</v>
      </c>
      <c r="AU967">
        <v>2009</v>
      </c>
      <c r="AV967">
        <v>71</v>
      </c>
      <c r="AW967" t="s">
        <v>12087</v>
      </c>
      <c r="AX967" t="s">
        <v>74</v>
      </c>
      <c r="AY967" t="s">
        <v>74</v>
      </c>
      <c r="AZ967" t="s">
        <v>74</v>
      </c>
      <c r="BA967" t="s">
        <v>74</v>
      </c>
      <c r="BB967">
        <v>991</v>
      </c>
      <c r="BC967">
        <v>1000</v>
      </c>
      <c r="BD967" t="s">
        <v>74</v>
      </c>
      <c r="BE967" t="s">
        <v>17098</v>
      </c>
      <c r="BF967" t="str">
        <f>HYPERLINK("http://dx.doi.org/10.1016/j.jastp.2009.04.005","http://dx.doi.org/10.1016/j.jastp.2009.04.005")</f>
        <v>http://dx.doi.org/10.1016/j.jastp.2009.04.005</v>
      </c>
      <c r="BG967" t="s">
        <v>74</v>
      </c>
      <c r="BH967" t="s">
        <v>74</v>
      </c>
      <c r="BI967">
        <v>10</v>
      </c>
      <c r="BJ967" t="s">
        <v>2347</v>
      </c>
      <c r="BK967" t="s">
        <v>98</v>
      </c>
      <c r="BL967" t="s">
        <v>2347</v>
      </c>
      <c r="BM967" t="s">
        <v>17038</v>
      </c>
      <c r="BN967" t="s">
        <v>74</v>
      </c>
      <c r="BO967" t="s">
        <v>74</v>
      </c>
      <c r="BP967" t="s">
        <v>74</v>
      </c>
      <c r="BQ967" t="s">
        <v>74</v>
      </c>
      <c r="BR967" t="s">
        <v>101</v>
      </c>
      <c r="BS967" t="s">
        <v>17099</v>
      </c>
      <c r="BT967" t="str">
        <f>HYPERLINK("https%3A%2F%2Fwww.webofscience.com%2Fwos%2Fwoscc%2Ffull-record%2FWOS:000267572600024","View Full Record in Web of Science")</f>
        <v>View Full Record in Web of Science</v>
      </c>
    </row>
    <row r="968" spans="1:72" x14ac:dyDescent="0.15">
      <c r="A968" t="s">
        <v>72</v>
      </c>
      <c r="B968" t="s">
        <v>17100</v>
      </c>
      <c r="C968" t="s">
        <v>74</v>
      </c>
      <c r="D968" t="s">
        <v>74</v>
      </c>
      <c r="E968" t="s">
        <v>74</v>
      </c>
      <c r="F968" t="s">
        <v>17101</v>
      </c>
      <c r="G968" t="s">
        <v>74</v>
      </c>
      <c r="H968" t="s">
        <v>74</v>
      </c>
      <c r="I968" t="s">
        <v>17102</v>
      </c>
      <c r="J968" t="s">
        <v>17103</v>
      </c>
      <c r="K968" t="s">
        <v>74</v>
      </c>
      <c r="L968" t="s">
        <v>74</v>
      </c>
      <c r="M968" t="s">
        <v>78</v>
      </c>
      <c r="N968" t="s">
        <v>79</v>
      </c>
      <c r="O968" t="s">
        <v>74</v>
      </c>
      <c r="P968" t="s">
        <v>74</v>
      </c>
      <c r="Q968" t="s">
        <v>74</v>
      </c>
      <c r="R968" t="s">
        <v>74</v>
      </c>
      <c r="S968" t="s">
        <v>74</v>
      </c>
      <c r="T968" t="s">
        <v>74</v>
      </c>
      <c r="U968" t="s">
        <v>17104</v>
      </c>
      <c r="V968" t="s">
        <v>74</v>
      </c>
      <c r="W968" t="s">
        <v>17105</v>
      </c>
      <c r="X968" t="s">
        <v>17106</v>
      </c>
      <c r="Y968" t="s">
        <v>17107</v>
      </c>
      <c r="Z968" t="s">
        <v>17108</v>
      </c>
      <c r="AA968" t="s">
        <v>17109</v>
      </c>
      <c r="AB968" t="s">
        <v>17110</v>
      </c>
      <c r="AC968" t="s">
        <v>17111</v>
      </c>
      <c r="AD968" t="s">
        <v>17112</v>
      </c>
      <c r="AE968" t="s">
        <v>17113</v>
      </c>
      <c r="AF968" t="s">
        <v>74</v>
      </c>
      <c r="AG968">
        <v>52</v>
      </c>
      <c r="AH968">
        <v>42</v>
      </c>
      <c r="AI968">
        <v>44</v>
      </c>
      <c r="AJ968">
        <v>0</v>
      </c>
      <c r="AK968">
        <v>3</v>
      </c>
      <c r="AL968" t="s">
        <v>2614</v>
      </c>
      <c r="AM968" t="s">
        <v>2615</v>
      </c>
      <c r="AN968" t="s">
        <v>2910</v>
      </c>
      <c r="AO968" t="s">
        <v>17114</v>
      </c>
      <c r="AP968" t="s">
        <v>17115</v>
      </c>
      <c r="AQ968" t="s">
        <v>74</v>
      </c>
      <c r="AR968" t="s">
        <v>17116</v>
      </c>
      <c r="AS968" t="s">
        <v>17117</v>
      </c>
      <c r="AT968" t="s">
        <v>15810</v>
      </c>
      <c r="AU968">
        <v>2009</v>
      </c>
      <c r="AV968">
        <v>31</v>
      </c>
      <c r="AW968" t="s">
        <v>74</v>
      </c>
      <c r="AX968">
        <v>2</v>
      </c>
      <c r="AY968" t="s">
        <v>74</v>
      </c>
      <c r="AZ968" t="s">
        <v>74</v>
      </c>
      <c r="BA968" t="s">
        <v>74</v>
      </c>
      <c r="BB968">
        <v>132</v>
      </c>
      <c r="BC968">
        <v>139</v>
      </c>
      <c r="BD968" t="s">
        <v>74</v>
      </c>
      <c r="BE968" t="s">
        <v>17118</v>
      </c>
      <c r="BF968" t="str">
        <f>HYPERLINK("http://dx.doi.org/10.1179/174328209X431213","http://dx.doi.org/10.1179/174328209X431213")</f>
        <v>http://dx.doi.org/10.1179/174328209X431213</v>
      </c>
      <c r="BG968" t="s">
        <v>74</v>
      </c>
      <c r="BH968" t="s">
        <v>74</v>
      </c>
      <c r="BI968">
        <v>9</v>
      </c>
      <c r="BJ968" t="s">
        <v>1527</v>
      </c>
      <c r="BK968" t="s">
        <v>98</v>
      </c>
      <c r="BL968" t="s">
        <v>1527</v>
      </c>
      <c r="BM968" t="s">
        <v>17119</v>
      </c>
      <c r="BN968" t="s">
        <v>74</v>
      </c>
      <c r="BO968" t="s">
        <v>74</v>
      </c>
      <c r="BP968" t="s">
        <v>74</v>
      </c>
      <c r="BQ968" t="s">
        <v>74</v>
      </c>
      <c r="BR968" t="s">
        <v>101</v>
      </c>
      <c r="BS968" t="s">
        <v>17120</v>
      </c>
      <c r="BT968" t="str">
        <f>HYPERLINK("https%3A%2F%2Fwww.webofscience.com%2Fwos%2Fwoscc%2Ffull-record%2FWOS:000267588500012","View Full Record in Web of Science")</f>
        <v>View Full Record in Web of Science</v>
      </c>
    </row>
    <row r="969" spans="1:72" x14ac:dyDescent="0.15">
      <c r="A969" t="s">
        <v>72</v>
      </c>
      <c r="B969" t="s">
        <v>17121</v>
      </c>
      <c r="C969" t="s">
        <v>74</v>
      </c>
      <c r="D969" t="s">
        <v>74</v>
      </c>
      <c r="E969" t="s">
        <v>74</v>
      </c>
      <c r="F969" t="s">
        <v>17122</v>
      </c>
      <c r="G969" t="s">
        <v>74</v>
      </c>
      <c r="H969" t="s">
        <v>74</v>
      </c>
      <c r="I969" t="s">
        <v>17123</v>
      </c>
      <c r="J969" t="s">
        <v>2386</v>
      </c>
      <c r="K969" t="s">
        <v>74</v>
      </c>
      <c r="L969" t="s">
        <v>74</v>
      </c>
      <c r="M969" t="s">
        <v>78</v>
      </c>
      <c r="N969" t="s">
        <v>79</v>
      </c>
      <c r="O969" t="s">
        <v>74</v>
      </c>
      <c r="P969" t="s">
        <v>74</v>
      </c>
      <c r="Q969" t="s">
        <v>74</v>
      </c>
      <c r="R969" t="s">
        <v>74</v>
      </c>
      <c r="S969" t="s">
        <v>74</v>
      </c>
      <c r="T969" t="s">
        <v>74</v>
      </c>
      <c r="U969" t="s">
        <v>17124</v>
      </c>
      <c r="V969" t="s">
        <v>17125</v>
      </c>
      <c r="W969" t="s">
        <v>17126</v>
      </c>
      <c r="X969" t="s">
        <v>4558</v>
      </c>
      <c r="Y969" t="s">
        <v>17127</v>
      </c>
      <c r="Z969" t="s">
        <v>17128</v>
      </c>
      <c r="AA969" t="s">
        <v>17129</v>
      </c>
      <c r="AB969" t="s">
        <v>17130</v>
      </c>
      <c r="AC969" t="s">
        <v>17131</v>
      </c>
      <c r="AD969" t="s">
        <v>17132</v>
      </c>
      <c r="AE969" t="s">
        <v>17133</v>
      </c>
      <c r="AF969" t="s">
        <v>74</v>
      </c>
      <c r="AG969">
        <v>57</v>
      </c>
      <c r="AH969">
        <v>69</v>
      </c>
      <c r="AI969">
        <v>74</v>
      </c>
      <c r="AJ969">
        <v>1</v>
      </c>
      <c r="AK969">
        <v>11</v>
      </c>
      <c r="AL969" t="s">
        <v>2397</v>
      </c>
      <c r="AM969" t="s">
        <v>2398</v>
      </c>
      <c r="AN969" t="s">
        <v>2399</v>
      </c>
      <c r="AO969" t="s">
        <v>2400</v>
      </c>
      <c r="AP969" t="s">
        <v>2401</v>
      </c>
      <c r="AQ969" t="s">
        <v>74</v>
      </c>
      <c r="AR969" t="s">
        <v>2402</v>
      </c>
      <c r="AS969" t="s">
        <v>2403</v>
      </c>
      <c r="AT969" t="s">
        <v>15810</v>
      </c>
      <c r="AU969">
        <v>2009</v>
      </c>
      <c r="AV969">
        <v>22</v>
      </c>
      <c r="AW969">
        <v>11</v>
      </c>
      <c r="AX969" t="s">
        <v>74</v>
      </c>
      <c r="AY969" t="s">
        <v>74</v>
      </c>
      <c r="AZ969" t="s">
        <v>74</v>
      </c>
      <c r="BA969" t="s">
        <v>74</v>
      </c>
      <c r="BB969">
        <v>2905</v>
      </c>
      <c r="BC969">
        <v>2924</v>
      </c>
      <c r="BD969" t="s">
        <v>74</v>
      </c>
      <c r="BE969" t="s">
        <v>17134</v>
      </c>
      <c r="BF969" t="str">
        <f>HYPERLINK("http://dx.doi.org/10.1175/2008JCLI2540.1","http://dx.doi.org/10.1175/2008JCLI2540.1")</f>
        <v>http://dx.doi.org/10.1175/2008JCLI2540.1</v>
      </c>
      <c r="BG969" t="s">
        <v>74</v>
      </c>
      <c r="BH969" t="s">
        <v>74</v>
      </c>
      <c r="BI969">
        <v>20</v>
      </c>
      <c r="BJ969" t="s">
        <v>413</v>
      </c>
      <c r="BK969" t="s">
        <v>98</v>
      </c>
      <c r="BL969" t="s">
        <v>413</v>
      </c>
      <c r="BM969" t="s">
        <v>17135</v>
      </c>
      <c r="BN969" t="s">
        <v>74</v>
      </c>
      <c r="BO969" t="s">
        <v>627</v>
      </c>
      <c r="BP969" t="s">
        <v>74</v>
      </c>
      <c r="BQ969" t="s">
        <v>74</v>
      </c>
      <c r="BR969" t="s">
        <v>101</v>
      </c>
      <c r="BS969" t="s">
        <v>17136</v>
      </c>
      <c r="BT969" t="str">
        <f>HYPERLINK("https%3A%2F%2Fwww.webofscience.com%2Fwos%2Fwoscc%2Ffull-record%2FWOS:000267763200007","View Full Record in Web of Science")</f>
        <v>View Full Record in Web of Science</v>
      </c>
    </row>
    <row r="970" spans="1:72" x14ac:dyDescent="0.15">
      <c r="A970" t="s">
        <v>72</v>
      </c>
      <c r="B970" t="s">
        <v>17137</v>
      </c>
      <c r="C970" t="s">
        <v>74</v>
      </c>
      <c r="D970" t="s">
        <v>74</v>
      </c>
      <c r="E970" t="s">
        <v>74</v>
      </c>
      <c r="F970" t="s">
        <v>17138</v>
      </c>
      <c r="G970" t="s">
        <v>74</v>
      </c>
      <c r="H970" t="s">
        <v>74</v>
      </c>
      <c r="I970" t="s">
        <v>17139</v>
      </c>
      <c r="J970" t="s">
        <v>2386</v>
      </c>
      <c r="K970" t="s">
        <v>74</v>
      </c>
      <c r="L970" t="s">
        <v>74</v>
      </c>
      <c r="M970" t="s">
        <v>78</v>
      </c>
      <c r="N970" t="s">
        <v>79</v>
      </c>
      <c r="O970" t="s">
        <v>74</v>
      </c>
      <c r="P970" t="s">
        <v>74</v>
      </c>
      <c r="Q970" t="s">
        <v>74</v>
      </c>
      <c r="R970" t="s">
        <v>74</v>
      </c>
      <c r="S970" t="s">
        <v>74</v>
      </c>
      <c r="T970" t="s">
        <v>74</v>
      </c>
      <c r="U970" t="s">
        <v>17140</v>
      </c>
      <c r="V970" t="s">
        <v>17141</v>
      </c>
      <c r="W970" t="s">
        <v>17142</v>
      </c>
      <c r="X970" t="s">
        <v>17143</v>
      </c>
      <c r="Y970" t="s">
        <v>17144</v>
      </c>
      <c r="Z970" t="s">
        <v>17145</v>
      </c>
      <c r="AA970" t="s">
        <v>17146</v>
      </c>
      <c r="AB970" t="s">
        <v>17147</v>
      </c>
      <c r="AC970" t="s">
        <v>17148</v>
      </c>
      <c r="AD970" t="s">
        <v>17149</v>
      </c>
      <c r="AE970" t="s">
        <v>17150</v>
      </c>
      <c r="AF970" t="s">
        <v>74</v>
      </c>
      <c r="AG970">
        <v>34</v>
      </c>
      <c r="AH970">
        <v>19</v>
      </c>
      <c r="AI970">
        <v>19</v>
      </c>
      <c r="AJ970">
        <v>0</v>
      </c>
      <c r="AK970">
        <v>4</v>
      </c>
      <c r="AL970" t="s">
        <v>2397</v>
      </c>
      <c r="AM970" t="s">
        <v>2398</v>
      </c>
      <c r="AN970" t="s">
        <v>2399</v>
      </c>
      <c r="AO970" t="s">
        <v>2400</v>
      </c>
      <c r="AP970" t="s">
        <v>2401</v>
      </c>
      <c r="AQ970" t="s">
        <v>74</v>
      </c>
      <c r="AR970" t="s">
        <v>2402</v>
      </c>
      <c r="AS970" t="s">
        <v>2403</v>
      </c>
      <c r="AT970" t="s">
        <v>15810</v>
      </c>
      <c r="AU970">
        <v>2009</v>
      </c>
      <c r="AV970">
        <v>22</v>
      </c>
      <c r="AW970">
        <v>12</v>
      </c>
      <c r="AX970" t="s">
        <v>74</v>
      </c>
      <c r="AY970" t="s">
        <v>74</v>
      </c>
      <c r="AZ970" t="s">
        <v>74</v>
      </c>
      <c r="BA970" t="s">
        <v>74</v>
      </c>
      <c r="BB970">
        <v>3232</v>
      </c>
      <c r="BC970">
        <v>3247</v>
      </c>
      <c r="BD970" t="s">
        <v>74</v>
      </c>
      <c r="BE970" t="s">
        <v>17151</v>
      </c>
      <c r="BF970" t="str">
        <f>HYPERLINK("http://dx.doi.org/10.1175/2008JCLI2539.1","http://dx.doi.org/10.1175/2008JCLI2539.1")</f>
        <v>http://dx.doi.org/10.1175/2008JCLI2539.1</v>
      </c>
      <c r="BG970" t="s">
        <v>74</v>
      </c>
      <c r="BH970" t="s">
        <v>74</v>
      </c>
      <c r="BI970">
        <v>16</v>
      </c>
      <c r="BJ970" t="s">
        <v>413</v>
      </c>
      <c r="BK970" t="s">
        <v>98</v>
      </c>
      <c r="BL970" t="s">
        <v>413</v>
      </c>
      <c r="BM970" t="s">
        <v>17152</v>
      </c>
      <c r="BN970" t="s">
        <v>74</v>
      </c>
      <c r="BO970" t="s">
        <v>467</v>
      </c>
      <c r="BP970" t="s">
        <v>74</v>
      </c>
      <c r="BQ970" t="s">
        <v>74</v>
      </c>
      <c r="BR970" t="s">
        <v>101</v>
      </c>
      <c r="BS970" t="s">
        <v>17153</v>
      </c>
      <c r="BT970" t="str">
        <f>HYPERLINK("https%3A%2F%2Fwww.webofscience.com%2Fwos%2Fwoscc%2Ffull-record%2FWOS:000268126300004","View Full Record in Web of Science")</f>
        <v>View Full Record in Web of Science</v>
      </c>
    </row>
    <row r="971" spans="1:72" x14ac:dyDescent="0.15">
      <c r="A971" t="s">
        <v>72</v>
      </c>
      <c r="B971" t="s">
        <v>17154</v>
      </c>
      <c r="C971" t="s">
        <v>74</v>
      </c>
      <c r="D971" t="s">
        <v>74</v>
      </c>
      <c r="E971" t="s">
        <v>74</v>
      </c>
      <c r="F971" t="s">
        <v>17155</v>
      </c>
      <c r="G971" t="s">
        <v>74</v>
      </c>
      <c r="H971" t="s">
        <v>74</v>
      </c>
      <c r="I971" t="s">
        <v>17156</v>
      </c>
      <c r="J971" t="s">
        <v>2386</v>
      </c>
      <c r="K971" t="s">
        <v>74</v>
      </c>
      <c r="L971" t="s">
        <v>74</v>
      </c>
      <c r="M971" t="s">
        <v>78</v>
      </c>
      <c r="N971" t="s">
        <v>79</v>
      </c>
      <c r="O971" t="s">
        <v>74</v>
      </c>
      <c r="P971" t="s">
        <v>74</v>
      </c>
      <c r="Q971" t="s">
        <v>74</v>
      </c>
      <c r="R971" t="s">
        <v>74</v>
      </c>
      <c r="S971" t="s">
        <v>74</v>
      </c>
      <c r="T971" t="s">
        <v>74</v>
      </c>
      <c r="U971" t="s">
        <v>17157</v>
      </c>
      <c r="V971" t="s">
        <v>17158</v>
      </c>
      <c r="W971" t="s">
        <v>17159</v>
      </c>
      <c r="X971" t="s">
        <v>17160</v>
      </c>
      <c r="Y971" t="s">
        <v>17161</v>
      </c>
      <c r="Z971" t="s">
        <v>17162</v>
      </c>
      <c r="AA971" t="s">
        <v>17163</v>
      </c>
      <c r="AB971" t="s">
        <v>17164</v>
      </c>
      <c r="AC971" t="s">
        <v>17165</v>
      </c>
      <c r="AD971" t="s">
        <v>17166</v>
      </c>
      <c r="AE971" t="s">
        <v>17167</v>
      </c>
      <c r="AF971" t="s">
        <v>74</v>
      </c>
      <c r="AG971">
        <v>40</v>
      </c>
      <c r="AH971">
        <v>44</v>
      </c>
      <c r="AI971">
        <v>48</v>
      </c>
      <c r="AJ971">
        <v>1</v>
      </c>
      <c r="AK971">
        <v>31</v>
      </c>
      <c r="AL971" t="s">
        <v>2397</v>
      </c>
      <c r="AM971" t="s">
        <v>2398</v>
      </c>
      <c r="AN971" t="s">
        <v>2399</v>
      </c>
      <c r="AO971" t="s">
        <v>2400</v>
      </c>
      <c r="AP971" t="s">
        <v>2401</v>
      </c>
      <c r="AQ971" t="s">
        <v>74</v>
      </c>
      <c r="AR971" t="s">
        <v>2402</v>
      </c>
      <c r="AS971" t="s">
        <v>2403</v>
      </c>
      <c r="AT971" t="s">
        <v>15810</v>
      </c>
      <c r="AU971">
        <v>2009</v>
      </c>
      <c r="AV971">
        <v>22</v>
      </c>
      <c r="AW971">
        <v>12</v>
      </c>
      <c r="AX971" t="s">
        <v>74</v>
      </c>
      <c r="AY971" t="s">
        <v>74</v>
      </c>
      <c r="AZ971" t="s">
        <v>74</v>
      </c>
      <c r="BA971" t="s">
        <v>74</v>
      </c>
      <c r="BB971">
        <v>3289</v>
      </c>
      <c r="BC971">
        <v>3302</v>
      </c>
      <c r="BD971" t="s">
        <v>74</v>
      </c>
      <c r="BE971" t="s">
        <v>17168</v>
      </c>
      <c r="BF971" t="str">
        <f>HYPERLINK("http://dx.doi.org/10.1175/2008JCLI2653.1","http://dx.doi.org/10.1175/2008JCLI2653.1")</f>
        <v>http://dx.doi.org/10.1175/2008JCLI2653.1</v>
      </c>
      <c r="BG971" t="s">
        <v>74</v>
      </c>
      <c r="BH971" t="s">
        <v>74</v>
      </c>
      <c r="BI971">
        <v>14</v>
      </c>
      <c r="BJ971" t="s">
        <v>413</v>
      </c>
      <c r="BK971" t="s">
        <v>98</v>
      </c>
      <c r="BL971" t="s">
        <v>413</v>
      </c>
      <c r="BM971" t="s">
        <v>17152</v>
      </c>
      <c r="BN971" t="s">
        <v>74</v>
      </c>
      <c r="BO971" t="s">
        <v>765</v>
      </c>
      <c r="BP971" t="s">
        <v>74</v>
      </c>
      <c r="BQ971" t="s">
        <v>74</v>
      </c>
      <c r="BR971" t="s">
        <v>101</v>
      </c>
      <c r="BS971" t="s">
        <v>17169</v>
      </c>
      <c r="BT971" t="str">
        <f>HYPERLINK("https%3A%2F%2Fwww.webofscience.com%2Fwos%2Fwoscc%2Ffull-record%2FWOS:000268126300007","View Full Record in Web of Science")</f>
        <v>View Full Record in Web of Science</v>
      </c>
    </row>
    <row r="972" spans="1:72" x14ac:dyDescent="0.15">
      <c r="A972" t="s">
        <v>72</v>
      </c>
      <c r="B972" t="s">
        <v>17170</v>
      </c>
      <c r="C972" t="s">
        <v>74</v>
      </c>
      <c r="D972" t="s">
        <v>74</v>
      </c>
      <c r="E972" t="s">
        <v>74</v>
      </c>
      <c r="F972" t="s">
        <v>17171</v>
      </c>
      <c r="G972" t="s">
        <v>74</v>
      </c>
      <c r="H972" t="s">
        <v>74</v>
      </c>
      <c r="I972" t="s">
        <v>17172</v>
      </c>
      <c r="J972" t="s">
        <v>17173</v>
      </c>
      <c r="K972" t="s">
        <v>74</v>
      </c>
      <c r="L972" t="s">
        <v>74</v>
      </c>
      <c r="M972" t="s">
        <v>78</v>
      </c>
      <c r="N972" t="s">
        <v>79</v>
      </c>
      <c r="O972" t="s">
        <v>74</v>
      </c>
      <c r="P972" t="s">
        <v>74</v>
      </c>
      <c r="Q972" t="s">
        <v>74</v>
      </c>
      <c r="R972" t="s">
        <v>74</v>
      </c>
      <c r="S972" t="s">
        <v>74</v>
      </c>
      <c r="T972" t="s">
        <v>17174</v>
      </c>
      <c r="U972" t="s">
        <v>17175</v>
      </c>
      <c r="V972" t="s">
        <v>17176</v>
      </c>
      <c r="W972" t="s">
        <v>17177</v>
      </c>
      <c r="X972" t="s">
        <v>17178</v>
      </c>
      <c r="Y972" t="s">
        <v>17179</v>
      </c>
      <c r="Z972" t="s">
        <v>17180</v>
      </c>
      <c r="AA972" t="s">
        <v>17181</v>
      </c>
      <c r="AB972" t="s">
        <v>17182</v>
      </c>
      <c r="AC972" t="s">
        <v>17183</v>
      </c>
      <c r="AD972" t="s">
        <v>17184</v>
      </c>
      <c r="AE972" t="s">
        <v>17185</v>
      </c>
      <c r="AF972" t="s">
        <v>74</v>
      </c>
      <c r="AG972">
        <v>53</v>
      </c>
      <c r="AH972">
        <v>34</v>
      </c>
      <c r="AI972">
        <v>40</v>
      </c>
      <c r="AJ972">
        <v>2</v>
      </c>
      <c r="AK972">
        <v>18</v>
      </c>
      <c r="AL972" t="s">
        <v>1211</v>
      </c>
      <c r="AM972" t="s">
        <v>433</v>
      </c>
      <c r="AN972" t="s">
        <v>1212</v>
      </c>
      <c r="AO972" t="s">
        <v>17186</v>
      </c>
      <c r="AP972" t="s">
        <v>17187</v>
      </c>
      <c r="AQ972" t="s">
        <v>74</v>
      </c>
      <c r="AR972" t="s">
        <v>17188</v>
      </c>
      <c r="AS972" t="s">
        <v>17189</v>
      </c>
      <c r="AT972" t="s">
        <v>15810</v>
      </c>
      <c r="AU972">
        <v>2009</v>
      </c>
      <c r="AV972">
        <v>90</v>
      </c>
      <c r="AW972">
        <v>8</v>
      </c>
      <c r="AX972" t="s">
        <v>74</v>
      </c>
      <c r="AY972" t="s">
        <v>74</v>
      </c>
      <c r="AZ972" t="s">
        <v>74</v>
      </c>
      <c r="BA972" t="s">
        <v>74</v>
      </c>
      <c r="BB972">
        <v>2730</v>
      </c>
      <c r="BC972">
        <v>2736</v>
      </c>
      <c r="BD972" t="s">
        <v>74</v>
      </c>
      <c r="BE972" t="s">
        <v>17190</v>
      </c>
      <c r="BF972" t="str">
        <f>HYPERLINK("http://dx.doi.org/10.1016/j.jenvman.2009.03.001","http://dx.doi.org/10.1016/j.jenvman.2009.03.001")</f>
        <v>http://dx.doi.org/10.1016/j.jenvman.2009.03.001</v>
      </c>
      <c r="BG972" t="s">
        <v>74</v>
      </c>
      <c r="BH972" t="s">
        <v>74</v>
      </c>
      <c r="BI972">
        <v>7</v>
      </c>
      <c r="BJ972" t="s">
        <v>515</v>
      </c>
      <c r="BK972" t="s">
        <v>98</v>
      </c>
      <c r="BL972" t="s">
        <v>516</v>
      </c>
      <c r="BM972" t="s">
        <v>17191</v>
      </c>
      <c r="BN972">
        <v>19346055</v>
      </c>
      <c r="BO972" t="s">
        <v>74</v>
      </c>
      <c r="BP972" t="s">
        <v>74</v>
      </c>
      <c r="BQ972" t="s">
        <v>74</v>
      </c>
      <c r="BR972" t="s">
        <v>101</v>
      </c>
      <c r="BS972" t="s">
        <v>17192</v>
      </c>
      <c r="BT972" t="str">
        <f>HYPERLINK("https%3A%2F%2Fwww.webofscience.com%2Fwos%2Fwoscc%2Ffull-record%2FWOS:000267453100045","View Full Record in Web of Science")</f>
        <v>View Full Record in Web of Science</v>
      </c>
    </row>
    <row r="973" spans="1:72" x14ac:dyDescent="0.15">
      <c r="A973" t="s">
        <v>72</v>
      </c>
      <c r="B973" t="s">
        <v>17193</v>
      </c>
      <c r="C973" t="s">
        <v>74</v>
      </c>
      <c r="D973" t="s">
        <v>74</v>
      </c>
      <c r="E973" t="s">
        <v>74</v>
      </c>
      <c r="F973" t="s">
        <v>17194</v>
      </c>
      <c r="G973" t="s">
        <v>74</v>
      </c>
      <c r="H973" t="s">
        <v>74</v>
      </c>
      <c r="I973" t="s">
        <v>17195</v>
      </c>
      <c r="J973" t="s">
        <v>17196</v>
      </c>
      <c r="K973" t="s">
        <v>74</v>
      </c>
      <c r="L973" t="s">
        <v>74</v>
      </c>
      <c r="M973" t="s">
        <v>78</v>
      </c>
      <c r="N973" t="s">
        <v>79</v>
      </c>
      <c r="O973" t="s">
        <v>74</v>
      </c>
      <c r="P973" t="s">
        <v>74</v>
      </c>
      <c r="Q973" t="s">
        <v>74</v>
      </c>
      <c r="R973" t="s">
        <v>74</v>
      </c>
      <c r="S973" t="s">
        <v>74</v>
      </c>
      <c r="T973" t="s">
        <v>17197</v>
      </c>
      <c r="U973" t="s">
        <v>17198</v>
      </c>
      <c r="V973" t="s">
        <v>17199</v>
      </c>
      <c r="W973" t="s">
        <v>17200</v>
      </c>
      <c r="X973" t="s">
        <v>15800</v>
      </c>
      <c r="Y973" t="s">
        <v>17201</v>
      </c>
      <c r="Z973" t="s">
        <v>17202</v>
      </c>
      <c r="AA973" t="s">
        <v>17203</v>
      </c>
      <c r="AB973" t="s">
        <v>17204</v>
      </c>
      <c r="AC973" t="s">
        <v>17205</v>
      </c>
      <c r="AD973" t="s">
        <v>17206</v>
      </c>
      <c r="AE973" t="s">
        <v>17207</v>
      </c>
      <c r="AF973" t="s">
        <v>74</v>
      </c>
      <c r="AG973">
        <v>56</v>
      </c>
      <c r="AH973">
        <v>5</v>
      </c>
      <c r="AI973">
        <v>5</v>
      </c>
      <c r="AJ973">
        <v>0</v>
      </c>
      <c r="AK973">
        <v>7</v>
      </c>
      <c r="AL973" t="s">
        <v>1184</v>
      </c>
      <c r="AM973" t="s">
        <v>1185</v>
      </c>
      <c r="AN973" t="s">
        <v>1186</v>
      </c>
      <c r="AO973" t="s">
        <v>17208</v>
      </c>
      <c r="AP973" t="s">
        <v>17209</v>
      </c>
      <c r="AQ973" t="s">
        <v>74</v>
      </c>
      <c r="AR973" t="s">
        <v>17210</v>
      </c>
      <c r="AS973" t="s">
        <v>17211</v>
      </c>
      <c r="AT973" t="s">
        <v>15810</v>
      </c>
      <c r="AU973">
        <v>2009</v>
      </c>
      <c r="AV973">
        <v>51</v>
      </c>
      <c r="AW973">
        <v>6</v>
      </c>
      <c r="AX973" t="s">
        <v>74</v>
      </c>
      <c r="AY973" t="s">
        <v>74</v>
      </c>
      <c r="AZ973" t="s">
        <v>74</v>
      </c>
      <c r="BA973" t="s">
        <v>74</v>
      </c>
      <c r="BB973">
        <v>593</v>
      </c>
      <c r="BC973">
        <v>603</v>
      </c>
      <c r="BD973" t="s">
        <v>74</v>
      </c>
      <c r="BE973" t="s">
        <v>17212</v>
      </c>
      <c r="BF973" t="str">
        <f>HYPERLINK("http://dx.doi.org/10.1111/j.1744-7909.2008.00802.x","http://dx.doi.org/10.1111/j.1744-7909.2008.00802.x")</f>
        <v>http://dx.doi.org/10.1111/j.1744-7909.2008.00802.x</v>
      </c>
      <c r="BG973" t="s">
        <v>74</v>
      </c>
      <c r="BH973" t="s">
        <v>74</v>
      </c>
      <c r="BI973">
        <v>11</v>
      </c>
      <c r="BJ973" t="s">
        <v>17213</v>
      </c>
      <c r="BK973" t="s">
        <v>98</v>
      </c>
      <c r="BL973" t="s">
        <v>17213</v>
      </c>
      <c r="BM973" t="s">
        <v>17214</v>
      </c>
      <c r="BN973">
        <v>19522818</v>
      </c>
      <c r="BO973" t="s">
        <v>263</v>
      </c>
      <c r="BP973" t="s">
        <v>74</v>
      </c>
      <c r="BQ973" t="s">
        <v>74</v>
      </c>
      <c r="BR973" t="s">
        <v>101</v>
      </c>
      <c r="BS973" t="s">
        <v>17215</v>
      </c>
      <c r="BT973" t="str">
        <f>HYPERLINK("https%3A%2F%2Fwww.webofscience.com%2Fwos%2Fwoscc%2Ffull-record%2FWOS:000266843200008","View Full Record in Web of Science")</f>
        <v>View Full Record in Web of Science</v>
      </c>
    </row>
    <row r="974" spans="1:72" x14ac:dyDescent="0.15">
      <c r="A974" t="s">
        <v>72</v>
      </c>
      <c r="B974" t="s">
        <v>17216</v>
      </c>
      <c r="C974" t="s">
        <v>74</v>
      </c>
      <c r="D974" t="s">
        <v>74</v>
      </c>
      <c r="E974" t="s">
        <v>74</v>
      </c>
      <c r="F974" t="s">
        <v>17217</v>
      </c>
      <c r="G974" t="s">
        <v>74</v>
      </c>
      <c r="H974" t="s">
        <v>74</v>
      </c>
      <c r="I974" t="s">
        <v>17218</v>
      </c>
      <c r="J974" t="s">
        <v>17219</v>
      </c>
      <c r="K974" t="s">
        <v>74</v>
      </c>
      <c r="L974" t="s">
        <v>74</v>
      </c>
      <c r="M974" t="s">
        <v>78</v>
      </c>
      <c r="N974" t="s">
        <v>79</v>
      </c>
      <c r="O974" t="s">
        <v>74</v>
      </c>
      <c r="P974" t="s">
        <v>74</v>
      </c>
      <c r="Q974" t="s">
        <v>74</v>
      </c>
      <c r="R974" t="s">
        <v>74</v>
      </c>
      <c r="S974" t="s">
        <v>74</v>
      </c>
      <c r="T974" t="s">
        <v>17220</v>
      </c>
      <c r="U974" t="s">
        <v>17221</v>
      </c>
      <c r="V974" t="s">
        <v>17222</v>
      </c>
      <c r="W974" t="s">
        <v>17223</v>
      </c>
      <c r="X974" t="s">
        <v>10353</v>
      </c>
      <c r="Y974" t="s">
        <v>12139</v>
      </c>
      <c r="Z974" t="s">
        <v>12140</v>
      </c>
      <c r="AA974" t="s">
        <v>17224</v>
      </c>
      <c r="AB974" t="s">
        <v>12142</v>
      </c>
      <c r="AC974" t="s">
        <v>17225</v>
      </c>
      <c r="AD974" t="s">
        <v>17226</v>
      </c>
      <c r="AE974" t="s">
        <v>17227</v>
      </c>
      <c r="AF974" t="s">
        <v>74</v>
      </c>
      <c r="AG974">
        <v>45</v>
      </c>
      <c r="AH974">
        <v>12</v>
      </c>
      <c r="AI974">
        <v>13</v>
      </c>
      <c r="AJ974">
        <v>0</v>
      </c>
      <c r="AK974">
        <v>10</v>
      </c>
      <c r="AL974" t="s">
        <v>12107</v>
      </c>
      <c r="AM974" t="s">
        <v>12108</v>
      </c>
      <c r="AN974" t="s">
        <v>12109</v>
      </c>
      <c r="AO974" t="s">
        <v>17228</v>
      </c>
      <c r="AP974" t="s">
        <v>17229</v>
      </c>
      <c r="AQ974" t="s">
        <v>74</v>
      </c>
      <c r="AR974" t="s">
        <v>17230</v>
      </c>
      <c r="AS974" t="s">
        <v>17231</v>
      </c>
      <c r="AT974" t="s">
        <v>15810</v>
      </c>
      <c r="AU974">
        <v>2009</v>
      </c>
      <c r="AV974">
        <v>90</v>
      </c>
      <c r="AW974">
        <v>3</v>
      </c>
      <c r="AX974" t="s">
        <v>74</v>
      </c>
      <c r="AY974" t="s">
        <v>74</v>
      </c>
      <c r="AZ974" t="s">
        <v>74</v>
      </c>
      <c r="BA974" t="s">
        <v>74</v>
      </c>
      <c r="BB974">
        <v>621</v>
      </c>
      <c r="BC974">
        <v>628</v>
      </c>
      <c r="BD974" t="s">
        <v>74</v>
      </c>
      <c r="BE974" t="s">
        <v>17232</v>
      </c>
      <c r="BF974" t="str">
        <f>HYPERLINK("http://dx.doi.org/10.1644/08-MAMM-A-264R1.1","http://dx.doi.org/10.1644/08-MAMM-A-264R1.1")</f>
        <v>http://dx.doi.org/10.1644/08-MAMM-A-264R1.1</v>
      </c>
      <c r="BG974" t="s">
        <v>74</v>
      </c>
      <c r="BH974" t="s">
        <v>74</v>
      </c>
      <c r="BI974">
        <v>8</v>
      </c>
      <c r="BJ974" t="s">
        <v>207</v>
      </c>
      <c r="BK974" t="s">
        <v>98</v>
      </c>
      <c r="BL974" t="s">
        <v>207</v>
      </c>
      <c r="BM974" t="s">
        <v>17233</v>
      </c>
      <c r="BN974" t="s">
        <v>74</v>
      </c>
      <c r="BO974" t="s">
        <v>74</v>
      </c>
      <c r="BP974" t="s">
        <v>74</v>
      </c>
      <c r="BQ974" t="s">
        <v>74</v>
      </c>
      <c r="BR974" t="s">
        <v>101</v>
      </c>
      <c r="BS974" t="s">
        <v>17234</v>
      </c>
      <c r="BT974" t="str">
        <f>HYPERLINK("https%3A%2F%2Fwww.webofscience.com%2Fwos%2Fwoscc%2Ffull-record%2FWOS:000266952900009","View Full Record in Web of Science")</f>
        <v>View Full Record in Web of Science</v>
      </c>
    </row>
    <row r="975" spans="1:72" x14ac:dyDescent="0.15">
      <c r="A975" t="s">
        <v>72</v>
      </c>
      <c r="B975" t="s">
        <v>17235</v>
      </c>
      <c r="C975" t="s">
        <v>74</v>
      </c>
      <c r="D975" t="s">
        <v>74</v>
      </c>
      <c r="E975" t="s">
        <v>74</v>
      </c>
      <c r="F975" t="s">
        <v>17236</v>
      </c>
      <c r="G975" t="s">
        <v>74</v>
      </c>
      <c r="H975" t="s">
        <v>74</v>
      </c>
      <c r="I975" t="s">
        <v>17237</v>
      </c>
      <c r="J975" t="s">
        <v>5573</v>
      </c>
      <c r="K975" t="s">
        <v>74</v>
      </c>
      <c r="L975" t="s">
        <v>74</v>
      </c>
      <c r="M975" t="s">
        <v>78</v>
      </c>
      <c r="N975" t="s">
        <v>1965</v>
      </c>
      <c r="O975" t="s">
        <v>17238</v>
      </c>
      <c r="P975">
        <v>2007</v>
      </c>
      <c r="Q975" t="s">
        <v>17239</v>
      </c>
      <c r="R975" t="s">
        <v>74</v>
      </c>
      <c r="S975" t="s">
        <v>17240</v>
      </c>
      <c r="T975" t="s">
        <v>17241</v>
      </c>
      <c r="U975" t="s">
        <v>17242</v>
      </c>
      <c r="V975" t="s">
        <v>17243</v>
      </c>
      <c r="W975" t="s">
        <v>17244</v>
      </c>
      <c r="X975" t="s">
        <v>17245</v>
      </c>
      <c r="Y975" t="s">
        <v>17246</v>
      </c>
      <c r="Z975" t="s">
        <v>17247</v>
      </c>
      <c r="AA975" t="s">
        <v>17248</v>
      </c>
      <c r="AB975" t="s">
        <v>17249</v>
      </c>
      <c r="AC975" t="s">
        <v>74</v>
      </c>
      <c r="AD975" t="s">
        <v>74</v>
      </c>
      <c r="AE975" t="s">
        <v>74</v>
      </c>
      <c r="AF975" t="s">
        <v>74</v>
      </c>
      <c r="AG975">
        <v>47</v>
      </c>
      <c r="AH975">
        <v>48</v>
      </c>
      <c r="AI975">
        <v>54</v>
      </c>
      <c r="AJ975">
        <v>0</v>
      </c>
      <c r="AK975">
        <v>13</v>
      </c>
      <c r="AL975" t="s">
        <v>280</v>
      </c>
      <c r="AM975" t="s">
        <v>281</v>
      </c>
      <c r="AN975" t="s">
        <v>282</v>
      </c>
      <c r="AO975" t="s">
        <v>5586</v>
      </c>
      <c r="AP975" t="s">
        <v>74</v>
      </c>
      <c r="AQ975" t="s">
        <v>74</v>
      </c>
      <c r="AR975" t="s">
        <v>5587</v>
      </c>
      <c r="AS975" t="s">
        <v>5588</v>
      </c>
      <c r="AT975" t="s">
        <v>15810</v>
      </c>
      <c r="AU975">
        <v>2009</v>
      </c>
      <c r="AV975">
        <v>77</v>
      </c>
      <c r="AW975">
        <v>4</v>
      </c>
      <c r="AX975" t="s">
        <v>74</v>
      </c>
      <c r="AY975" t="s">
        <v>74</v>
      </c>
      <c r="AZ975" t="s">
        <v>74</v>
      </c>
      <c r="BA975" t="s">
        <v>74</v>
      </c>
      <c r="BB975">
        <v>369</v>
      </c>
      <c r="BC975">
        <v>387</v>
      </c>
      <c r="BD975" t="s">
        <v>74</v>
      </c>
      <c r="BE975" t="s">
        <v>17250</v>
      </c>
      <c r="BF975" t="str">
        <f>HYPERLINK("http://dx.doi.org/10.1016/j.jmarsys.2008.11.003","http://dx.doi.org/10.1016/j.jmarsys.2008.11.003")</f>
        <v>http://dx.doi.org/10.1016/j.jmarsys.2008.11.003</v>
      </c>
      <c r="BG975" t="s">
        <v>74</v>
      </c>
      <c r="BH975" t="s">
        <v>74</v>
      </c>
      <c r="BI975">
        <v>19</v>
      </c>
      <c r="BJ975" t="s">
        <v>5590</v>
      </c>
      <c r="BK975" t="s">
        <v>1986</v>
      </c>
      <c r="BL975" t="s">
        <v>5591</v>
      </c>
      <c r="BM975" t="s">
        <v>17251</v>
      </c>
      <c r="BN975" t="s">
        <v>74</v>
      </c>
      <c r="BO975" t="s">
        <v>74</v>
      </c>
      <c r="BP975" t="s">
        <v>74</v>
      </c>
      <c r="BQ975" t="s">
        <v>74</v>
      </c>
      <c r="BR975" t="s">
        <v>101</v>
      </c>
      <c r="BS975" t="s">
        <v>17252</v>
      </c>
      <c r="BT975" t="str">
        <f>HYPERLINK("https%3A%2F%2Fwww.webofscience.com%2Fwos%2Fwoscc%2Ffull-record%2FWOS:000266735000002","View Full Record in Web of Science")</f>
        <v>View Full Record in Web of Science</v>
      </c>
    </row>
    <row r="976" spans="1:72" x14ac:dyDescent="0.15">
      <c r="A976" t="s">
        <v>72</v>
      </c>
      <c r="B976" t="s">
        <v>17253</v>
      </c>
      <c r="C976" t="s">
        <v>74</v>
      </c>
      <c r="D976" t="s">
        <v>74</v>
      </c>
      <c r="E976" t="s">
        <v>74</v>
      </c>
      <c r="F976" t="s">
        <v>17254</v>
      </c>
      <c r="G976" t="s">
        <v>74</v>
      </c>
      <c r="H976" t="s">
        <v>74</v>
      </c>
      <c r="I976" t="s">
        <v>17255</v>
      </c>
      <c r="J976" t="s">
        <v>17256</v>
      </c>
      <c r="K976" t="s">
        <v>74</v>
      </c>
      <c r="L976" t="s">
        <v>74</v>
      </c>
      <c r="M976" t="s">
        <v>78</v>
      </c>
      <c r="N976" t="s">
        <v>79</v>
      </c>
      <c r="O976" t="s">
        <v>74</v>
      </c>
      <c r="P976" t="s">
        <v>74</v>
      </c>
      <c r="Q976" t="s">
        <v>74</v>
      </c>
      <c r="R976" t="s">
        <v>74</v>
      </c>
      <c r="S976" t="s">
        <v>74</v>
      </c>
      <c r="T976" t="s">
        <v>17257</v>
      </c>
      <c r="U976" t="s">
        <v>17258</v>
      </c>
      <c r="V976" t="s">
        <v>17259</v>
      </c>
      <c r="W976" t="s">
        <v>17260</v>
      </c>
      <c r="X976" t="s">
        <v>17261</v>
      </c>
      <c r="Y976" t="s">
        <v>17262</v>
      </c>
      <c r="Z976" t="s">
        <v>17263</v>
      </c>
      <c r="AA976" t="s">
        <v>17264</v>
      </c>
      <c r="AB976" t="s">
        <v>17265</v>
      </c>
      <c r="AC976" t="s">
        <v>17266</v>
      </c>
      <c r="AD976" t="s">
        <v>1395</v>
      </c>
      <c r="AE976" t="s">
        <v>17267</v>
      </c>
      <c r="AF976" t="s">
        <v>74</v>
      </c>
      <c r="AG976">
        <v>49</v>
      </c>
      <c r="AH976">
        <v>23</v>
      </c>
      <c r="AI976">
        <v>26</v>
      </c>
      <c r="AJ976">
        <v>0</v>
      </c>
      <c r="AK976">
        <v>8</v>
      </c>
      <c r="AL976" t="s">
        <v>1184</v>
      </c>
      <c r="AM976" t="s">
        <v>1185</v>
      </c>
      <c r="AN976" t="s">
        <v>1186</v>
      </c>
      <c r="AO976" t="s">
        <v>17268</v>
      </c>
      <c r="AP976" t="s">
        <v>17269</v>
      </c>
      <c r="AQ976" t="s">
        <v>74</v>
      </c>
      <c r="AR976" t="s">
        <v>17270</v>
      </c>
      <c r="AS976" t="s">
        <v>17271</v>
      </c>
      <c r="AT976" t="s">
        <v>15810</v>
      </c>
      <c r="AU976">
        <v>2009</v>
      </c>
      <c r="AV976">
        <v>27</v>
      </c>
      <c r="AW976">
        <v>5</v>
      </c>
      <c r="AX976" t="s">
        <v>74</v>
      </c>
      <c r="AY976" t="s">
        <v>74</v>
      </c>
      <c r="AZ976" t="s">
        <v>74</v>
      </c>
      <c r="BA976" t="s">
        <v>74</v>
      </c>
      <c r="BB976">
        <v>335</v>
      </c>
      <c r="BC976">
        <v>347</v>
      </c>
      <c r="BD976" t="s">
        <v>74</v>
      </c>
      <c r="BE976" t="s">
        <v>17272</v>
      </c>
      <c r="BF976" t="str">
        <f>HYPERLINK("http://dx.doi.org/10.1111/j.1525-1314.2009.00820.x","http://dx.doi.org/10.1111/j.1525-1314.2009.00820.x")</f>
        <v>http://dx.doi.org/10.1111/j.1525-1314.2009.00820.x</v>
      </c>
      <c r="BG976" t="s">
        <v>74</v>
      </c>
      <c r="BH976" t="s">
        <v>74</v>
      </c>
      <c r="BI976">
        <v>13</v>
      </c>
      <c r="BJ976" t="s">
        <v>465</v>
      </c>
      <c r="BK976" t="s">
        <v>98</v>
      </c>
      <c r="BL976" t="s">
        <v>465</v>
      </c>
      <c r="BM976" t="s">
        <v>17273</v>
      </c>
      <c r="BN976" t="s">
        <v>74</v>
      </c>
      <c r="BO976" t="s">
        <v>74</v>
      </c>
      <c r="BP976" t="s">
        <v>74</v>
      </c>
      <c r="BQ976" t="s">
        <v>74</v>
      </c>
      <c r="BR976" t="s">
        <v>101</v>
      </c>
      <c r="BS976" t="s">
        <v>17274</v>
      </c>
      <c r="BT976" t="str">
        <f>HYPERLINK("https%3A%2F%2Fwww.webofscience.com%2Fwos%2Fwoscc%2Ffull-record%2FWOS:000266609800001","View Full Record in Web of Science")</f>
        <v>View Full Record in Web of Science</v>
      </c>
    </row>
    <row r="977" spans="1:72" x14ac:dyDescent="0.15">
      <c r="A977" t="s">
        <v>72</v>
      </c>
      <c r="B977" t="s">
        <v>17275</v>
      </c>
      <c r="C977" t="s">
        <v>74</v>
      </c>
      <c r="D977" t="s">
        <v>74</v>
      </c>
      <c r="E977" t="s">
        <v>74</v>
      </c>
      <c r="F977" t="s">
        <v>17276</v>
      </c>
      <c r="G977" t="s">
        <v>74</v>
      </c>
      <c r="H977" t="s">
        <v>74</v>
      </c>
      <c r="I977" t="s">
        <v>17277</v>
      </c>
      <c r="J977" t="s">
        <v>17278</v>
      </c>
      <c r="K977" t="s">
        <v>74</v>
      </c>
      <c r="L977" t="s">
        <v>74</v>
      </c>
      <c r="M977" t="s">
        <v>78</v>
      </c>
      <c r="N977" t="s">
        <v>79</v>
      </c>
      <c r="O977" t="s">
        <v>74</v>
      </c>
      <c r="P977" t="s">
        <v>74</v>
      </c>
      <c r="Q977" t="s">
        <v>74</v>
      </c>
      <c r="R977" t="s">
        <v>74</v>
      </c>
      <c r="S977" t="s">
        <v>74</v>
      </c>
      <c r="T977" t="s">
        <v>17279</v>
      </c>
      <c r="U977" t="s">
        <v>17280</v>
      </c>
      <c r="V977" t="s">
        <v>17281</v>
      </c>
      <c r="W977" t="s">
        <v>17282</v>
      </c>
      <c r="X977" t="s">
        <v>17283</v>
      </c>
      <c r="Y977" t="s">
        <v>17284</v>
      </c>
      <c r="Z977" t="s">
        <v>17285</v>
      </c>
      <c r="AA977" t="s">
        <v>74</v>
      </c>
      <c r="AB977" t="s">
        <v>17286</v>
      </c>
      <c r="AC977" t="s">
        <v>17287</v>
      </c>
      <c r="AD977" t="s">
        <v>17288</v>
      </c>
      <c r="AE977" t="s">
        <v>17289</v>
      </c>
      <c r="AF977" t="s">
        <v>74</v>
      </c>
      <c r="AG977">
        <v>46</v>
      </c>
      <c r="AH977">
        <v>18</v>
      </c>
      <c r="AI977">
        <v>19</v>
      </c>
      <c r="AJ977">
        <v>3</v>
      </c>
      <c r="AK977">
        <v>39</v>
      </c>
      <c r="AL977" t="s">
        <v>3033</v>
      </c>
      <c r="AM977" t="s">
        <v>1185</v>
      </c>
      <c r="AN977" t="s">
        <v>1186</v>
      </c>
      <c r="AO977" t="s">
        <v>17290</v>
      </c>
      <c r="AP977" t="s">
        <v>17291</v>
      </c>
      <c r="AQ977" t="s">
        <v>74</v>
      </c>
      <c r="AR977" t="s">
        <v>17292</v>
      </c>
      <c r="AS977" t="s">
        <v>17293</v>
      </c>
      <c r="AT977" t="s">
        <v>15810</v>
      </c>
      <c r="AU977">
        <v>2009</v>
      </c>
      <c r="AV977">
        <v>270</v>
      </c>
      <c r="AW977">
        <v>6</v>
      </c>
      <c r="AX977" t="s">
        <v>74</v>
      </c>
      <c r="AY977" t="s">
        <v>74</v>
      </c>
      <c r="AZ977" t="s">
        <v>74</v>
      </c>
      <c r="BA977" t="s">
        <v>74</v>
      </c>
      <c r="BB977">
        <v>688</v>
      </c>
      <c r="BC977">
        <v>701</v>
      </c>
      <c r="BD977" t="s">
        <v>74</v>
      </c>
      <c r="BE977" t="s">
        <v>17294</v>
      </c>
      <c r="BF977" t="str">
        <f>HYPERLINK("http://dx.doi.org/10.1002/jmor.10715","http://dx.doi.org/10.1002/jmor.10715")</f>
        <v>http://dx.doi.org/10.1002/jmor.10715</v>
      </c>
      <c r="BG977" t="s">
        <v>74</v>
      </c>
      <c r="BH977" t="s">
        <v>74</v>
      </c>
      <c r="BI977">
        <v>14</v>
      </c>
      <c r="BJ977" t="s">
        <v>17295</v>
      </c>
      <c r="BK977" t="s">
        <v>98</v>
      </c>
      <c r="BL977" t="s">
        <v>17295</v>
      </c>
      <c r="BM977" t="s">
        <v>17296</v>
      </c>
      <c r="BN977">
        <v>19123242</v>
      </c>
      <c r="BO977" t="s">
        <v>74</v>
      </c>
      <c r="BP977" t="s">
        <v>74</v>
      </c>
      <c r="BQ977" t="s">
        <v>74</v>
      </c>
      <c r="BR977" t="s">
        <v>101</v>
      </c>
      <c r="BS977" t="s">
        <v>17297</v>
      </c>
      <c r="BT977" t="str">
        <f>HYPERLINK("https%3A%2F%2Fwww.webofscience.com%2Fwos%2Fwoscc%2Ffull-record%2FWOS:000266573300004","View Full Record in Web of Science")</f>
        <v>View Full Record in Web of Science</v>
      </c>
    </row>
    <row r="978" spans="1:72" x14ac:dyDescent="0.15">
      <c r="A978" t="s">
        <v>72</v>
      </c>
      <c r="B978" t="s">
        <v>17298</v>
      </c>
      <c r="C978" t="s">
        <v>74</v>
      </c>
      <c r="D978" t="s">
        <v>74</v>
      </c>
      <c r="E978" t="s">
        <v>74</v>
      </c>
      <c r="F978" t="s">
        <v>17299</v>
      </c>
      <c r="G978" t="s">
        <v>74</v>
      </c>
      <c r="H978" t="s">
        <v>74</v>
      </c>
      <c r="I978" t="s">
        <v>17300</v>
      </c>
      <c r="J978" t="s">
        <v>7930</v>
      </c>
      <c r="K978" t="s">
        <v>74</v>
      </c>
      <c r="L978" t="s">
        <v>74</v>
      </c>
      <c r="M978" t="s">
        <v>78</v>
      </c>
      <c r="N978" t="s">
        <v>79</v>
      </c>
      <c r="O978" t="s">
        <v>74</v>
      </c>
      <c r="P978" t="s">
        <v>74</v>
      </c>
      <c r="Q978" t="s">
        <v>74</v>
      </c>
      <c r="R978" t="s">
        <v>74</v>
      </c>
      <c r="S978" t="s">
        <v>74</v>
      </c>
      <c r="T978" t="s">
        <v>74</v>
      </c>
      <c r="U978" t="s">
        <v>17301</v>
      </c>
      <c r="V978" t="s">
        <v>17302</v>
      </c>
      <c r="W978" t="s">
        <v>17303</v>
      </c>
      <c r="X978" t="s">
        <v>17304</v>
      </c>
      <c r="Y978" t="s">
        <v>17305</v>
      </c>
      <c r="Z978" t="s">
        <v>17306</v>
      </c>
      <c r="AA978" t="s">
        <v>17307</v>
      </c>
      <c r="AB978" t="s">
        <v>74</v>
      </c>
      <c r="AC978" t="s">
        <v>17308</v>
      </c>
      <c r="AD978" t="s">
        <v>17309</v>
      </c>
      <c r="AE978" t="s">
        <v>17310</v>
      </c>
      <c r="AF978" t="s">
        <v>74</v>
      </c>
      <c r="AG978">
        <v>30</v>
      </c>
      <c r="AH978">
        <v>52</v>
      </c>
      <c r="AI978">
        <v>69</v>
      </c>
      <c r="AJ978">
        <v>3</v>
      </c>
      <c r="AK978">
        <v>32</v>
      </c>
      <c r="AL978" t="s">
        <v>887</v>
      </c>
      <c r="AM978" t="s">
        <v>227</v>
      </c>
      <c r="AN978" t="s">
        <v>888</v>
      </c>
      <c r="AO978" t="s">
        <v>7942</v>
      </c>
      <c r="AP978" t="s">
        <v>7943</v>
      </c>
      <c r="AQ978" t="s">
        <v>74</v>
      </c>
      <c r="AR978" t="s">
        <v>7944</v>
      </c>
      <c r="AS978" t="s">
        <v>7945</v>
      </c>
      <c r="AT978" t="s">
        <v>15810</v>
      </c>
      <c r="AU978">
        <v>2009</v>
      </c>
      <c r="AV978">
        <v>72</v>
      </c>
      <c r="AW978">
        <v>6</v>
      </c>
      <c r="AX978" t="s">
        <v>74</v>
      </c>
      <c r="AY978" t="s">
        <v>74</v>
      </c>
      <c r="AZ978" t="s">
        <v>74</v>
      </c>
      <c r="BA978" t="s">
        <v>74</v>
      </c>
      <c r="BB978">
        <v>1036</v>
      </c>
      <c r="BC978">
        <v>1044</v>
      </c>
      <c r="BD978" t="s">
        <v>74</v>
      </c>
      <c r="BE978" t="s">
        <v>17311</v>
      </c>
      <c r="BF978" t="str">
        <f>HYPERLINK("http://dx.doi.org/10.1021/np900190w","http://dx.doi.org/10.1021/np900190w")</f>
        <v>http://dx.doi.org/10.1021/np900190w</v>
      </c>
      <c r="BG978" t="s">
        <v>74</v>
      </c>
      <c r="BH978" t="s">
        <v>74</v>
      </c>
      <c r="BI978">
        <v>9</v>
      </c>
      <c r="BJ978" t="s">
        <v>7947</v>
      </c>
      <c r="BK978" t="s">
        <v>896</v>
      </c>
      <c r="BL978" t="s">
        <v>7948</v>
      </c>
      <c r="BM978" t="s">
        <v>17312</v>
      </c>
      <c r="BN978">
        <v>19514743</v>
      </c>
      <c r="BO978" t="s">
        <v>74</v>
      </c>
      <c r="BP978" t="s">
        <v>74</v>
      </c>
      <c r="BQ978" t="s">
        <v>74</v>
      </c>
      <c r="BR978" t="s">
        <v>101</v>
      </c>
      <c r="BS978" t="s">
        <v>17313</v>
      </c>
      <c r="BT978" t="str">
        <f>HYPERLINK("https%3A%2F%2Fwww.webofscience.com%2Fwos%2Fwoscc%2Ffull-record%2FWOS:000267432600010","View Full Record in Web of Science")</f>
        <v>View Full Record in Web of Science</v>
      </c>
    </row>
    <row r="979" spans="1:72" x14ac:dyDescent="0.15">
      <c r="A979" t="s">
        <v>72</v>
      </c>
      <c r="B979" t="s">
        <v>17314</v>
      </c>
      <c r="C979" t="s">
        <v>74</v>
      </c>
      <c r="D979" t="s">
        <v>74</v>
      </c>
      <c r="E979" t="s">
        <v>74</v>
      </c>
      <c r="F979" t="s">
        <v>17315</v>
      </c>
      <c r="G979" t="s">
        <v>74</v>
      </c>
      <c r="H979" t="s">
        <v>74</v>
      </c>
      <c r="I979" t="s">
        <v>17316</v>
      </c>
      <c r="J979" t="s">
        <v>7954</v>
      </c>
      <c r="K979" t="s">
        <v>74</v>
      </c>
      <c r="L979" t="s">
        <v>74</v>
      </c>
      <c r="M979" t="s">
        <v>78</v>
      </c>
      <c r="N979" t="s">
        <v>79</v>
      </c>
      <c r="O979" t="s">
        <v>74</v>
      </c>
      <c r="P979" t="s">
        <v>74</v>
      </c>
      <c r="Q979" t="s">
        <v>74</v>
      </c>
      <c r="R979" t="s">
        <v>74</v>
      </c>
      <c r="S979" t="s">
        <v>74</v>
      </c>
      <c r="T979" t="s">
        <v>17317</v>
      </c>
      <c r="U979" t="s">
        <v>17318</v>
      </c>
      <c r="V979" t="s">
        <v>17319</v>
      </c>
      <c r="W979" t="s">
        <v>17320</v>
      </c>
      <c r="X979" t="s">
        <v>17321</v>
      </c>
      <c r="Y979" t="s">
        <v>17322</v>
      </c>
      <c r="Z979" t="s">
        <v>17323</v>
      </c>
      <c r="AA979" t="s">
        <v>17324</v>
      </c>
      <c r="AB979" t="s">
        <v>17325</v>
      </c>
      <c r="AC979" t="s">
        <v>74</v>
      </c>
      <c r="AD979" t="s">
        <v>74</v>
      </c>
      <c r="AE979" t="s">
        <v>74</v>
      </c>
      <c r="AF979" t="s">
        <v>74</v>
      </c>
      <c r="AG979">
        <v>58</v>
      </c>
      <c r="AH979">
        <v>10</v>
      </c>
      <c r="AI979">
        <v>10</v>
      </c>
      <c r="AJ979">
        <v>0</v>
      </c>
      <c r="AK979">
        <v>21</v>
      </c>
      <c r="AL979" t="s">
        <v>1850</v>
      </c>
      <c r="AM979" t="s">
        <v>1851</v>
      </c>
      <c r="AN979" t="s">
        <v>1852</v>
      </c>
      <c r="AO979" t="s">
        <v>7965</v>
      </c>
      <c r="AP979" t="s">
        <v>17326</v>
      </c>
      <c r="AQ979" t="s">
        <v>74</v>
      </c>
      <c r="AR979" t="s">
        <v>7966</v>
      </c>
      <c r="AS979" t="s">
        <v>7967</v>
      </c>
      <c r="AT979" t="s">
        <v>15810</v>
      </c>
      <c r="AU979">
        <v>2009</v>
      </c>
      <c r="AV979">
        <v>65</v>
      </c>
      <c r="AW979">
        <v>3</v>
      </c>
      <c r="AX979" t="s">
        <v>74</v>
      </c>
      <c r="AY979" t="s">
        <v>74</v>
      </c>
      <c r="AZ979" t="s">
        <v>74</v>
      </c>
      <c r="BA979" t="s">
        <v>74</v>
      </c>
      <c r="BB979">
        <v>397</v>
      </c>
      <c r="BC979">
        <v>406</v>
      </c>
      <c r="BD979" t="s">
        <v>74</v>
      </c>
      <c r="BE979" t="s">
        <v>17327</v>
      </c>
      <c r="BF979" t="str">
        <f>HYPERLINK("http://dx.doi.org/10.1007/s10872-009-0035-7","http://dx.doi.org/10.1007/s10872-009-0035-7")</f>
        <v>http://dx.doi.org/10.1007/s10872-009-0035-7</v>
      </c>
      <c r="BG979" t="s">
        <v>74</v>
      </c>
      <c r="BH979" t="s">
        <v>74</v>
      </c>
      <c r="BI979">
        <v>10</v>
      </c>
      <c r="BJ979" t="s">
        <v>806</v>
      </c>
      <c r="BK979" t="s">
        <v>98</v>
      </c>
      <c r="BL979" t="s">
        <v>806</v>
      </c>
      <c r="BM979" t="s">
        <v>17328</v>
      </c>
      <c r="BN979" t="s">
        <v>74</v>
      </c>
      <c r="BO979" t="s">
        <v>74</v>
      </c>
      <c r="BP979" t="s">
        <v>74</v>
      </c>
      <c r="BQ979" t="s">
        <v>74</v>
      </c>
      <c r="BR979" t="s">
        <v>101</v>
      </c>
      <c r="BS979" t="s">
        <v>17329</v>
      </c>
      <c r="BT979" t="str">
        <f>HYPERLINK("https%3A%2F%2Fwww.webofscience.com%2Fwos%2Fwoscc%2Ffull-record%2FWOS:000265537500009","View Full Record in Web of Science")</f>
        <v>View Full Record in Web of Science</v>
      </c>
    </row>
    <row r="980" spans="1:72" x14ac:dyDescent="0.15">
      <c r="A980" t="s">
        <v>72</v>
      </c>
      <c r="B980" t="s">
        <v>17330</v>
      </c>
      <c r="C980" t="s">
        <v>74</v>
      </c>
      <c r="D980" t="s">
        <v>74</v>
      </c>
      <c r="E980" t="s">
        <v>74</v>
      </c>
      <c r="F980" t="s">
        <v>17331</v>
      </c>
      <c r="G980" t="s">
        <v>74</v>
      </c>
      <c r="H980" t="s">
        <v>74</v>
      </c>
      <c r="I980" t="s">
        <v>17332</v>
      </c>
      <c r="J980" t="s">
        <v>2530</v>
      </c>
      <c r="K980" t="s">
        <v>74</v>
      </c>
      <c r="L980" t="s">
        <v>74</v>
      </c>
      <c r="M980" t="s">
        <v>78</v>
      </c>
      <c r="N980" t="s">
        <v>79</v>
      </c>
      <c r="O980" t="s">
        <v>74</v>
      </c>
      <c r="P980" t="s">
        <v>74</v>
      </c>
      <c r="Q980" t="s">
        <v>74</v>
      </c>
      <c r="R980" t="s">
        <v>74</v>
      </c>
      <c r="S980" t="s">
        <v>74</v>
      </c>
      <c r="T980" t="s">
        <v>17333</v>
      </c>
      <c r="U980" t="s">
        <v>17334</v>
      </c>
      <c r="V980" t="s">
        <v>17335</v>
      </c>
      <c r="W980" t="s">
        <v>17336</v>
      </c>
      <c r="X980" t="s">
        <v>17337</v>
      </c>
      <c r="Y980" t="s">
        <v>1655</v>
      </c>
      <c r="Z980" t="s">
        <v>17338</v>
      </c>
      <c r="AA980" t="s">
        <v>10622</v>
      </c>
      <c r="AB980" t="s">
        <v>10623</v>
      </c>
      <c r="AC980" t="s">
        <v>17339</v>
      </c>
      <c r="AD980" t="s">
        <v>17339</v>
      </c>
      <c r="AE980" t="s">
        <v>17340</v>
      </c>
      <c r="AF980" t="s">
        <v>74</v>
      </c>
      <c r="AG980">
        <v>64</v>
      </c>
      <c r="AH980">
        <v>32</v>
      </c>
      <c r="AI980">
        <v>34</v>
      </c>
      <c r="AJ980">
        <v>0</v>
      </c>
      <c r="AK980">
        <v>20</v>
      </c>
      <c r="AL980" t="s">
        <v>1184</v>
      </c>
      <c r="AM980" t="s">
        <v>1185</v>
      </c>
      <c r="AN980" t="s">
        <v>1186</v>
      </c>
      <c r="AO980" t="s">
        <v>2543</v>
      </c>
      <c r="AP980" t="s">
        <v>2544</v>
      </c>
      <c r="AQ980" t="s">
        <v>74</v>
      </c>
      <c r="AR980" t="s">
        <v>2545</v>
      </c>
      <c r="AS980" t="s">
        <v>2546</v>
      </c>
      <c r="AT980" t="s">
        <v>15810</v>
      </c>
      <c r="AU980">
        <v>2009</v>
      </c>
      <c r="AV980">
        <v>45</v>
      </c>
      <c r="AW980">
        <v>3</v>
      </c>
      <c r="AX980" t="s">
        <v>74</v>
      </c>
      <c r="AY980" t="s">
        <v>74</v>
      </c>
      <c r="AZ980" t="s">
        <v>74</v>
      </c>
      <c r="BA980" t="s">
        <v>74</v>
      </c>
      <c r="BB980">
        <v>600</v>
      </c>
      <c r="BC980">
        <v>609</v>
      </c>
      <c r="BD980" t="s">
        <v>74</v>
      </c>
      <c r="BE980" t="s">
        <v>17341</v>
      </c>
      <c r="BF980" t="str">
        <f>HYPERLINK("http://dx.doi.org/10.1111/j.1529-8817.2009.00691.x","http://dx.doi.org/10.1111/j.1529-8817.2009.00691.x")</f>
        <v>http://dx.doi.org/10.1111/j.1529-8817.2009.00691.x</v>
      </c>
      <c r="BG980" t="s">
        <v>74</v>
      </c>
      <c r="BH980" t="s">
        <v>74</v>
      </c>
      <c r="BI980">
        <v>10</v>
      </c>
      <c r="BJ980" t="s">
        <v>1586</v>
      </c>
      <c r="BK980" t="s">
        <v>98</v>
      </c>
      <c r="BL980" t="s">
        <v>1586</v>
      </c>
      <c r="BM980" t="s">
        <v>17342</v>
      </c>
      <c r="BN980">
        <v>27034036</v>
      </c>
      <c r="BO980" t="s">
        <v>627</v>
      </c>
      <c r="BP980" t="s">
        <v>74</v>
      </c>
      <c r="BQ980" t="s">
        <v>74</v>
      </c>
      <c r="BR980" t="s">
        <v>101</v>
      </c>
      <c r="BS980" t="s">
        <v>17343</v>
      </c>
      <c r="BT980" t="str">
        <f>HYPERLINK("https%3A%2F%2Fwww.webofscience.com%2Fwos%2Fwoscc%2Ffull-record%2FWOS:000266714200008","View Full Record in Web of Science")</f>
        <v>View Full Record in Web of Science</v>
      </c>
    </row>
    <row r="981" spans="1:72" x14ac:dyDescent="0.15">
      <c r="A981" t="s">
        <v>72</v>
      </c>
      <c r="B981" t="s">
        <v>17344</v>
      </c>
      <c r="C981" t="s">
        <v>74</v>
      </c>
      <c r="D981" t="s">
        <v>74</v>
      </c>
      <c r="E981" t="s">
        <v>74</v>
      </c>
      <c r="F981" t="s">
        <v>17345</v>
      </c>
      <c r="G981" t="s">
        <v>74</v>
      </c>
      <c r="H981" t="s">
        <v>74</v>
      </c>
      <c r="I981" t="s">
        <v>17346</v>
      </c>
      <c r="J981" t="s">
        <v>2530</v>
      </c>
      <c r="K981" t="s">
        <v>74</v>
      </c>
      <c r="L981" t="s">
        <v>74</v>
      </c>
      <c r="M981" t="s">
        <v>78</v>
      </c>
      <c r="N981" t="s">
        <v>79</v>
      </c>
      <c r="O981" t="s">
        <v>74</v>
      </c>
      <c r="P981" t="s">
        <v>74</v>
      </c>
      <c r="Q981" t="s">
        <v>74</v>
      </c>
      <c r="R981" t="s">
        <v>74</v>
      </c>
      <c r="S981" t="s">
        <v>74</v>
      </c>
      <c r="T981" t="s">
        <v>17347</v>
      </c>
      <c r="U981" t="s">
        <v>17348</v>
      </c>
      <c r="V981" t="s">
        <v>17349</v>
      </c>
      <c r="W981" t="s">
        <v>17350</v>
      </c>
      <c r="X981" t="s">
        <v>17351</v>
      </c>
      <c r="Y981" t="s">
        <v>17352</v>
      </c>
      <c r="Z981" t="s">
        <v>17353</v>
      </c>
      <c r="AA981" t="s">
        <v>17354</v>
      </c>
      <c r="AB981" t="s">
        <v>17355</v>
      </c>
      <c r="AC981" t="s">
        <v>17356</v>
      </c>
      <c r="AD981" t="s">
        <v>17356</v>
      </c>
      <c r="AE981" t="s">
        <v>17357</v>
      </c>
      <c r="AF981" t="s">
        <v>74</v>
      </c>
      <c r="AG981">
        <v>30</v>
      </c>
      <c r="AH981">
        <v>32</v>
      </c>
      <c r="AI981">
        <v>35</v>
      </c>
      <c r="AJ981">
        <v>0</v>
      </c>
      <c r="AK981">
        <v>12</v>
      </c>
      <c r="AL981" t="s">
        <v>2045</v>
      </c>
      <c r="AM981" t="s">
        <v>2046</v>
      </c>
      <c r="AN981" t="s">
        <v>2047</v>
      </c>
      <c r="AO981" t="s">
        <v>2543</v>
      </c>
      <c r="AP981" t="s">
        <v>74</v>
      </c>
      <c r="AQ981" t="s">
        <v>74</v>
      </c>
      <c r="AR981" t="s">
        <v>2545</v>
      </c>
      <c r="AS981" t="s">
        <v>2546</v>
      </c>
      <c r="AT981" t="s">
        <v>15810</v>
      </c>
      <c r="AU981">
        <v>2009</v>
      </c>
      <c r="AV981">
        <v>45</v>
      </c>
      <c r="AW981">
        <v>3</v>
      </c>
      <c r="AX981" t="s">
        <v>74</v>
      </c>
      <c r="AY981" t="s">
        <v>74</v>
      </c>
      <c r="AZ981" t="s">
        <v>74</v>
      </c>
      <c r="BA981" t="s">
        <v>74</v>
      </c>
      <c r="BB981">
        <v>732</v>
      </c>
      <c r="BC981">
        <v>741</v>
      </c>
      <c r="BD981" t="s">
        <v>74</v>
      </c>
      <c r="BE981" t="s">
        <v>17358</v>
      </c>
      <c r="BF981" t="str">
        <f>HYPERLINK("http://dx.doi.org/10.1111/j.1529-8817.2009.00683.x","http://dx.doi.org/10.1111/j.1529-8817.2009.00683.x")</f>
        <v>http://dx.doi.org/10.1111/j.1529-8817.2009.00683.x</v>
      </c>
      <c r="BG981" t="s">
        <v>74</v>
      </c>
      <c r="BH981" t="s">
        <v>74</v>
      </c>
      <c r="BI981">
        <v>10</v>
      </c>
      <c r="BJ981" t="s">
        <v>1586</v>
      </c>
      <c r="BK981" t="s">
        <v>98</v>
      </c>
      <c r="BL981" t="s">
        <v>1586</v>
      </c>
      <c r="BM981" t="s">
        <v>17342</v>
      </c>
      <c r="BN981">
        <v>27034049</v>
      </c>
      <c r="BO981" t="s">
        <v>74</v>
      </c>
      <c r="BP981" t="s">
        <v>74</v>
      </c>
      <c r="BQ981" t="s">
        <v>74</v>
      </c>
      <c r="BR981" t="s">
        <v>101</v>
      </c>
      <c r="BS981" t="s">
        <v>17359</v>
      </c>
      <c r="BT981" t="str">
        <f>HYPERLINK("https%3A%2F%2Fwww.webofscience.com%2Fwos%2Fwoscc%2Ffull-record%2FWOS:000266714200021","View Full Record in Web of Science")</f>
        <v>View Full Record in Web of Science</v>
      </c>
    </row>
    <row r="982" spans="1:72" x14ac:dyDescent="0.15">
      <c r="A982" t="s">
        <v>72</v>
      </c>
      <c r="B982" t="s">
        <v>17360</v>
      </c>
      <c r="C982" t="s">
        <v>74</v>
      </c>
      <c r="D982" t="s">
        <v>74</v>
      </c>
      <c r="E982" t="s">
        <v>74</v>
      </c>
      <c r="F982" t="s">
        <v>17361</v>
      </c>
      <c r="G982" t="s">
        <v>74</v>
      </c>
      <c r="H982" t="s">
        <v>74</v>
      </c>
      <c r="I982" t="s">
        <v>17362</v>
      </c>
      <c r="J982" t="s">
        <v>2530</v>
      </c>
      <c r="K982" t="s">
        <v>74</v>
      </c>
      <c r="L982" t="s">
        <v>74</v>
      </c>
      <c r="M982" t="s">
        <v>78</v>
      </c>
      <c r="N982" t="s">
        <v>79</v>
      </c>
      <c r="O982" t="s">
        <v>74</v>
      </c>
      <c r="P982" t="s">
        <v>74</v>
      </c>
      <c r="Q982" t="s">
        <v>74</v>
      </c>
      <c r="R982" t="s">
        <v>74</v>
      </c>
      <c r="S982" t="s">
        <v>74</v>
      </c>
      <c r="T982" t="s">
        <v>17363</v>
      </c>
      <c r="U982" t="s">
        <v>17364</v>
      </c>
      <c r="V982" t="s">
        <v>17365</v>
      </c>
      <c r="W982" t="s">
        <v>17366</v>
      </c>
      <c r="X982" t="s">
        <v>8508</v>
      </c>
      <c r="Y982" t="s">
        <v>17367</v>
      </c>
      <c r="Z982" t="s">
        <v>17368</v>
      </c>
      <c r="AA982" t="s">
        <v>17369</v>
      </c>
      <c r="AB982" t="s">
        <v>74</v>
      </c>
      <c r="AC982" t="s">
        <v>17370</v>
      </c>
      <c r="AD982" t="s">
        <v>17371</v>
      </c>
      <c r="AE982" t="s">
        <v>17372</v>
      </c>
      <c r="AF982" t="s">
        <v>74</v>
      </c>
      <c r="AG982">
        <v>47</v>
      </c>
      <c r="AH982">
        <v>16</v>
      </c>
      <c r="AI982">
        <v>20</v>
      </c>
      <c r="AJ982">
        <v>1</v>
      </c>
      <c r="AK982">
        <v>12</v>
      </c>
      <c r="AL982" t="s">
        <v>1184</v>
      </c>
      <c r="AM982" t="s">
        <v>1185</v>
      </c>
      <c r="AN982" t="s">
        <v>1186</v>
      </c>
      <c r="AO982" t="s">
        <v>2543</v>
      </c>
      <c r="AP982" t="s">
        <v>2544</v>
      </c>
      <c r="AQ982" t="s">
        <v>74</v>
      </c>
      <c r="AR982" t="s">
        <v>2545</v>
      </c>
      <c r="AS982" t="s">
        <v>2546</v>
      </c>
      <c r="AT982" t="s">
        <v>15810</v>
      </c>
      <c r="AU982">
        <v>2009</v>
      </c>
      <c r="AV982">
        <v>45</v>
      </c>
      <c r="AW982">
        <v>3</v>
      </c>
      <c r="AX982" t="s">
        <v>74</v>
      </c>
      <c r="AY982" t="s">
        <v>74</v>
      </c>
      <c r="AZ982" t="s">
        <v>74</v>
      </c>
      <c r="BA982" t="s">
        <v>74</v>
      </c>
      <c r="BB982">
        <v>771</v>
      </c>
      <c r="BC982">
        <v>783</v>
      </c>
      <c r="BD982" t="s">
        <v>74</v>
      </c>
      <c r="BE982" t="s">
        <v>17373</v>
      </c>
      <c r="BF982" t="str">
        <f>HYPERLINK("http://dx.doi.org/10.1111/j.1529-8817.2009.00687.x","http://dx.doi.org/10.1111/j.1529-8817.2009.00687.x")</f>
        <v>http://dx.doi.org/10.1111/j.1529-8817.2009.00687.x</v>
      </c>
      <c r="BG982" t="s">
        <v>74</v>
      </c>
      <c r="BH982" t="s">
        <v>74</v>
      </c>
      <c r="BI982">
        <v>13</v>
      </c>
      <c r="BJ982" t="s">
        <v>1586</v>
      </c>
      <c r="BK982" t="s">
        <v>98</v>
      </c>
      <c r="BL982" t="s">
        <v>1586</v>
      </c>
      <c r="BM982" t="s">
        <v>17342</v>
      </c>
      <c r="BN982">
        <v>27034052</v>
      </c>
      <c r="BO982" t="s">
        <v>74</v>
      </c>
      <c r="BP982" t="s">
        <v>74</v>
      </c>
      <c r="BQ982" t="s">
        <v>74</v>
      </c>
      <c r="BR982" t="s">
        <v>101</v>
      </c>
      <c r="BS982" t="s">
        <v>17374</v>
      </c>
      <c r="BT982" t="str">
        <f>HYPERLINK("https%3A%2F%2Fwww.webofscience.com%2Fwos%2Fwoscc%2Ffull-record%2FWOS:000266714200023","View Full Record in Web of Science")</f>
        <v>View Full Record in Web of Science</v>
      </c>
    </row>
    <row r="983" spans="1:72" x14ac:dyDescent="0.15">
      <c r="A983" t="s">
        <v>72</v>
      </c>
      <c r="B983" t="s">
        <v>17375</v>
      </c>
      <c r="C983" t="s">
        <v>74</v>
      </c>
      <c r="D983" t="s">
        <v>74</v>
      </c>
      <c r="E983" t="s">
        <v>74</v>
      </c>
      <c r="F983" t="s">
        <v>17376</v>
      </c>
      <c r="G983" t="s">
        <v>74</v>
      </c>
      <c r="H983" t="s">
        <v>74</v>
      </c>
      <c r="I983" t="s">
        <v>17377</v>
      </c>
      <c r="J983" t="s">
        <v>2553</v>
      </c>
      <c r="K983" t="s">
        <v>74</v>
      </c>
      <c r="L983" t="s">
        <v>74</v>
      </c>
      <c r="M983" t="s">
        <v>78</v>
      </c>
      <c r="N983" t="s">
        <v>79</v>
      </c>
      <c r="O983" t="s">
        <v>74</v>
      </c>
      <c r="P983" t="s">
        <v>74</v>
      </c>
      <c r="Q983" t="s">
        <v>74</v>
      </c>
      <c r="R983" t="s">
        <v>74</v>
      </c>
      <c r="S983" t="s">
        <v>74</v>
      </c>
      <c r="T983" t="s">
        <v>74</v>
      </c>
      <c r="U983" t="s">
        <v>17378</v>
      </c>
      <c r="V983" t="s">
        <v>17379</v>
      </c>
      <c r="W983" t="s">
        <v>17380</v>
      </c>
      <c r="X983" t="s">
        <v>17381</v>
      </c>
      <c r="Y983" t="s">
        <v>17382</v>
      </c>
      <c r="Z983" t="s">
        <v>8896</v>
      </c>
      <c r="AA983" t="s">
        <v>17383</v>
      </c>
      <c r="AB983" t="s">
        <v>5681</v>
      </c>
      <c r="AC983" t="s">
        <v>17384</v>
      </c>
      <c r="AD983" t="s">
        <v>17385</v>
      </c>
      <c r="AE983" t="s">
        <v>74</v>
      </c>
      <c r="AF983" t="s">
        <v>74</v>
      </c>
      <c r="AG983">
        <v>45</v>
      </c>
      <c r="AH983">
        <v>40</v>
      </c>
      <c r="AI983">
        <v>44</v>
      </c>
      <c r="AJ983">
        <v>0</v>
      </c>
      <c r="AK983">
        <v>17</v>
      </c>
      <c r="AL983" t="s">
        <v>2397</v>
      </c>
      <c r="AM983" t="s">
        <v>2398</v>
      </c>
      <c r="AN983" t="s">
        <v>2399</v>
      </c>
      <c r="AO983" t="s">
        <v>2565</v>
      </c>
      <c r="AP983" t="s">
        <v>2566</v>
      </c>
      <c r="AQ983" t="s">
        <v>74</v>
      </c>
      <c r="AR983" t="s">
        <v>2567</v>
      </c>
      <c r="AS983" t="s">
        <v>2568</v>
      </c>
      <c r="AT983" t="s">
        <v>15810</v>
      </c>
      <c r="AU983">
        <v>2009</v>
      </c>
      <c r="AV983">
        <v>39</v>
      </c>
      <c r="AW983">
        <v>6</v>
      </c>
      <c r="AX983" t="s">
        <v>74</v>
      </c>
      <c r="AY983" t="s">
        <v>74</v>
      </c>
      <c r="AZ983" t="s">
        <v>74</v>
      </c>
      <c r="BA983" t="s">
        <v>74</v>
      </c>
      <c r="BB983">
        <v>1361</v>
      </c>
      <c r="BC983">
        <v>1379</v>
      </c>
      <c r="BD983" t="s">
        <v>74</v>
      </c>
      <c r="BE983" t="s">
        <v>17386</v>
      </c>
      <c r="BF983" t="str">
        <f>HYPERLINK("http://dx.doi.org/10.1175/2008JPO4096.1","http://dx.doi.org/10.1175/2008JPO4096.1")</f>
        <v>http://dx.doi.org/10.1175/2008JPO4096.1</v>
      </c>
      <c r="BG983" t="s">
        <v>74</v>
      </c>
      <c r="BH983" t="s">
        <v>74</v>
      </c>
      <c r="BI983">
        <v>19</v>
      </c>
      <c r="BJ983" t="s">
        <v>806</v>
      </c>
      <c r="BK983" t="s">
        <v>98</v>
      </c>
      <c r="BL983" t="s">
        <v>806</v>
      </c>
      <c r="BM983" t="s">
        <v>17387</v>
      </c>
      <c r="BN983" t="s">
        <v>74</v>
      </c>
      <c r="BO983" t="s">
        <v>4550</v>
      </c>
      <c r="BP983" t="s">
        <v>74</v>
      </c>
      <c r="BQ983" t="s">
        <v>74</v>
      </c>
      <c r="BR983" t="s">
        <v>101</v>
      </c>
      <c r="BS983" t="s">
        <v>17388</v>
      </c>
      <c r="BT983" t="str">
        <f>HYPERLINK("https%3A%2F%2Fwww.webofscience.com%2Fwos%2Fwoscc%2Ffull-record%2FWOS:000267958800005","View Full Record in Web of Science")</f>
        <v>View Full Record in Web of Science</v>
      </c>
    </row>
    <row r="984" spans="1:72" x14ac:dyDescent="0.15">
      <c r="A984" t="s">
        <v>72</v>
      </c>
      <c r="B984" t="s">
        <v>17389</v>
      </c>
      <c r="C984" t="s">
        <v>74</v>
      </c>
      <c r="D984" t="s">
        <v>74</v>
      </c>
      <c r="E984" t="s">
        <v>74</v>
      </c>
      <c r="F984" t="s">
        <v>17390</v>
      </c>
      <c r="G984" t="s">
        <v>74</v>
      </c>
      <c r="H984" t="s">
        <v>74</v>
      </c>
      <c r="I984" t="s">
        <v>17391</v>
      </c>
      <c r="J984" t="s">
        <v>2628</v>
      </c>
      <c r="K984" t="s">
        <v>74</v>
      </c>
      <c r="L984" t="s">
        <v>74</v>
      </c>
      <c r="M984" t="s">
        <v>78</v>
      </c>
      <c r="N984" t="s">
        <v>79</v>
      </c>
      <c r="O984" t="s">
        <v>74</v>
      </c>
      <c r="P984" t="s">
        <v>74</v>
      </c>
      <c r="Q984" t="s">
        <v>74</v>
      </c>
      <c r="R984" t="s">
        <v>74</v>
      </c>
      <c r="S984" t="s">
        <v>74</v>
      </c>
      <c r="T984" t="s">
        <v>74</v>
      </c>
      <c r="U984" t="s">
        <v>17392</v>
      </c>
      <c r="V984" t="s">
        <v>17393</v>
      </c>
      <c r="W984" t="s">
        <v>17394</v>
      </c>
      <c r="X984" t="s">
        <v>17395</v>
      </c>
      <c r="Y984" t="s">
        <v>17396</v>
      </c>
      <c r="Z984" t="s">
        <v>17397</v>
      </c>
      <c r="AA984" t="s">
        <v>17398</v>
      </c>
      <c r="AB984" t="s">
        <v>17399</v>
      </c>
      <c r="AC984" t="s">
        <v>17400</v>
      </c>
      <c r="AD984" t="s">
        <v>9001</v>
      </c>
      <c r="AE984" t="s">
        <v>74</v>
      </c>
      <c r="AF984" t="s">
        <v>74</v>
      </c>
      <c r="AG984">
        <v>40</v>
      </c>
      <c r="AH984">
        <v>16</v>
      </c>
      <c r="AI984">
        <v>19</v>
      </c>
      <c r="AJ984">
        <v>0</v>
      </c>
      <c r="AK984">
        <v>12</v>
      </c>
      <c r="AL984" t="s">
        <v>2397</v>
      </c>
      <c r="AM984" t="s">
        <v>2398</v>
      </c>
      <c r="AN984" t="s">
        <v>2399</v>
      </c>
      <c r="AO984" t="s">
        <v>2638</v>
      </c>
      <c r="AP984" t="s">
        <v>2639</v>
      </c>
      <c r="AQ984" t="s">
        <v>74</v>
      </c>
      <c r="AR984" t="s">
        <v>2640</v>
      </c>
      <c r="AS984" t="s">
        <v>2641</v>
      </c>
      <c r="AT984" t="s">
        <v>15810</v>
      </c>
      <c r="AU984">
        <v>2009</v>
      </c>
      <c r="AV984">
        <v>66</v>
      </c>
      <c r="AW984">
        <v>6</v>
      </c>
      <c r="AX984" t="s">
        <v>74</v>
      </c>
      <c r="AY984" t="s">
        <v>74</v>
      </c>
      <c r="AZ984" t="s">
        <v>74</v>
      </c>
      <c r="BA984" t="s">
        <v>74</v>
      </c>
      <c r="BB984">
        <v>1807</v>
      </c>
      <c r="BC984">
        <v>1820</v>
      </c>
      <c r="BD984" t="s">
        <v>74</v>
      </c>
      <c r="BE984" t="s">
        <v>17401</v>
      </c>
      <c r="BF984" t="str">
        <f>HYPERLINK("http://dx.doi.org/10.1175/2008JAS2904.1","http://dx.doi.org/10.1175/2008JAS2904.1")</f>
        <v>http://dx.doi.org/10.1175/2008JAS2904.1</v>
      </c>
      <c r="BG984" t="s">
        <v>74</v>
      </c>
      <c r="BH984" t="s">
        <v>74</v>
      </c>
      <c r="BI984">
        <v>14</v>
      </c>
      <c r="BJ984" t="s">
        <v>413</v>
      </c>
      <c r="BK984" t="s">
        <v>98</v>
      </c>
      <c r="BL984" t="s">
        <v>413</v>
      </c>
      <c r="BM984" t="s">
        <v>17402</v>
      </c>
      <c r="BN984" t="s">
        <v>74</v>
      </c>
      <c r="BO984" t="s">
        <v>263</v>
      </c>
      <c r="BP984" t="s">
        <v>74</v>
      </c>
      <c r="BQ984" t="s">
        <v>74</v>
      </c>
      <c r="BR984" t="s">
        <v>101</v>
      </c>
      <c r="BS984" t="s">
        <v>17403</v>
      </c>
      <c r="BT984" t="str">
        <f>HYPERLINK("https%3A%2F%2Fwww.webofscience.com%2Fwos%2Fwoscc%2Ffull-record%2FWOS:000267263300020","View Full Record in Web of Science")</f>
        <v>View Full Record in Web of Science</v>
      </c>
    </row>
    <row r="985" spans="1:72" x14ac:dyDescent="0.15">
      <c r="A985" t="s">
        <v>72</v>
      </c>
      <c r="B985" t="s">
        <v>17404</v>
      </c>
      <c r="C985" t="s">
        <v>74</v>
      </c>
      <c r="D985" t="s">
        <v>74</v>
      </c>
      <c r="E985" t="s">
        <v>74</v>
      </c>
      <c r="F985" t="s">
        <v>17405</v>
      </c>
      <c r="G985" t="s">
        <v>74</v>
      </c>
      <c r="H985" t="s">
        <v>74</v>
      </c>
      <c r="I985" t="s">
        <v>17406</v>
      </c>
      <c r="J985" t="s">
        <v>2696</v>
      </c>
      <c r="K985" t="s">
        <v>74</v>
      </c>
      <c r="L985" t="s">
        <v>74</v>
      </c>
      <c r="M985" t="s">
        <v>78</v>
      </c>
      <c r="N985" t="s">
        <v>79</v>
      </c>
      <c r="O985" t="s">
        <v>74</v>
      </c>
      <c r="P985" t="s">
        <v>74</v>
      </c>
      <c r="Q985" t="s">
        <v>74</v>
      </c>
      <c r="R985" t="s">
        <v>74</v>
      </c>
      <c r="S985" t="s">
        <v>74</v>
      </c>
      <c r="T985" t="s">
        <v>17407</v>
      </c>
      <c r="U985" t="s">
        <v>17408</v>
      </c>
      <c r="V985" t="s">
        <v>17409</v>
      </c>
      <c r="W985" t="s">
        <v>17410</v>
      </c>
      <c r="X985" t="s">
        <v>17411</v>
      </c>
      <c r="Y985" t="s">
        <v>17412</v>
      </c>
      <c r="Z985" t="s">
        <v>17413</v>
      </c>
      <c r="AA985" t="s">
        <v>74</v>
      </c>
      <c r="AB985" t="s">
        <v>74</v>
      </c>
      <c r="AC985" t="s">
        <v>74</v>
      </c>
      <c r="AD985" t="s">
        <v>74</v>
      </c>
      <c r="AE985" t="s">
        <v>74</v>
      </c>
      <c r="AF985" t="s">
        <v>74</v>
      </c>
      <c r="AG985">
        <v>40</v>
      </c>
      <c r="AH985">
        <v>5</v>
      </c>
      <c r="AI985">
        <v>6</v>
      </c>
      <c r="AJ985">
        <v>0</v>
      </c>
      <c r="AK985">
        <v>3</v>
      </c>
      <c r="AL985" t="s">
        <v>1226</v>
      </c>
      <c r="AM985" t="s">
        <v>684</v>
      </c>
      <c r="AN985" t="s">
        <v>1227</v>
      </c>
      <c r="AO985" t="s">
        <v>2705</v>
      </c>
      <c r="AP985" t="s">
        <v>74</v>
      </c>
      <c r="AQ985" t="s">
        <v>74</v>
      </c>
      <c r="AR985" t="s">
        <v>2707</v>
      </c>
      <c r="AS985" t="s">
        <v>2708</v>
      </c>
      <c r="AT985" t="s">
        <v>15810</v>
      </c>
      <c r="AU985">
        <v>2009</v>
      </c>
      <c r="AV985">
        <v>89</v>
      </c>
      <c r="AW985">
        <v>4</v>
      </c>
      <c r="AX985" t="s">
        <v>74</v>
      </c>
      <c r="AY985" t="s">
        <v>74</v>
      </c>
      <c r="AZ985" t="s">
        <v>74</v>
      </c>
      <c r="BA985" t="s">
        <v>74</v>
      </c>
      <c r="BB985">
        <v>689</v>
      </c>
      <c r="BC985">
        <v>696</v>
      </c>
      <c r="BD985" t="s">
        <v>74</v>
      </c>
      <c r="BE985" t="s">
        <v>17414</v>
      </c>
      <c r="BF985" t="str">
        <f>HYPERLINK("http://dx.doi.org/10.1017/S0025315409000174","http://dx.doi.org/10.1017/S0025315409000174")</f>
        <v>http://dx.doi.org/10.1017/S0025315409000174</v>
      </c>
      <c r="BG985" t="s">
        <v>74</v>
      </c>
      <c r="BH985" t="s">
        <v>74</v>
      </c>
      <c r="BI985">
        <v>8</v>
      </c>
      <c r="BJ985" t="s">
        <v>1052</v>
      </c>
      <c r="BK985" t="s">
        <v>98</v>
      </c>
      <c r="BL985" t="s">
        <v>1052</v>
      </c>
      <c r="BM985" t="s">
        <v>17415</v>
      </c>
      <c r="BN985" t="s">
        <v>74</v>
      </c>
      <c r="BO985" t="s">
        <v>74</v>
      </c>
      <c r="BP985" t="s">
        <v>74</v>
      </c>
      <c r="BQ985" t="s">
        <v>74</v>
      </c>
      <c r="BR985" t="s">
        <v>101</v>
      </c>
      <c r="BS985" t="s">
        <v>17416</v>
      </c>
      <c r="BT985" t="str">
        <f>HYPERLINK("https%3A%2F%2Fwww.webofscience.com%2Fwos%2Fwoscc%2Ffull-record%2FWOS:000268150600005","View Full Record in Web of Science")</f>
        <v>View Full Record in Web of Science</v>
      </c>
    </row>
    <row r="986" spans="1:72" x14ac:dyDescent="0.15">
      <c r="A986" t="s">
        <v>72</v>
      </c>
      <c r="B986" t="s">
        <v>17417</v>
      </c>
      <c r="C986" t="s">
        <v>74</v>
      </c>
      <c r="D986" t="s">
        <v>74</v>
      </c>
      <c r="E986" t="s">
        <v>74</v>
      </c>
      <c r="F986" t="s">
        <v>17418</v>
      </c>
      <c r="G986" t="s">
        <v>74</v>
      </c>
      <c r="H986" t="s">
        <v>74</v>
      </c>
      <c r="I986" t="s">
        <v>17419</v>
      </c>
      <c r="J986" t="s">
        <v>5770</v>
      </c>
      <c r="K986" t="s">
        <v>74</v>
      </c>
      <c r="L986" t="s">
        <v>74</v>
      </c>
      <c r="M986" t="s">
        <v>78</v>
      </c>
      <c r="N986" t="s">
        <v>79</v>
      </c>
      <c r="O986" t="s">
        <v>74</v>
      </c>
      <c r="P986" t="s">
        <v>74</v>
      </c>
      <c r="Q986" t="s">
        <v>74</v>
      </c>
      <c r="R986" t="s">
        <v>74</v>
      </c>
      <c r="S986" t="s">
        <v>74</v>
      </c>
      <c r="T986" t="s">
        <v>74</v>
      </c>
      <c r="U986" t="s">
        <v>17420</v>
      </c>
      <c r="V986" t="s">
        <v>17421</v>
      </c>
      <c r="W986" t="s">
        <v>17422</v>
      </c>
      <c r="X986" t="s">
        <v>17423</v>
      </c>
      <c r="Y986" t="s">
        <v>17424</v>
      </c>
      <c r="Z986" t="s">
        <v>17425</v>
      </c>
      <c r="AA986" t="s">
        <v>17426</v>
      </c>
      <c r="AB986" t="s">
        <v>74</v>
      </c>
      <c r="AC986" t="s">
        <v>17427</v>
      </c>
      <c r="AD986" t="s">
        <v>17428</v>
      </c>
      <c r="AE986" t="s">
        <v>17429</v>
      </c>
      <c r="AF986" t="s">
        <v>74</v>
      </c>
      <c r="AG986">
        <v>56</v>
      </c>
      <c r="AH986">
        <v>18</v>
      </c>
      <c r="AI986">
        <v>24</v>
      </c>
      <c r="AJ986">
        <v>0</v>
      </c>
      <c r="AK986">
        <v>17</v>
      </c>
      <c r="AL986" t="s">
        <v>2588</v>
      </c>
      <c r="AM986" t="s">
        <v>2589</v>
      </c>
      <c r="AN986" t="s">
        <v>2590</v>
      </c>
      <c r="AO986" t="s">
        <v>5779</v>
      </c>
      <c r="AP986" t="s">
        <v>5780</v>
      </c>
      <c r="AQ986" t="s">
        <v>74</v>
      </c>
      <c r="AR986" t="s">
        <v>5781</v>
      </c>
      <c r="AS986" t="s">
        <v>5782</v>
      </c>
      <c r="AT986" t="s">
        <v>15810</v>
      </c>
      <c r="AU986">
        <v>2009</v>
      </c>
      <c r="AV986">
        <v>156</v>
      </c>
      <c r="AW986">
        <v>7</v>
      </c>
      <c r="AX986" t="s">
        <v>74</v>
      </c>
      <c r="AY986" t="s">
        <v>74</v>
      </c>
      <c r="AZ986" t="s">
        <v>74</v>
      </c>
      <c r="BA986" t="s">
        <v>74</v>
      </c>
      <c r="BB986">
        <v>1459</v>
      </c>
      <c r="BC986">
        <v>1473</v>
      </c>
      <c r="BD986" t="s">
        <v>74</v>
      </c>
      <c r="BE986" t="s">
        <v>17430</v>
      </c>
      <c r="BF986" t="str">
        <f>HYPERLINK("http://dx.doi.org/10.1007/s00227-009-1186-1","http://dx.doi.org/10.1007/s00227-009-1186-1")</f>
        <v>http://dx.doi.org/10.1007/s00227-009-1186-1</v>
      </c>
      <c r="BG986" t="s">
        <v>74</v>
      </c>
      <c r="BH986" t="s">
        <v>74</v>
      </c>
      <c r="BI986">
        <v>15</v>
      </c>
      <c r="BJ986" t="s">
        <v>1052</v>
      </c>
      <c r="BK986" t="s">
        <v>98</v>
      </c>
      <c r="BL986" t="s">
        <v>1052</v>
      </c>
      <c r="BM986" t="s">
        <v>17431</v>
      </c>
      <c r="BN986" t="s">
        <v>74</v>
      </c>
      <c r="BO986" t="s">
        <v>74</v>
      </c>
      <c r="BP986" t="s">
        <v>74</v>
      </c>
      <c r="BQ986" t="s">
        <v>74</v>
      </c>
      <c r="BR986" t="s">
        <v>101</v>
      </c>
      <c r="BS986" t="s">
        <v>17432</v>
      </c>
      <c r="BT986" t="str">
        <f>HYPERLINK("https%3A%2F%2Fwww.webofscience.com%2Fwos%2Fwoscc%2Ffull-record%2FWOS:000266010300009","View Full Record in Web of Science")</f>
        <v>View Full Record in Web of Science</v>
      </c>
    </row>
    <row r="987" spans="1:72" x14ac:dyDescent="0.15">
      <c r="A987" t="s">
        <v>72</v>
      </c>
      <c r="B987" t="s">
        <v>17433</v>
      </c>
      <c r="C987" t="s">
        <v>74</v>
      </c>
      <c r="D987" t="s">
        <v>74</v>
      </c>
      <c r="E987" t="s">
        <v>74</v>
      </c>
      <c r="F987" t="s">
        <v>17434</v>
      </c>
      <c r="G987" t="s">
        <v>74</v>
      </c>
      <c r="H987" t="s">
        <v>74</v>
      </c>
      <c r="I987" t="s">
        <v>17435</v>
      </c>
      <c r="J987" t="s">
        <v>10379</v>
      </c>
      <c r="K987" t="s">
        <v>74</v>
      </c>
      <c r="L987" t="s">
        <v>74</v>
      </c>
      <c r="M987" t="s">
        <v>78</v>
      </c>
      <c r="N987" t="s">
        <v>79</v>
      </c>
      <c r="O987" t="s">
        <v>74</v>
      </c>
      <c r="P987" t="s">
        <v>74</v>
      </c>
      <c r="Q987" t="s">
        <v>74</v>
      </c>
      <c r="R987" t="s">
        <v>74</v>
      </c>
      <c r="S987" t="s">
        <v>74</v>
      </c>
      <c r="T987" t="s">
        <v>17436</v>
      </c>
      <c r="U987" t="s">
        <v>17437</v>
      </c>
      <c r="V987" t="s">
        <v>17438</v>
      </c>
      <c r="W987" t="s">
        <v>17439</v>
      </c>
      <c r="X987" t="s">
        <v>17440</v>
      </c>
      <c r="Y987" t="s">
        <v>17441</v>
      </c>
      <c r="Z987" t="s">
        <v>17442</v>
      </c>
      <c r="AA987" t="s">
        <v>17443</v>
      </c>
      <c r="AB987" t="s">
        <v>17444</v>
      </c>
      <c r="AC987" t="s">
        <v>17445</v>
      </c>
      <c r="AD987" t="s">
        <v>17446</v>
      </c>
      <c r="AE987" t="s">
        <v>17447</v>
      </c>
      <c r="AF987" t="s">
        <v>74</v>
      </c>
      <c r="AG987">
        <v>71</v>
      </c>
      <c r="AH987">
        <v>32</v>
      </c>
      <c r="AI987">
        <v>42</v>
      </c>
      <c r="AJ987">
        <v>0</v>
      </c>
      <c r="AK987">
        <v>13</v>
      </c>
      <c r="AL987" t="s">
        <v>1184</v>
      </c>
      <c r="AM987" t="s">
        <v>1185</v>
      </c>
      <c r="AN987" t="s">
        <v>1186</v>
      </c>
      <c r="AO987" t="s">
        <v>10387</v>
      </c>
      <c r="AP987" t="s">
        <v>10388</v>
      </c>
      <c r="AQ987" t="s">
        <v>74</v>
      </c>
      <c r="AR987" t="s">
        <v>10389</v>
      </c>
      <c r="AS987" t="s">
        <v>10390</v>
      </c>
      <c r="AT987" t="s">
        <v>15810</v>
      </c>
      <c r="AU987">
        <v>2009</v>
      </c>
      <c r="AV987">
        <v>30</v>
      </c>
      <c r="AW987">
        <v>2</v>
      </c>
      <c r="AX987" t="s">
        <v>74</v>
      </c>
      <c r="AY987" t="s">
        <v>74</v>
      </c>
      <c r="AZ987" t="s">
        <v>74</v>
      </c>
      <c r="BA987" t="s">
        <v>74</v>
      </c>
      <c r="BB987">
        <v>181</v>
      </c>
      <c r="BC987">
        <v>197</v>
      </c>
      <c r="BD987" t="s">
        <v>74</v>
      </c>
      <c r="BE987" t="s">
        <v>17448</v>
      </c>
      <c r="BF987" t="str">
        <f>HYPERLINK("http://dx.doi.org/10.1111/j.1439-0485.2008.00265.x","http://dx.doi.org/10.1111/j.1439-0485.2008.00265.x")</f>
        <v>http://dx.doi.org/10.1111/j.1439-0485.2008.00265.x</v>
      </c>
      <c r="BG987" t="s">
        <v>74</v>
      </c>
      <c r="BH987" t="s">
        <v>74</v>
      </c>
      <c r="BI987">
        <v>17</v>
      </c>
      <c r="BJ987" t="s">
        <v>1052</v>
      </c>
      <c r="BK987" t="s">
        <v>98</v>
      </c>
      <c r="BL987" t="s">
        <v>1052</v>
      </c>
      <c r="BM987" t="s">
        <v>17449</v>
      </c>
      <c r="BN987" t="s">
        <v>74</v>
      </c>
      <c r="BO987" t="s">
        <v>74</v>
      </c>
      <c r="BP987" t="s">
        <v>74</v>
      </c>
      <c r="BQ987" t="s">
        <v>74</v>
      </c>
      <c r="BR987" t="s">
        <v>101</v>
      </c>
      <c r="BS987" t="s">
        <v>17450</v>
      </c>
      <c r="BT987" t="str">
        <f>HYPERLINK("https%3A%2F%2Fwww.webofscience.com%2Fwos%2Fwoscc%2Ffull-record%2FWOS:000265896500004","View Full Record in Web of Science")</f>
        <v>View Full Record in Web of Science</v>
      </c>
    </row>
    <row r="988" spans="1:72" x14ac:dyDescent="0.15">
      <c r="A988" t="s">
        <v>72</v>
      </c>
      <c r="B988" t="s">
        <v>17451</v>
      </c>
      <c r="C988" t="s">
        <v>74</v>
      </c>
      <c r="D988" t="s">
        <v>74</v>
      </c>
      <c r="E988" t="s">
        <v>74</v>
      </c>
      <c r="F988" t="s">
        <v>17452</v>
      </c>
      <c r="G988" t="s">
        <v>74</v>
      </c>
      <c r="H988" t="s">
        <v>74</v>
      </c>
      <c r="I988" t="s">
        <v>17453</v>
      </c>
      <c r="J988" t="s">
        <v>2728</v>
      </c>
      <c r="K988" t="s">
        <v>74</v>
      </c>
      <c r="L988" t="s">
        <v>74</v>
      </c>
      <c r="M988" t="s">
        <v>78</v>
      </c>
      <c r="N988" t="s">
        <v>79</v>
      </c>
      <c r="O988" t="s">
        <v>74</v>
      </c>
      <c r="P988" t="s">
        <v>74</v>
      </c>
      <c r="Q988" t="s">
        <v>74</v>
      </c>
      <c r="R988" t="s">
        <v>74</v>
      </c>
      <c r="S988" t="s">
        <v>74</v>
      </c>
      <c r="T988" t="s">
        <v>17454</v>
      </c>
      <c r="U988" t="s">
        <v>17455</v>
      </c>
      <c r="V988" t="s">
        <v>17456</v>
      </c>
      <c r="W988" t="s">
        <v>17457</v>
      </c>
      <c r="X988" t="s">
        <v>17458</v>
      </c>
      <c r="Y988" t="s">
        <v>17459</v>
      </c>
      <c r="Z988" t="s">
        <v>17460</v>
      </c>
      <c r="AA988" t="s">
        <v>17461</v>
      </c>
      <c r="AB988" t="s">
        <v>17462</v>
      </c>
      <c r="AC988" t="s">
        <v>17463</v>
      </c>
      <c r="AD988" t="s">
        <v>17464</v>
      </c>
      <c r="AE988" t="s">
        <v>17465</v>
      </c>
      <c r="AF988" t="s">
        <v>74</v>
      </c>
      <c r="AG988">
        <v>62</v>
      </c>
      <c r="AH988">
        <v>20</v>
      </c>
      <c r="AI988">
        <v>23</v>
      </c>
      <c r="AJ988">
        <v>6</v>
      </c>
      <c r="AK988">
        <v>24</v>
      </c>
      <c r="AL988" t="s">
        <v>305</v>
      </c>
      <c r="AM988" t="s">
        <v>281</v>
      </c>
      <c r="AN988" t="s">
        <v>306</v>
      </c>
      <c r="AO988" t="s">
        <v>2741</v>
      </c>
      <c r="AP988" t="s">
        <v>2742</v>
      </c>
      <c r="AQ988" t="s">
        <v>74</v>
      </c>
      <c r="AR988" t="s">
        <v>2743</v>
      </c>
      <c r="AS988" t="s">
        <v>2744</v>
      </c>
      <c r="AT988" t="s">
        <v>15810</v>
      </c>
      <c r="AU988">
        <v>2009</v>
      </c>
      <c r="AV988">
        <v>72</v>
      </c>
      <c r="AW988" t="s">
        <v>180</v>
      </c>
      <c r="AX988" t="s">
        <v>74</v>
      </c>
      <c r="AY988" t="s">
        <v>74</v>
      </c>
      <c r="AZ988" t="s">
        <v>74</v>
      </c>
      <c r="BA988" t="s">
        <v>74</v>
      </c>
      <c r="BB988">
        <v>49</v>
      </c>
      <c r="BC988">
        <v>59</v>
      </c>
      <c r="BD988" t="s">
        <v>74</v>
      </c>
      <c r="BE988" t="s">
        <v>17466</v>
      </c>
      <c r="BF988" t="str">
        <f>HYPERLINK("http://dx.doi.org/10.1016/j.marmicro.2009.03.003","http://dx.doi.org/10.1016/j.marmicro.2009.03.003")</f>
        <v>http://dx.doi.org/10.1016/j.marmicro.2009.03.003</v>
      </c>
      <c r="BG988" t="s">
        <v>74</v>
      </c>
      <c r="BH988" t="s">
        <v>74</v>
      </c>
      <c r="BI988">
        <v>11</v>
      </c>
      <c r="BJ988" t="s">
        <v>2746</v>
      </c>
      <c r="BK988" t="s">
        <v>98</v>
      </c>
      <c r="BL988" t="s">
        <v>2746</v>
      </c>
      <c r="BM988" t="s">
        <v>17467</v>
      </c>
      <c r="BN988" t="s">
        <v>74</v>
      </c>
      <c r="BO988" t="s">
        <v>74</v>
      </c>
      <c r="BP988" t="s">
        <v>74</v>
      </c>
      <c r="BQ988" t="s">
        <v>74</v>
      </c>
      <c r="BR988" t="s">
        <v>101</v>
      </c>
      <c r="BS988" t="s">
        <v>17468</v>
      </c>
      <c r="BT988" t="str">
        <f>HYPERLINK("https%3A%2F%2Fwww.webofscience.com%2Fwos%2Fwoscc%2Ffull-record%2FWOS:000267515500004","View Full Record in Web of Science")</f>
        <v>View Full Record in Web of Science</v>
      </c>
    </row>
    <row r="989" spans="1:72" x14ac:dyDescent="0.15">
      <c r="A989" t="s">
        <v>72</v>
      </c>
      <c r="B989" t="s">
        <v>17469</v>
      </c>
      <c r="C989" t="s">
        <v>74</v>
      </c>
      <c r="D989" t="s">
        <v>74</v>
      </c>
      <c r="E989" t="s">
        <v>74</v>
      </c>
      <c r="F989" t="s">
        <v>17469</v>
      </c>
      <c r="G989" t="s">
        <v>74</v>
      </c>
      <c r="H989" t="s">
        <v>74</v>
      </c>
      <c r="I989" t="s">
        <v>17470</v>
      </c>
      <c r="J989" t="s">
        <v>8145</v>
      </c>
      <c r="K989" t="s">
        <v>74</v>
      </c>
      <c r="L989" t="s">
        <v>74</v>
      </c>
      <c r="M989" t="s">
        <v>78</v>
      </c>
      <c r="N989" t="s">
        <v>8261</v>
      </c>
      <c r="O989" t="s">
        <v>74</v>
      </c>
      <c r="P989" t="s">
        <v>74</v>
      </c>
      <c r="Q989" t="s">
        <v>74</v>
      </c>
      <c r="R989" t="s">
        <v>74</v>
      </c>
      <c r="S989" t="s">
        <v>74</v>
      </c>
      <c r="T989" t="s">
        <v>74</v>
      </c>
      <c r="U989" t="s">
        <v>74</v>
      </c>
      <c r="V989" t="s">
        <v>74</v>
      </c>
      <c r="W989" t="s">
        <v>74</v>
      </c>
      <c r="X989" t="s">
        <v>74</v>
      </c>
      <c r="Y989" t="s">
        <v>74</v>
      </c>
      <c r="Z989" t="s">
        <v>74</v>
      </c>
      <c r="AA989" t="s">
        <v>74</v>
      </c>
      <c r="AB989" t="s">
        <v>74</v>
      </c>
      <c r="AC989" t="s">
        <v>74</v>
      </c>
      <c r="AD989" t="s">
        <v>74</v>
      </c>
      <c r="AE989" t="s">
        <v>74</v>
      </c>
      <c r="AF989" t="s">
        <v>74</v>
      </c>
      <c r="AG989">
        <v>0</v>
      </c>
      <c r="AH989">
        <v>0</v>
      </c>
      <c r="AI989">
        <v>0</v>
      </c>
      <c r="AJ989">
        <v>0</v>
      </c>
      <c r="AK989">
        <v>2</v>
      </c>
      <c r="AL989" t="s">
        <v>1894</v>
      </c>
      <c r="AM989" t="s">
        <v>1895</v>
      </c>
      <c r="AN989" t="s">
        <v>1896</v>
      </c>
      <c r="AO989" t="s">
        <v>8156</v>
      </c>
      <c r="AP989" t="s">
        <v>8157</v>
      </c>
      <c r="AQ989" t="s">
        <v>74</v>
      </c>
      <c r="AR989" t="s">
        <v>8158</v>
      </c>
      <c r="AS989" t="s">
        <v>8159</v>
      </c>
      <c r="AT989" t="s">
        <v>15810</v>
      </c>
      <c r="AU989">
        <v>2009</v>
      </c>
      <c r="AV989">
        <v>58</v>
      </c>
      <c r="AW989">
        <v>6</v>
      </c>
      <c r="AX989" t="s">
        <v>74</v>
      </c>
      <c r="AY989" t="s">
        <v>74</v>
      </c>
      <c r="AZ989" t="s">
        <v>74</v>
      </c>
      <c r="BA989" t="s">
        <v>74</v>
      </c>
      <c r="BB989">
        <v>789</v>
      </c>
      <c r="BC989">
        <v>789</v>
      </c>
      <c r="BD989" t="s">
        <v>74</v>
      </c>
      <c r="BE989" t="s">
        <v>74</v>
      </c>
      <c r="BF989" t="s">
        <v>74</v>
      </c>
      <c r="BG989" t="s">
        <v>74</v>
      </c>
      <c r="BH989" t="s">
        <v>74</v>
      </c>
      <c r="BI989">
        <v>1</v>
      </c>
      <c r="BJ989" t="s">
        <v>8161</v>
      </c>
      <c r="BK989" t="s">
        <v>98</v>
      </c>
      <c r="BL989" t="s">
        <v>648</v>
      </c>
      <c r="BM989" t="s">
        <v>17471</v>
      </c>
      <c r="BN989" t="s">
        <v>74</v>
      </c>
      <c r="BO989" t="s">
        <v>74</v>
      </c>
      <c r="BP989" t="s">
        <v>74</v>
      </c>
      <c r="BQ989" t="s">
        <v>74</v>
      </c>
      <c r="BR989" t="s">
        <v>101</v>
      </c>
      <c r="BS989" t="s">
        <v>17472</v>
      </c>
      <c r="BT989" t="str">
        <f>HYPERLINK("https%3A%2F%2Fwww.webofscience.com%2Fwos%2Fwoscc%2Ffull-record%2FWOS:000267558600002","View Full Record in Web of Science")</f>
        <v>View Full Record in Web of Science</v>
      </c>
    </row>
    <row r="990" spans="1:72" x14ac:dyDescent="0.15">
      <c r="A990" t="s">
        <v>72</v>
      </c>
      <c r="B990" t="s">
        <v>17473</v>
      </c>
      <c r="C990" t="s">
        <v>74</v>
      </c>
      <c r="D990" t="s">
        <v>74</v>
      </c>
      <c r="E990" t="s">
        <v>74</v>
      </c>
      <c r="F990" t="s">
        <v>17474</v>
      </c>
      <c r="G990" t="s">
        <v>74</v>
      </c>
      <c r="H990" t="s">
        <v>74</v>
      </c>
      <c r="I990" t="s">
        <v>17475</v>
      </c>
      <c r="J990" t="s">
        <v>8199</v>
      </c>
      <c r="K990" t="s">
        <v>74</v>
      </c>
      <c r="L990" t="s">
        <v>74</v>
      </c>
      <c r="M990" t="s">
        <v>78</v>
      </c>
      <c r="N990" t="s">
        <v>79</v>
      </c>
      <c r="O990" t="s">
        <v>74</v>
      </c>
      <c r="P990" t="s">
        <v>74</v>
      </c>
      <c r="Q990" t="s">
        <v>74</v>
      </c>
      <c r="R990" t="s">
        <v>74</v>
      </c>
      <c r="S990" t="s">
        <v>74</v>
      </c>
      <c r="T990" t="s">
        <v>74</v>
      </c>
      <c r="U990" t="s">
        <v>17476</v>
      </c>
      <c r="V990" t="s">
        <v>17477</v>
      </c>
      <c r="W990" t="s">
        <v>17478</v>
      </c>
      <c r="X990" t="s">
        <v>17479</v>
      </c>
      <c r="Y990" t="s">
        <v>17480</v>
      </c>
      <c r="Z990" t="s">
        <v>17481</v>
      </c>
      <c r="AA990" t="s">
        <v>74</v>
      </c>
      <c r="AB990" t="s">
        <v>74</v>
      </c>
      <c r="AC990" t="s">
        <v>17482</v>
      </c>
      <c r="AD990" t="s">
        <v>17483</v>
      </c>
      <c r="AE990" t="s">
        <v>17484</v>
      </c>
      <c r="AF990" t="s">
        <v>74</v>
      </c>
      <c r="AG990">
        <v>62</v>
      </c>
      <c r="AH990">
        <v>9</v>
      </c>
      <c r="AI990">
        <v>10</v>
      </c>
      <c r="AJ990">
        <v>1</v>
      </c>
      <c r="AK990">
        <v>10</v>
      </c>
      <c r="AL990" t="s">
        <v>1184</v>
      </c>
      <c r="AM990" t="s">
        <v>1185</v>
      </c>
      <c r="AN990" t="s">
        <v>1186</v>
      </c>
      <c r="AO990" t="s">
        <v>8211</v>
      </c>
      <c r="AP990" t="s">
        <v>8212</v>
      </c>
      <c r="AQ990" t="s">
        <v>74</v>
      </c>
      <c r="AR990" t="s">
        <v>8213</v>
      </c>
      <c r="AS990" t="s">
        <v>8214</v>
      </c>
      <c r="AT990" t="s">
        <v>15810</v>
      </c>
      <c r="AU990">
        <v>2009</v>
      </c>
      <c r="AV990">
        <v>44</v>
      </c>
      <c r="AW990">
        <v>6</v>
      </c>
      <c r="AX990" t="s">
        <v>74</v>
      </c>
      <c r="AY990" t="s">
        <v>74</v>
      </c>
      <c r="AZ990" t="s">
        <v>74</v>
      </c>
      <c r="BA990" t="s">
        <v>74</v>
      </c>
      <c r="BB990">
        <v>891</v>
      </c>
      <c r="BC990">
        <v>903</v>
      </c>
      <c r="BD990" t="s">
        <v>74</v>
      </c>
      <c r="BE990" t="s">
        <v>17485</v>
      </c>
      <c r="BF990" t="str">
        <f>HYPERLINK("http://dx.doi.org/10.1111/j.1945-5100.2009.tb00776.x","http://dx.doi.org/10.1111/j.1945-5100.2009.tb00776.x")</f>
        <v>http://dx.doi.org/10.1111/j.1945-5100.2009.tb00776.x</v>
      </c>
      <c r="BG990" t="s">
        <v>74</v>
      </c>
      <c r="BH990" t="s">
        <v>74</v>
      </c>
      <c r="BI990">
        <v>13</v>
      </c>
      <c r="BJ990" t="s">
        <v>261</v>
      </c>
      <c r="BK990" t="s">
        <v>98</v>
      </c>
      <c r="BL990" t="s">
        <v>261</v>
      </c>
      <c r="BM990" t="s">
        <v>17486</v>
      </c>
      <c r="BN990" t="s">
        <v>74</v>
      </c>
      <c r="BO990" t="s">
        <v>74</v>
      </c>
      <c r="BP990" t="s">
        <v>74</v>
      </c>
      <c r="BQ990" t="s">
        <v>74</v>
      </c>
      <c r="BR990" t="s">
        <v>101</v>
      </c>
      <c r="BS990" t="s">
        <v>17487</v>
      </c>
      <c r="BT990" t="str">
        <f>HYPERLINK("https%3A%2F%2Fwww.webofscience.com%2Fwos%2Fwoscc%2Ffull-record%2FWOS:000269284100008","View Full Record in Web of Science")</f>
        <v>View Full Record in Web of Science</v>
      </c>
    </row>
    <row r="991" spans="1:72" x14ac:dyDescent="0.15">
      <c r="A991" t="s">
        <v>72</v>
      </c>
      <c r="B991" t="s">
        <v>17488</v>
      </c>
      <c r="C991" t="s">
        <v>74</v>
      </c>
      <c r="D991" t="s">
        <v>74</v>
      </c>
      <c r="E991" t="s">
        <v>74</v>
      </c>
      <c r="F991" t="s">
        <v>17489</v>
      </c>
      <c r="G991" t="s">
        <v>74</v>
      </c>
      <c r="H991" t="s">
        <v>74</v>
      </c>
      <c r="I991" t="s">
        <v>17490</v>
      </c>
      <c r="J991" t="s">
        <v>2811</v>
      </c>
      <c r="K991" t="s">
        <v>74</v>
      </c>
      <c r="L991" t="s">
        <v>74</v>
      </c>
      <c r="M991" t="s">
        <v>78</v>
      </c>
      <c r="N991" t="s">
        <v>297</v>
      </c>
      <c r="O991" t="s">
        <v>74</v>
      </c>
      <c r="P991" t="s">
        <v>74</v>
      </c>
      <c r="Q991" t="s">
        <v>74</v>
      </c>
      <c r="R991" t="s">
        <v>74</v>
      </c>
      <c r="S991" t="s">
        <v>74</v>
      </c>
      <c r="T991" t="s">
        <v>17491</v>
      </c>
      <c r="U991" t="s">
        <v>17492</v>
      </c>
      <c r="V991" t="s">
        <v>17493</v>
      </c>
      <c r="W991" t="s">
        <v>17494</v>
      </c>
      <c r="X991" t="s">
        <v>17495</v>
      </c>
      <c r="Y991" t="s">
        <v>17496</v>
      </c>
      <c r="Z991" t="s">
        <v>17497</v>
      </c>
      <c r="AA991" t="s">
        <v>17498</v>
      </c>
      <c r="AB991" t="s">
        <v>17499</v>
      </c>
      <c r="AC991" t="s">
        <v>17500</v>
      </c>
      <c r="AD991" t="s">
        <v>17501</v>
      </c>
      <c r="AE991" t="s">
        <v>17502</v>
      </c>
      <c r="AF991" t="s">
        <v>74</v>
      </c>
      <c r="AG991">
        <v>101</v>
      </c>
      <c r="AH991">
        <v>72</v>
      </c>
      <c r="AI991">
        <v>80</v>
      </c>
      <c r="AJ991">
        <v>1</v>
      </c>
      <c r="AK991">
        <v>44</v>
      </c>
      <c r="AL991" t="s">
        <v>1184</v>
      </c>
      <c r="AM991" t="s">
        <v>1185</v>
      </c>
      <c r="AN991" t="s">
        <v>1186</v>
      </c>
      <c r="AO991" t="s">
        <v>2824</v>
      </c>
      <c r="AP991" t="s">
        <v>2825</v>
      </c>
      <c r="AQ991" t="s">
        <v>74</v>
      </c>
      <c r="AR991" t="s">
        <v>2826</v>
      </c>
      <c r="AS991" t="s">
        <v>2827</v>
      </c>
      <c r="AT991" t="s">
        <v>15810</v>
      </c>
      <c r="AU991">
        <v>2009</v>
      </c>
      <c r="AV991">
        <v>18</v>
      </c>
      <c r="AW991">
        <v>12</v>
      </c>
      <c r="AX991" t="s">
        <v>74</v>
      </c>
      <c r="AY991" t="s">
        <v>74</v>
      </c>
      <c r="AZ991" t="s">
        <v>74</v>
      </c>
      <c r="BA991" t="s">
        <v>74</v>
      </c>
      <c r="BB991">
        <v>2574</v>
      </c>
      <c r="BC991">
        <v>2587</v>
      </c>
      <c r="BD991" t="s">
        <v>74</v>
      </c>
      <c r="BE991" t="s">
        <v>17503</v>
      </c>
      <c r="BF991" t="str">
        <f>HYPERLINK("http://dx.doi.org/10.1111/j.1365-294X.2009.04220.x","http://dx.doi.org/10.1111/j.1365-294X.2009.04220.x")</f>
        <v>http://dx.doi.org/10.1111/j.1365-294X.2009.04220.x</v>
      </c>
      <c r="BG991" t="s">
        <v>74</v>
      </c>
      <c r="BH991" t="s">
        <v>74</v>
      </c>
      <c r="BI991">
        <v>14</v>
      </c>
      <c r="BJ991" t="s">
        <v>2829</v>
      </c>
      <c r="BK991" t="s">
        <v>98</v>
      </c>
      <c r="BL991" t="s">
        <v>2830</v>
      </c>
      <c r="BM991" t="s">
        <v>17504</v>
      </c>
      <c r="BN991">
        <v>19457182</v>
      </c>
      <c r="BO991" t="s">
        <v>263</v>
      </c>
      <c r="BP991" t="s">
        <v>74</v>
      </c>
      <c r="BQ991" t="s">
        <v>74</v>
      </c>
      <c r="BR991" t="s">
        <v>101</v>
      </c>
      <c r="BS991" t="s">
        <v>17505</v>
      </c>
      <c r="BT991" t="str">
        <f>HYPERLINK("https%3A%2F%2Fwww.webofscience.com%2Fwos%2Fwoscc%2Ffull-record%2FWOS:000266716100005","View Full Record in Web of Science")</f>
        <v>View Full Record in Web of Science</v>
      </c>
    </row>
    <row r="992" spans="1:72" x14ac:dyDescent="0.15">
      <c r="A992" t="s">
        <v>72</v>
      </c>
      <c r="B992" t="s">
        <v>17506</v>
      </c>
      <c r="C992" t="s">
        <v>74</v>
      </c>
      <c r="D992" t="s">
        <v>74</v>
      </c>
      <c r="E992" t="s">
        <v>74</v>
      </c>
      <c r="F992" t="s">
        <v>17507</v>
      </c>
      <c r="G992" t="s">
        <v>74</v>
      </c>
      <c r="H992" t="s">
        <v>74</v>
      </c>
      <c r="I992" t="s">
        <v>17508</v>
      </c>
      <c r="J992" t="s">
        <v>17509</v>
      </c>
      <c r="K992" t="s">
        <v>74</v>
      </c>
      <c r="L992" t="s">
        <v>74</v>
      </c>
      <c r="M992" t="s">
        <v>78</v>
      </c>
      <c r="N992" t="s">
        <v>297</v>
      </c>
      <c r="O992" t="s">
        <v>74</v>
      </c>
      <c r="P992" t="s">
        <v>74</v>
      </c>
      <c r="Q992" t="s">
        <v>74</v>
      </c>
      <c r="R992" t="s">
        <v>74</v>
      </c>
      <c r="S992" t="s">
        <v>74</v>
      </c>
      <c r="T992" t="s">
        <v>74</v>
      </c>
      <c r="U992" t="s">
        <v>17510</v>
      </c>
      <c r="V992" t="s">
        <v>17511</v>
      </c>
      <c r="W992" t="s">
        <v>17512</v>
      </c>
      <c r="X992" t="s">
        <v>17513</v>
      </c>
      <c r="Y992" t="s">
        <v>17514</v>
      </c>
      <c r="Z992" t="s">
        <v>11682</v>
      </c>
      <c r="AA992" t="s">
        <v>17515</v>
      </c>
      <c r="AB992" t="s">
        <v>17516</v>
      </c>
      <c r="AC992" t="s">
        <v>17517</v>
      </c>
      <c r="AD992" t="s">
        <v>17518</v>
      </c>
      <c r="AE992" t="s">
        <v>17519</v>
      </c>
      <c r="AF992" t="s">
        <v>74</v>
      </c>
      <c r="AG992">
        <v>64</v>
      </c>
      <c r="AH992">
        <v>260</v>
      </c>
      <c r="AI992">
        <v>300</v>
      </c>
      <c r="AJ992">
        <v>13</v>
      </c>
      <c r="AK992">
        <v>185</v>
      </c>
      <c r="AL992" t="s">
        <v>2890</v>
      </c>
      <c r="AM992" t="s">
        <v>433</v>
      </c>
      <c r="AN992" t="s">
        <v>3957</v>
      </c>
      <c r="AO992" t="s">
        <v>17520</v>
      </c>
      <c r="AP992" t="s">
        <v>17521</v>
      </c>
      <c r="AQ992" t="s">
        <v>74</v>
      </c>
      <c r="AR992" t="s">
        <v>17522</v>
      </c>
      <c r="AS992" t="s">
        <v>17523</v>
      </c>
      <c r="AT992" t="s">
        <v>15810</v>
      </c>
      <c r="AU992">
        <v>2009</v>
      </c>
      <c r="AV992">
        <v>7</v>
      </c>
      <c r="AW992">
        <v>6</v>
      </c>
      <c r="AX992" t="s">
        <v>74</v>
      </c>
      <c r="AY992" t="s">
        <v>74</v>
      </c>
      <c r="AZ992" t="s">
        <v>74</v>
      </c>
      <c r="BA992" t="s">
        <v>74</v>
      </c>
      <c r="BB992">
        <v>451</v>
      </c>
      <c r="BC992">
        <v>459</v>
      </c>
      <c r="BD992" t="s">
        <v>74</v>
      </c>
      <c r="BE992" t="s">
        <v>17524</v>
      </c>
      <c r="BF992" t="str">
        <f>HYPERLINK("http://dx.doi.org/10.1038/nrmicro2115","http://dx.doi.org/10.1038/nrmicro2115")</f>
        <v>http://dx.doi.org/10.1038/nrmicro2115</v>
      </c>
      <c r="BG992" t="s">
        <v>74</v>
      </c>
      <c r="BH992" t="s">
        <v>74</v>
      </c>
      <c r="BI992">
        <v>9</v>
      </c>
      <c r="BJ992" t="s">
        <v>1958</v>
      </c>
      <c r="BK992" t="s">
        <v>98</v>
      </c>
      <c r="BL992" t="s">
        <v>1958</v>
      </c>
      <c r="BM992" t="s">
        <v>17525</v>
      </c>
      <c r="BN992">
        <v>19421189</v>
      </c>
      <c r="BO992" t="s">
        <v>74</v>
      </c>
      <c r="BP992" t="s">
        <v>74</v>
      </c>
      <c r="BQ992" t="s">
        <v>74</v>
      </c>
      <c r="BR992" t="s">
        <v>101</v>
      </c>
      <c r="BS992" t="s">
        <v>17526</v>
      </c>
      <c r="BT992" t="str">
        <f>HYPERLINK("https%3A%2F%2Fwww.webofscience.com%2Fwos%2Fwoscc%2Ffull-record%2FWOS:000266451100013","View Full Record in Web of Science")</f>
        <v>View Full Record in Web of Science</v>
      </c>
    </row>
    <row r="993" spans="1:72" x14ac:dyDescent="0.15">
      <c r="A993" t="s">
        <v>72</v>
      </c>
      <c r="B993" t="s">
        <v>17527</v>
      </c>
      <c r="C993" t="s">
        <v>74</v>
      </c>
      <c r="D993" t="s">
        <v>74</v>
      </c>
      <c r="E993" t="s">
        <v>74</v>
      </c>
      <c r="F993" t="s">
        <v>17528</v>
      </c>
      <c r="G993" t="s">
        <v>74</v>
      </c>
      <c r="H993" t="s">
        <v>74</v>
      </c>
      <c r="I993" t="s">
        <v>17529</v>
      </c>
      <c r="J993" t="s">
        <v>17530</v>
      </c>
      <c r="K993" t="s">
        <v>74</v>
      </c>
      <c r="L993" t="s">
        <v>74</v>
      </c>
      <c r="M993" t="s">
        <v>78</v>
      </c>
      <c r="N993" t="s">
        <v>1965</v>
      </c>
      <c r="O993" t="s">
        <v>17531</v>
      </c>
      <c r="P993" t="s">
        <v>17532</v>
      </c>
      <c r="Q993" t="s">
        <v>17533</v>
      </c>
      <c r="R993" t="s">
        <v>74</v>
      </c>
      <c r="S993" t="s">
        <v>74</v>
      </c>
      <c r="T993" t="s">
        <v>17534</v>
      </c>
      <c r="U993" t="s">
        <v>74</v>
      </c>
      <c r="V993" t="s">
        <v>17535</v>
      </c>
      <c r="W993" t="s">
        <v>17536</v>
      </c>
      <c r="X993" t="s">
        <v>17537</v>
      </c>
      <c r="Y993" t="s">
        <v>17538</v>
      </c>
      <c r="Z993" t="s">
        <v>17539</v>
      </c>
      <c r="AA993" t="s">
        <v>17540</v>
      </c>
      <c r="AB993" t="s">
        <v>17541</v>
      </c>
      <c r="AC993" t="s">
        <v>74</v>
      </c>
      <c r="AD993" t="s">
        <v>74</v>
      </c>
      <c r="AE993" t="s">
        <v>74</v>
      </c>
      <c r="AF993" t="s">
        <v>74</v>
      </c>
      <c r="AG993">
        <v>9</v>
      </c>
      <c r="AH993">
        <v>3</v>
      </c>
      <c r="AI993">
        <v>3</v>
      </c>
      <c r="AJ993">
        <v>0</v>
      </c>
      <c r="AK993">
        <v>1</v>
      </c>
      <c r="AL993" t="s">
        <v>305</v>
      </c>
      <c r="AM993" t="s">
        <v>281</v>
      </c>
      <c r="AN993" t="s">
        <v>306</v>
      </c>
      <c r="AO993" t="s">
        <v>17542</v>
      </c>
      <c r="AP993" t="s">
        <v>17543</v>
      </c>
      <c r="AQ993" t="s">
        <v>74</v>
      </c>
      <c r="AR993" t="s">
        <v>17544</v>
      </c>
      <c r="AS993" t="s">
        <v>17545</v>
      </c>
      <c r="AT993" t="s">
        <v>17546</v>
      </c>
      <c r="AU993">
        <v>2009</v>
      </c>
      <c r="AV993">
        <v>604</v>
      </c>
      <c r="AW993" t="s">
        <v>180</v>
      </c>
      <c r="AX993" t="s">
        <v>74</v>
      </c>
      <c r="AY993" t="s">
        <v>14586</v>
      </c>
      <c r="AZ993" t="s">
        <v>74</v>
      </c>
      <c r="BA993" t="s">
        <v>74</v>
      </c>
      <c r="BB993" t="s">
        <v>17547</v>
      </c>
      <c r="BC993" t="s">
        <v>17548</v>
      </c>
      <c r="BD993" t="s">
        <v>74</v>
      </c>
      <c r="BE993" t="s">
        <v>17549</v>
      </c>
      <c r="BF993" t="str">
        <f>HYPERLINK("http://dx.doi.org/10.1016/j.nima.2009.03.179","http://dx.doi.org/10.1016/j.nima.2009.03.179")</f>
        <v>http://dx.doi.org/10.1016/j.nima.2009.03.179</v>
      </c>
      <c r="BG993" t="s">
        <v>74</v>
      </c>
      <c r="BH993" t="s">
        <v>74</v>
      </c>
      <c r="BI993">
        <v>4</v>
      </c>
      <c r="BJ993" t="s">
        <v>17550</v>
      </c>
      <c r="BK993" t="s">
        <v>1986</v>
      </c>
      <c r="BL993" t="s">
        <v>17551</v>
      </c>
      <c r="BM993" t="s">
        <v>17552</v>
      </c>
      <c r="BN993" t="s">
        <v>74</v>
      </c>
      <c r="BO993" t="s">
        <v>1119</v>
      </c>
      <c r="BP993" t="s">
        <v>74</v>
      </c>
      <c r="BQ993" t="s">
        <v>74</v>
      </c>
      <c r="BR993" t="s">
        <v>101</v>
      </c>
      <c r="BS993" t="s">
        <v>17553</v>
      </c>
      <c r="BT993" t="str">
        <f>HYPERLINK("https%3A%2F%2Fwww.webofscience.com%2Fwos%2Fwoscc%2Ffull-record%2FWOS:000267922600013","View Full Record in Web of Science")</f>
        <v>View Full Record in Web of Science</v>
      </c>
    </row>
    <row r="994" spans="1:72" x14ac:dyDescent="0.15">
      <c r="A994" t="s">
        <v>72</v>
      </c>
      <c r="B994" t="s">
        <v>17554</v>
      </c>
      <c r="C994" t="s">
        <v>74</v>
      </c>
      <c r="D994" t="s">
        <v>74</v>
      </c>
      <c r="E994" t="s">
        <v>74</v>
      </c>
      <c r="F994" t="s">
        <v>17555</v>
      </c>
      <c r="G994" t="s">
        <v>74</v>
      </c>
      <c r="H994" t="s">
        <v>74</v>
      </c>
      <c r="I994" t="s">
        <v>17556</v>
      </c>
      <c r="J994" t="s">
        <v>17530</v>
      </c>
      <c r="K994" t="s">
        <v>74</v>
      </c>
      <c r="L994" t="s">
        <v>74</v>
      </c>
      <c r="M994" t="s">
        <v>78</v>
      </c>
      <c r="N994" t="s">
        <v>1965</v>
      </c>
      <c r="O994" t="s">
        <v>17531</v>
      </c>
      <c r="P994" t="s">
        <v>17532</v>
      </c>
      <c r="Q994" t="s">
        <v>17533</v>
      </c>
      <c r="R994" t="s">
        <v>74</v>
      </c>
      <c r="S994" t="s">
        <v>74</v>
      </c>
      <c r="T994" t="s">
        <v>17557</v>
      </c>
      <c r="U994" t="s">
        <v>17558</v>
      </c>
      <c r="V994" t="s">
        <v>17559</v>
      </c>
      <c r="W994" t="s">
        <v>17560</v>
      </c>
      <c r="X994" t="s">
        <v>17561</v>
      </c>
      <c r="Y994" t="s">
        <v>17562</v>
      </c>
      <c r="Z994" t="s">
        <v>17563</v>
      </c>
      <c r="AA994" t="s">
        <v>17564</v>
      </c>
      <c r="AB994" t="s">
        <v>74</v>
      </c>
      <c r="AC994" t="s">
        <v>74</v>
      </c>
      <c r="AD994" t="s">
        <v>74</v>
      </c>
      <c r="AE994" t="s">
        <v>74</v>
      </c>
      <c r="AF994" t="s">
        <v>74</v>
      </c>
      <c r="AG994">
        <v>11</v>
      </c>
      <c r="AH994">
        <v>2</v>
      </c>
      <c r="AI994">
        <v>3</v>
      </c>
      <c r="AJ994">
        <v>0</v>
      </c>
      <c r="AK994">
        <v>0</v>
      </c>
      <c r="AL994" t="s">
        <v>280</v>
      </c>
      <c r="AM994" t="s">
        <v>281</v>
      </c>
      <c r="AN994" t="s">
        <v>282</v>
      </c>
      <c r="AO994" t="s">
        <v>17542</v>
      </c>
      <c r="AP994" t="s">
        <v>17543</v>
      </c>
      <c r="AQ994" t="s">
        <v>74</v>
      </c>
      <c r="AR994" t="s">
        <v>17544</v>
      </c>
      <c r="AS994" t="s">
        <v>17545</v>
      </c>
      <c r="AT994" t="s">
        <v>17546</v>
      </c>
      <c r="AU994">
        <v>2009</v>
      </c>
      <c r="AV994">
        <v>604</v>
      </c>
      <c r="AW994" t="s">
        <v>180</v>
      </c>
      <c r="AX994" t="s">
        <v>74</v>
      </c>
      <c r="AY994" t="s">
        <v>14586</v>
      </c>
      <c r="AZ994" t="s">
        <v>74</v>
      </c>
      <c r="BA994" t="s">
        <v>74</v>
      </c>
      <c r="BB994" t="s">
        <v>17565</v>
      </c>
      <c r="BC994" t="s">
        <v>17566</v>
      </c>
      <c r="BD994" t="s">
        <v>74</v>
      </c>
      <c r="BE994" t="s">
        <v>17567</v>
      </c>
      <c r="BF994" t="str">
        <f>HYPERLINK("http://dx.doi.org/10.1016/j.nima.2009.03.193","http://dx.doi.org/10.1016/j.nima.2009.03.193")</f>
        <v>http://dx.doi.org/10.1016/j.nima.2009.03.193</v>
      </c>
      <c r="BG994" t="s">
        <v>74</v>
      </c>
      <c r="BH994" t="s">
        <v>74</v>
      </c>
      <c r="BI994">
        <v>4</v>
      </c>
      <c r="BJ994" t="s">
        <v>17550</v>
      </c>
      <c r="BK994" t="s">
        <v>1986</v>
      </c>
      <c r="BL994" t="s">
        <v>17551</v>
      </c>
      <c r="BM994" t="s">
        <v>17552</v>
      </c>
      <c r="BN994" t="s">
        <v>74</v>
      </c>
      <c r="BO994" t="s">
        <v>74</v>
      </c>
      <c r="BP994" t="s">
        <v>74</v>
      </c>
      <c r="BQ994" t="s">
        <v>74</v>
      </c>
      <c r="BR994" t="s">
        <v>101</v>
      </c>
      <c r="BS994" t="s">
        <v>17568</v>
      </c>
      <c r="BT994" t="str">
        <f>HYPERLINK("https%3A%2F%2Fwww.webofscience.com%2Fwos%2Fwoscc%2Ffull-record%2FWOS:000267922600022","View Full Record in Web of Science")</f>
        <v>View Full Record in Web of Science</v>
      </c>
    </row>
    <row r="995" spans="1:72" x14ac:dyDescent="0.15">
      <c r="A995" t="s">
        <v>72</v>
      </c>
      <c r="B995" t="s">
        <v>17569</v>
      </c>
      <c r="C995" t="s">
        <v>74</v>
      </c>
      <c r="D995" t="s">
        <v>74</v>
      </c>
      <c r="E995" t="s">
        <v>74</v>
      </c>
      <c r="F995" t="s">
        <v>17570</v>
      </c>
      <c r="G995" t="s">
        <v>74</v>
      </c>
      <c r="H995" t="s">
        <v>2921</v>
      </c>
      <c r="I995" t="s">
        <v>17571</v>
      </c>
      <c r="J995" t="s">
        <v>17530</v>
      </c>
      <c r="K995" t="s">
        <v>74</v>
      </c>
      <c r="L995" t="s">
        <v>74</v>
      </c>
      <c r="M995" t="s">
        <v>78</v>
      </c>
      <c r="N995" t="s">
        <v>1965</v>
      </c>
      <c r="O995" t="s">
        <v>17531</v>
      </c>
      <c r="P995" t="s">
        <v>17532</v>
      </c>
      <c r="Q995" t="s">
        <v>17533</v>
      </c>
      <c r="R995" t="s">
        <v>74</v>
      </c>
      <c r="S995" t="s">
        <v>74</v>
      </c>
      <c r="T995" t="s">
        <v>17572</v>
      </c>
      <c r="U995" t="s">
        <v>74</v>
      </c>
      <c r="V995" t="s">
        <v>17573</v>
      </c>
      <c r="W995" t="s">
        <v>17574</v>
      </c>
      <c r="X995" t="s">
        <v>17575</v>
      </c>
      <c r="Y995" t="s">
        <v>17576</v>
      </c>
      <c r="Z995" t="s">
        <v>17577</v>
      </c>
      <c r="AA995" t="s">
        <v>2932</v>
      </c>
      <c r="AB995" t="s">
        <v>74</v>
      </c>
      <c r="AC995" t="s">
        <v>74</v>
      </c>
      <c r="AD995" t="s">
        <v>74</v>
      </c>
      <c r="AE995" t="s">
        <v>74</v>
      </c>
      <c r="AF995" t="s">
        <v>74</v>
      </c>
      <c r="AG995">
        <v>9</v>
      </c>
      <c r="AH995">
        <v>8</v>
      </c>
      <c r="AI995">
        <v>8</v>
      </c>
      <c r="AJ995">
        <v>3</v>
      </c>
      <c r="AK995">
        <v>6</v>
      </c>
      <c r="AL995" t="s">
        <v>305</v>
      </c>
      <c r="AM995" t="s">
        <v>281</v>
      </c>
      <c r="AN995" t="s">
        <v>306</v>
      </c>
      <c r="AO995" t="s">
        <v>17542</v>
      </c>
      <c r="AP995" t="s">
        <v>17543</v>
      </c>
      <c r="AQ995" t="s">
        <v>74</v>
      </c>
      <c r="AR995" t="s">
        <v>17544</v>
      </c>
      <c r="AS995" t="s">
        <v>17545</v>
      </c>
      <c r="AT995" t="s">
        <v>17546</v>
      </c>
      <c r="AU995">
        <v>2009</v>
      </c>
      <c r="AV995">
        <v>604</v>
      </c>
      <c r="AW995" t="s">
        <v>180</v>
      </c>
      <c r="AX995" t="s">
        <v>74</v>
      </c>
      <c r="AY995" t="s">
        <v>14586</v>
      </c>
      <c r="AZ995" t="s">
        <v>74</v>
      </c>
      <c r="BA995" t="s">
        <v>74</v>
      </c>
      <c r="BB995" t="s">
        <v>17578</v>
      </c>
      <c r="BC995" t="s">
        <v>17579</v>
      </c>
      <c r="BD995" t="s">
        <v>74</v>
      </c>
      <c r="BE995" t="s">
        <v>17580</v>
      </c>
      <c r="BF995" t="str">
        <f>HYPERLINK("http://dx.doi.org/10.1016/j.nima.2009.03.062","http://dx.doi.org/10.1016/j.nima.2009.03.062")</f>
        <v>http://dx.doi.org/10.1016/j.nima.2009.03.062</v>
      </c>
      <c r="BG995" t="s">
        <v>74</v>
      </c>
      <c r="BH995" t="s">
        <v>74</v>
      </c>
      <c r="BI995">
        <v>4</v>
      </c>
      <c r="BJ995" t="s">
        <v>17550</v>
      </c>
      <c r="BK995" t="s">
        <v>1986</v>
      </c>
      <c r="BL995" t="s">
        <v>17551</v>
      </c>
      <c r="BM995" t="s">
        <v>17552</v>
      </c>
      <c r="BN995" t="s">
        <v>74</v>
      </c>
      <c r="BO995" t="s">
        <v>853</v>
      </c>
      <c r="BP995" t="s">
        <v>74</v>
      </c>
      <c r="BQ995" t="s">
        <v>74</v>
      </c>
      <c r="BR995" t="s">
        <v>101</v>
      </c>
      <c r="BS995" t="s">
        <v>17581</v>
      </c>
      <c r="BT995" t="str">
        <f>HYPERLINK("https%3A%2F%2Fwww.webofscience.com%2Fwos%2Fwoscc%2Ffull-record%2FWOS:000267922600038","View Full Record in Web of Science")</f>
        <v>View Full Record in Web of Science</v>
      </c>
    </row>
    <row r="996" spans="1:72" x14ac:dyDescent="0.15">
      <c r="A996" t="s">
        <v>72</v>
      </c>
      <c r="B996" t="s">
        <v>17582</v>
      </c>
      <c r="C996" t="s">
        <v>74</v>
      </c>
      <c r="D996" t="s">
        <v>74</v>
      </c>
      <c r="E996" t="s">
        <v>74</v>
      </c>
      <c r="F996" t="s">
        <v>17583</v>
      </c>
      <c r="G996" t="s">
        <v>74</v>
      </c>
      <c r="H996" t="s">
        <v>2921</v>
      </c>
      <c r="I996" t="s">
        <v>17584</v>
      </c>
      <c r="J996" t="s">
        <v>17530</v>
      </c>
      <c r="K996" t="s">
        <v>74</v>
      </c>
      <c r="L996" t="s">
        <v>74</v>
      </c>
      <c r="M996" t="s">
        <v>78</v>
      </c>
      <c r="N996" t="s">
        <v>1965</v>
      </c>
      <c r="O996" t="s">
        <v>17531</v>
      </c>
      <c r="P996" t="s">
        <v>17532</v>
      </c>
      <c r="Q996" t="s">
        <v>17533</v>
      </c>
      <c r="R996" t="s">
        <v>74</v>
      </c>
      <c r="S996" t="s">
        <v>74</v>
      </c>
      <c r="T996" t="s">
        <v>17585</v>
      </c>
      <c r="U996" t="s">
        <v>17586</v>
      </c>
      <c r="V996" t="s">
        <v>17587</v>
      </c>
      <c r="W996" t="s">
        <v>17588</v>
      </c>
      <c r="X996" t="s">
        <v>17589</v>
      </c>
      <c r="Y996" t="s">
        <v>17590</v>
      </c>
      <c r="Z996" t="s">
        <v>17591</v>
      </c>
      <c r="AA996" t="s">
        <v>2932</v>
      </c>
      <c r="AB996" t="s">
        <v>17592</v>
      </c>
      <c r="AC996" t="s">
        <v>74</v>
      </c>
      <c r="AD996" t="s">
        <v>74</v>
      </c>
      <c r="AE996" t="s">
        <v>74</v>
      </c>
      <c r="AF996" t="s">
        <v>74</v>
      </c>
      <c r="AG996">
        <v>12</v>
      </c>
      <c r="AH996">
        <v>6</v>
      </c>
      <c r="AI996">
        <v>6</v>
      </c>
      <c r="AJ996">
        <v>1</v>
      </c>
      <c r="AK996">
        <v>3</v>
      </c>
      <c r="AL996" t="s">
        <v>280</v>
      </c>
      <c r="AM996" t="s">
        <v>281</v>
      </c>
      <c r="AN996" t="s">
        <v>282</v>
      </c>
      <c r="AO996" t="s">
        <v>17542</v>
      </c>
      <c r="AP996" t="s">
        <v>74</v>
      </c>
      <c r="AQ996" t="s">
        <v>74</v>
      </c>
      <c r="AR996" t="s">
        <v>17544</v>
      </c>
      <c r="AS996" t="s">
        <v>17545</v>
      </c>
      <c r="AT996" t="s">
        <v>17546</v>
      </c>
      <c r="AU996">
        <v>2009</v>
      </c>
      <c r="AV996">
        <v>604</v>
      </c>
      <c r="AW996" t="s">
        <v>180</v>
      </c>
      <c r="AX996" t="s">
        <v>74</v>
      </c>
      <c r="AY996" t="s">
        <v>74</v>
      </c>
      <c r="AZ996" t="s">
        <v>74</v>
      </c>
      <c r="BA996" t="s">
        <v>74</v>
      </c>
      <c r="BB996" t="s">
        <v>17593</v>
      </c>
      <c r="BC996" t="s">
        <v>17594</v>
      </c>
      <c r="BD996" t="s">
        <v>74</v>
      </c>
      <c r="BE996" t="s">
        <v>17595</v>
      </c>
      <c r="BF996" t="str">
        <f>HYPERLINK("http://dx.doi.org/10.1016/j.nima.2009.03.063","http://dx.doi.org/10.1016/j.nima.2009.03.063")</f>
        <v>http://dx.doi.org/10.1016/j.nima.2009.03.063</v>
      </c>
      <c r="BG996" t="s">
        <v>74</v>
      </c>
      <c r="BH996" t="s">
        <v>74</v>
      </c>
      <c r="BI996">
        <v>4</v>
      </c>
      <c r="BJ996" t="s">
        <v>17550</v>
      </c>
      <c r="BK996" t="s">
        <v>1986</v>
      </c>
      <c r="BL996" t="s">
        <v>17551</v>
      </c>
      <c r="BM996" t="s">
        <v>17552</v>
      </c>
      <c r="BN996" t="s">
        <v>74</v>
      </c>
      <c r="BO996" t="s">
        <v>17596</v>
      </c>
      <c r="BP996" t="s">
        <v>74</v>
      </c>
      <c r="BQ996" t="s">
        <v>74</v>
      </c>
      <c r="BR996" t="s">
        <v>101</v>
      </c>
      <c r="BS996" t="s">
        <v>17597</v>
      </c>
      <c r="BT996" t="str">
        <f>HYPERLINK("https%3A%2F%2Fwww.webofscience.com%2Fwos%2Fwoscc%2Ffull-record%2FWOS:000267922600037","View Full Record in Web of Science")</f>
        <v>View Full Record in Web of Science</v>
      </c>
    </row>
    <row r="997" spans="1:72" x14ac:dyDescent="0.15">
      <c r="A997" t="s">
        <v>72</v>
      </c>
      <c r="B997" t="s">
        <v>17598</v>
      </c>
      <c r="C997" t="s">
        <v>74</v>
      </c>
      <c r="D997" t="s">
        <v>74</v>
      </c>
      <c r="E997" t="s">
        <v>74</v>
      </c>
      <c r="F997" t="s">
        <v>17599</v>
      </c>
      <c r="G997" t="s">
        <v>74</v>
      </c>
      <c r="H997" t="s">
        <v>74</v>
      </c>
      <c r="I997" t="s">
        <v>17600</v>
      </c>
      <c r="J997" t="s">
        <v>17530</v>
      </c>
      <c r="K997" t="s">
        <v>74</v>
      </c>
      <c r="L997" t="s">
        <v>74</v>
      </c>
      <c r="M997" t="s">
        <v>78</v>
      </c>
      <c r="N997" t="s">
        <v>1965</v>
      </c>
      <c r="O997" t="s">
        <v>17531</v>
      </c>
      <c r="P997" t="s">
        <v>17532</v>
      </c>
      <c r="Q997" t="s">
        <v>17533</v>
      </c>
      <c r="R997" t="s">
        <v>74</v>
      </c>
      <c r="S997" t="s">
        <v>74</v>
      </c>
      <c r="T997" t="s">
        <v>74</v>
      </c>
      <c r="U997" t="s">
        <v>74</v>
      </c>
      <c r="V997" t="s">
        <v>17601</v>
      </c>
      <c r="W997" t="s">
        <v>17602</v>
      </c>
      <c r="X997" t="s">
        <v>12935</v>
      </c>
      <c r="Y997" t="s">
        <v>17603</v>
      </c>
      <c r="Z997" t="s">
        <v>17604</v>
      </c>
      <c r="AA997" t="s">
        <v>2932</v>
      </c>
      <c r="AB997" t="s">
        <v>74</v>
      </c>
      <c r="AC997" t="s">
        <v>74</v>
      </c>
      <c r="AD997" t="s">
        <v>74</v>
      </c>
      <c r="AE997" t="s">
        <v>74</v>
      </c>
      <c r="AF997" t="s">
        <v>74</v>
      </c>
      <c r="AG997">
        <v>14</v>
      </c>
      <c r="AH997">
        <v>2</v>
      </c>
      <c r="AI997">
        <v>2</v>
      </c>
      <c r="AJ997">
        <v>0</v>
      </c>
      <c r="AK997">
        <v>1</v>
      </c>
      <c r="AL997" t="s">
        <v>305</v>
      </c>
      <c r="AM997" t="s">
        <v>281</v>
      </c>
      <c r="AN997" t="s">
        <v>306</v>
      </c>
      <c r="AO997" t="s">
        <v>17542</v>
      </c>
      <c r="AP997" t="s">
        <v>17543</v>
      </c>
      <c r="AQ997" t="s">
        <v>74</v>
      </c>
      <c r="AR997" t="s">
        <v>17544</v>
      </c>
      <c r="AS997" t="s">
        <v>17545</v>
      </c>
      <c r="AT997" t="s">
        <v>17546</v>
      </c>
      <c r="AU997">
        <v>2009</v>
      </c>
      <c r="AV997">
        <v>604</v>
      </c>
      <c r="AW997" t="s">
        <v>180</v>
      </c>
      <c r="AX997" t="s">
        <v>74</v>
      </c>
      <c r="AY997" t="s">
        <v>14586</v>
      </c>
      <c r="AZ997" t="s">
        <v>74</v>
      </c>
      <c r="BA997" t="s">
        <v>74</v>
      </c>
      <c r="BB997" t="s">
        <v>17605</v>
      </c>
      <c r="BC997" t="s">
        <v>17606</v>
      </c>
      <c r="BD997" t="s">
        <v>74</v>
      </c>
      <c r="BE997" t="s">
        <v>17607</v>
      </c>
      <c r="BF997" t="str">
        <f>HYPERLINK("http://dx.doi.org/10.1016/j.nima.2009.03.180","http://dx.doi.org/10.1016/j.nima.2009.03.180")</f>
        <v>http://dx.doi.org/10.1016/j.nima.2009.03.180</v>
      </c>
      <c r="BG997" t="s">
        <v>74</v>
      </c>
      <c r="BH997" t="s">
        <v>74</v>
      </c>
      <c r="BI997">
        <v>7</v>
      </c>
      <c r="BJ997" t="s">
        <v>17550</v>
      </c>
      <c r="BK997" t="s">
        <v>1986</v>
      </c>
      <c r="BL997" t="s">
        <v>17551</v>
      </c>
      <c r="BM997" t="s">
        <v>17552</v>
      </c>
      <c r="BN997" t="s">
        <v>74</v>
      </c>
      <c r="BO997" t="s">
        <v>1119</v>
      </c>
      <c r="BP997" t="s">
        <v>74</v>
      </c>
      <c r="BQ997" t="s">
        <v>74</v>
      </c>
      <c r="BR997" t="s">
        <v>101</v>
      </c>
      <c r="BS997" t="s">
        <v>17608</v>
      </c>
      <c r="BT997" t="str">
        <f>HYPERLINK("https%3A%2F%2Fwww.webofscience.com%2Fwos%2Fwoscc%2Ffull-record%2FWOS:000267922600012","View Full Record in Web of Science")</f>
        <v>View Full Record in Web of Science</v>
      </c>
    </row>
    <row r="998" spans="1:72" x14ac:dyDescent="0.15">
      <c r="A998" t="s">
        <v>72</v>
      </c>
      <c r="B998" t="s">
        <v>17609</v>
      </c>
      <c r="C998" t="s">
        <v>74</v>
      </c>
      <c r="D998" t="s">
        <v>74</v>
      </c>
      <c r="E998" t="s">
        <v>74</v>
      </c>
      <c r="F998" t="s">
        <v>17610</v>
      </c>
      <c r="G998" t="s">
        <v>74</v>
      </c>
      <c r="H998" t="s">
        <v>74</v>
      </c>
      <c r="I998" t="s">
        <v>17611</v>
      </c>
      <c r="J998" t="s">
        <v>17612</v>
      </c>
      <c r="K998" t="s">
        <v>74</v>
      </c>
      <c r="L998" t="s">
        <v>74</v>
      </c>
      <c r="M998" t="s">
        <v>78</v>
      </c>
      <c r="N998" t="s">
        <v>297</v>
      </c>
      <c r="O998" t="s">
        <v>74</v>
      </c>
      <c r="P998" t="s">
        <v>74</v>
      </c>
      <c r="Q998" t="s">
        <v>74</v>
      </c>
      <c r="R998" t="s">
        <v>74</v>
      </c>
      <c r="S998" t="s">
        <v>74</v>
      </c>
      <c r="T998" t="s">
        <v>17613</v>
      </c>
      <c r="U998" t="s">
        <v>17614</v>
      </c>
      <c r="V998" t="s">
        <v>17615</v>
      </c>
      <c r="W998" t="s">
        <v>17616</v>
      </c>
      <c r="X998" t="s">
        <v>17617</v>
      </c>
      <c r="Y998" t="s">
        <v>17618</v>
      </c>
      <c r="Z998" t="s">
        <v>17619</v>
      </c>
      <c r="AA998" t="s">
        <v>74</v>
      </c>
      <c r="AB998" t="s">
        <v>74</v>
      </c>
      <c r="AC998" t="s">
        <v>74</v>
      </c>
      <c r="AD998" t="s">
        <v>74</v>
      </c>
      <c r="AE998" t="s">
        <v>74</v>
      </c>
      <c r="AF998" t="s">
        <v>74</v>
      </c>
      <c r="AG998">
        <v>192</v>
      </c>
      <c r="AH998">
        <v>68</v>
      </c>
      <c r="AI998">
        <v>78</v>
      </c>
      <c r="AJ998">
        <v>4</v>
      </c>
      <c r="AK998">
        <v>39</v>
      </c>
      <c r="AL998" t="s">
        <v>12107</v>
      </c>
      <c r="AM998" t="s">
        <v>12108</v>
      </c>
      <c r="AN998" t="s">
        <v>12109</v>
      </c>
      <c r="AO998" t="s">
        <v>17620</v>
      </c>
      <c r="AP998" t="s">
        <v>17621</v>
      </c>
      <c r="AQ998" t="s">
        <v>74</v>
      </c>
      <c r="AR998" t="s">
        <v>17622</v>
      </c>
      <c r="AS998" t="s">
        <v>17623</v>
      </c>
      <c r="AT998" t="s">
        <v>15810</v>
      </c>
      <c r="AU998">
        <v>2009</v>
      </c>
      <c r="AV998">
        <v>67</v>
      </c>
      <c r="AW998">
        <v>6</v>
      </c>
      <c r="AX998" t="s">
        <v>74</v>
      </c>
      <c r="AY998" t="s">
        <v>74</v>
      </c>
      <c r="AZ998" t="s">
        <v>74</v>
      </c>
      <c r="BA998" t="s">
        <v>74</v>
      </c>
      <c r="BB998">
        <v>315</v>
      </c>
      <c r="BC998">
        <v>332</v>
      </c>
      <c r="BD998" t="s">
        <v>74</v>
      </c>
      <c r="BE998" t="s">
        <v>17624</v>
      </c>
      <c r="BF998" t="str">
        <f>HYPERLINK("http://dx.doi.org/10.1111/j.1753-4887.2009.00205.x","http://dx.doi.org/10.1111/j.1753-4887.2009.00205.x")</f>
        <v>http://dx.doi.org/10.1111/j.1753-4887.2009.00205.x</v>
      </c>
      <c r="BG998" t="s">
        <v>74</v>
      </c>
      <c r="BH998" t="s">
        <v>74</v>
      </c>
      <c r="BI998">
        <v>18</v>
      </c>
      <c r="BJ998" t="s">
        <v>10512</v>
      </c>
      <c r="BK998" t="s">
        <v>98</v>
      </c>
      <c r="BL998" t="s">
        <v>10512</v>
      </c>
      <c r="BM998" t="s">
        <v>17625</v>
      </c>
      <c r="BN998">
        <v>19519673</v>
      </c>
      <c r="BO998" t="s">
        <v>263</v>
      </c>
      <c r="BP998" t="s">
        <v>74</v>
      </c>
      <c r="BQ998" t="s">
        <v>74</v>
      </c>
      <c r="BR998" t="s">
        <v>101</v>
      </c>
      <c r="BS998" t="s">
        <v>17626</v>
      </c>
      <c r="BT998" t="str">
        <f>HYPERLINK("https%3A%2F%2Fwww.webofscience.com%2Fwos%2Fwoscc%2Ffull-record%2FWOS:000266678900002","View Full Record in Web of Science")</f>
        <v>View Full Record in Web of Science</v>
      </c>
    </row>
    <row r="999" spans="1:72" x14ac:dyDescent="0.15">
      <c r="A999" t="s">
        <v>72</v>
      </c>
      <c r="B999" t="s">
        <v>17627</v>
      </c>
      <c r="C999" t="s">
        <v>74</v>
      </c>
      <c r="D999" t="s">
        <v>74</v>
      </c>
      <c r="E999" t="s">
        <v>74</v>
      </c>
      <c r="F999" t="s">
        <v>17628</v>
      </c>
      <c r="G999" t="s">
        <v>74</v>
      </c>
      <c r="H999" t="s">
        <v>74</v>
      </c>
      <c r="I999" t="s">
        <v>17629</v>
      </c>
      <c r="J999" t="s">
        <v>8287</v>
      </c>
      <c r="K999" t="s">
        <v>74</v>
      </c>
      <c r="L999" t="s">
        <v>74</v>
      </c>
      <c r="M999" t="s">
        <v>78</v>
      </c>
      <c r="N999" t="s">
        <v>79</v>
      </c>
      <c r="O999" t="s">
        <v>74</v>
      </c>
      <c r="P999" t="s">
        <v>74</v>
      </c>
      <c r="Q999" t="s">
        <v>74</v>
      </c>
      <c r="R999" t="s">
        <v>74</v>
      </c>
      <c r="S999" t="s">
        <v>74</v>
      </c>
      <c r="T999" t="s">
        <v>74</v>
      </c>
      <c r="U999" t="s">
        <v>17630</v>
      </c>
      <c r="V999" t="s">
        <v>17631</v>
      </c>
      <c r="W999" t="s">
        <v>17632</v>
      </c>
      <c r="X999" t="s">
        <v>17633</v>
      </c>
      <c r="Y999" t="s">
        <v>17634</v>
      </c>
      <c r="Z999" t="s">
        <v>17635</v>
      </c>
      <c r="AA999" t="s">
        <v>17636</v>
      </c>
      <c r="AB999" t="s">
        <v>17637</v>
      </c>
      <c r="AC999" t="s">
        <v>17638</v>
      </c>
      <c r="AD999" t="s">
        <v>17639</v>
      </c>
      <c r="AE999" t="s">
        <v>17640</v>
      </c>
      <c r="AF999" t="s">
        <v>74</v>
      </c>
      <c r="AG999">
        <v>15</v>
      </c>
      <c r="AH999">
        <v>3</v>
      </c>
      <c r="AI999">
        <v>3</v>
      </c>
      <c r="AJ999">
        <v>0</v>
      </c>
      <c r="AK999">
        <v>1</v>
      </c>
      <c r="AL999" t="s">
        <v>1931</v>
      </c>
      <c r="AM999" t="s">
        <v>684</v>
      </c>
      <c r="AN999" t="s">
        <v>1932</v>
      </c>
      <c r="AO999" t="s">
        <v>8299</v>
      </c>
      <c r="AP999" t="s">
        <v>8300</v>
      </c>
      <c r="AQ999" t="s">
        <v>74</v>
      </c>
      <c r="AR999" t="s">
        <v>8301</v>
      </c>
      <c r="AS999" t="s">
        <v>8302</v>
      </c>
      <c r="AT999" t="s">
        <v>15810</v>
      </c>
      <c r="AU999">
        <v>2009</v>
      </c>
      <c r="AV999">
        <v>49</v>
      </c>
      <c r="AW999">
        <v>3</v>
      </c>
      <c r="AX999" t="s">
        <v>74</v>
      </c>
      <c r="AY999" t="s">
        <v>74</v>
      </c>
      <c r="AZ999" t="s">
        <v>74</v>
      </c>
      <c r="BA999" t="s">
        <v>74</v>
      </c>
      <c r="BB999">
        <v>310</v>
      </c>
      <c r="BC999">
        <v>319</v>
      </c>
      <c r="BD999" t="s">
        <v>74</v>
      </c>
      <c r="BE999" t="s">
        <v>17641</v>
      </c>
      <c r="BF999" t="str">
        <f>HYPERLINK("http://dx.doi.org/10.1134/S0001437009030023","http://dx.doi.org/10.1134/S0001437009030023")</f>
        <v>http://dx.doi.org/10.1134/S0001437009030023</v>
      </c>
      <c r="BG999" t="s">
        <v>74</v>
      </c>
      <c r="BH999" t="s">
        <v>74</v>
      </c>
      <c r="BI999">
        <v>10</v>
      </c>
      <c r="BJ999" t="s">
        <v>806</v>
      </c>
      <c r="BK999" t="s">
        <v>98</v>
      </c>
      <c r="BL999" t="s">
        <v>806</v>
      </c>
      <c r="BM999" t="s">
        <v>17642</v>
      </c>
      <c r="BN999" t="s">
        <v>74</v>
      </c>
      <c r="BO999" t="s">
        <v>74</v>
      </c>
      <c r="BP999" t="s">
        <v>74</v>
      </c>
      <c r="BQ999" t="s">
        <v>74</v>
      </c>
      <c r="BR999" t="s">
        <v>101</v>
      </c>
      <c r="BS999" t="s">
        <v>17643</v>
      </c>
      <c r="BT999" t="str">
        <f>HYPERLINK("https%3A%2F%2Fwww.webofscience.com%2Fwos%2Fwoscc%2Ffull-record%2FWOS:000267592700002","View Full Record in Web of Science")</f>
        <v>View Full Record in Web of Science</v>
      </c>
    </row>
    <row r="1000" spans="1:72" x14ac:dyDescent="0.15">
      <c r="A1000" t="s">
        <v>72</v>
      </c>
      <c r="B1000" t="s">
        <v>17644</v>
      </c>
      <c r="C1000" t="s">
        <v>74</v>
      </c>
      <c r="D1000" t="s">
        <v>74</v>
      </c>
      <c r="E1000" t="s">
        <v>74</v>
      </c>
      <c r="F1000" t="s">
        <v>17645</v>
      </c>
      <c r="G1000" t="s">
        <v>74</v>
      </c>
      <c r="H1000" t="s">
        <v>74</v>
      </c>
      <c r="I1000" t="s">
        <v>17646</v>
      </c>
      <c r="J1000" t="s">
        <v>8287</v>
      </c>
      <c r="K1000" t="s">
        <v>74</v>
      </c>
      <c r="L1000" t="s">
        <v>74</v>
      </c>
      <c r="M1000" t="s">
        <v>78</v>
      </c>
      <c r="N1000" t="s">
        <v>79</v>
      </c>
      <c r="O1000" t="s">
        <v>74</v>
      </c>
      <c r="P1000" t="s">
        <v>74</v>
      </c>
      <c r="Q1000" t="s">
        <v>74</v>
      </c>
      <c r="R1000" t="s">
        <v>74</v>
      </c>
      <c r="S1000" t="s">
        <v>74</v>
      </c>
      <c r="T1000" t="s">
        <v>74</v>
      </c>
      <c r="U1000" t="s">
        <v>74</v>
      </c>
      <c r="V1000" t="s">
        <v>17647</v>
      </c>
      <c r="W1000" t="s">
        <v>17648</v>
      </c>
      <c r="X1000" t="s">
        <v>10898</v>
      </c>
      <c r="Y1000" t="s">
        <v>17649</v>
      </c>
      <c r="Z1000" t="s">
        <v>17650</v>
      </c>
      <c r="AA1000" t="s">
        <v>17651</v>
      </c>
      <c r="AB1000" t="s">
        <v>17652</v>
      </c>
      <c r="AC1000" t="s">
        <v>17653</v>
      </c>
      <c r="AD1000" t="s">
        <v>2800</v>
      </c>
      <c r="AE1000" t="s">
        <v>17654</v>
      </c>
      <c r="AF1000" t="s">
        <v>74</v>
      </c>
      <c r="AG1000">
        <v>13</v>
      </c>
      <c r="AH1000">
        <v>1</v>
      </c>
      <c r="AI1000">
        <v>1</v>
      </c>
      <c r="AJ1000">
        <v>0</v>
      </c>
      <c r="AK1000">
        <v>0</v>
      </c>
      <c r="AL1000" t="s">
        <v>1931</v>
      </c>
      <c r="AM1000" t="s">
        <v>684</v>
      </c>
      <c r="AN1000" t="s">
        <v>1932</v>
      </c>
      <c r="AO1000" t="s">
        <v>8299</v>
      </c>
      <c r="AP1000" t="s">
        <v>8300</v>
      </c>
      <c r="AQ1000" t="s">
        <v>74</v>
      </c>
      <c r="AR1000" t="s">
        <v>8301</v>
      </c>
      <c r="AS1000" t="s">
        <v>8302</v>
      </c>
      <c r="AT1000" t="s">
        <v>15810</v>
      </c>
      <c r="AU1000">
        <v>2009</v>
      </c>
      <c r="AV1000">
        <v>49</v>
      </c>
      <c r="AW1000">
        <v>3</v>
      </c>
      <c r="AX1000" t="s">
        <v>74</v>
      </c>
      <c r="AY1000" t="s">
        <v>74</v>
      </c>
      <c r="AZ1000" t="s">
        <v>74</v>
      </c>
      <c r="BA1000" t="s">
        <v>74</v>
      </c>
      <c r="BB1000">
        <v>330</v>
      </c>
      <c r="BC1000">
        <v>337</v>
      </c>
      <c r="BD1000" t="s">
        <v>74</v>
      </c>
      <c r="BE1000" t="s">
        <v>17655</v>
      </c>
      <c r="BF1000" t="str">
        <f>HYPERLINK("http://dx.doi.org/10.1134/S0001437009030059","http://dx.doi.org/10.1134/S0001437009030059")</f>
        <v>http://dx.doi.org/10.1134/S0001437009030059</v>
      </c>
      <c r="BG1000" t="s">
        <v>74</v>
      </c>
      <c r="BH1000" t="s">
        <v>74</v>
      </c>
      <c r="BI1000">
        <v>8</v>
      </c>
      <c r="BJ1000" t="s">
        <v>806</v>
      </c>
      <c r="BK1000" t="s">
        <v>98</v>
      </c>
      <c r="BL1000" t="s">
        <v>806</v>
      </c>
      <c r="BM1000" t="s">
        <v>17642</v>
      </c>
      <c r="BN1000" t="s">
        <v>74</v>
      </c>
      <c r="BO1000" t="s">
        <v>74</v>
      </c>
      <c r="BP1000" t="s">
        <v>74</v>
      </c>
      <c r="BQ1000" t="s">
        <v>74</v>
      </c>
      <c r="BR1000" t="s">
        <v>101</v>
      </c>
      <c r="BS1000" t="s">
        <v>17656</v>
      </c>
      <c r="BT1000" t="str">
        <f>HYPERLINK("https%3A%2F%2Fwww.webofscience.com%2Fwos%2Fwoscc%2Ffull-record%2FWOS:000267592700005","View Full Record in Web of Science")</f>
        <v>View Full Record in Web of Science</v>
      </c>
    </row>
    <row r="1001" spans="1:72" x14ac:dyDescent="0.15">
      <c r="A1001" t="s">
        <v>72</v>
      </c>
      <c r="B1001" t="s">
        <v>17657</v>
      </c>
      <c r="C1001" t="s">
        <v>74</v>
      </c>
      <c r="D1001" t="s">
        <v>74</v>
      </c>
      <c r="E1001" t="s">
        <v>74</v>
      </c>
      <c r="F1001" t="s">
        <v>17658</v>
      </c>
      <c r="G1001" t="s">
        <v>74</v>
      </c>
      <c r="H1001" t="s">
        <v>74</v>
      </c>
      <c r="I1001" t="s">
        <v>17659</v>
      </c>
      <c r="J1001" t="s">
        <v>8287</v>
      </c>
      <c r="K1001" t="s">
        <v>74</v>
      </c>
      <c r="L1001" t="s">
        <v>74</v>
      </c>
      <c r="M1001" t="s">
        <v>78</v>
      </c>
      <c r="N1001" t="s">
        <v>79</v>
      </c>
      <c r="O1001" t="s">
        <v>74</v>
      </c>
      <c r="P1001" t="s">
        <v>74</v>
      </c>
      <c r="Q1001" t="s">
        <v>74</v>
      </c>
      <c r="R1001" t="s">
        <v>74</v>
      </c>
      <c r="S1001" t="s">
        <v>74</v>
      </c>
      <c r="T1001" t="s">
        <v>74</v>
      </c>
      <c r="U1001" t="s">
        <v>17660</v>
      </c>
      <c r="V1001" t="s">
        <v>17661</v>
      </c>
      <c r="W1001" t="s">
        <v>17662</v>
      </c>
      <c r="X1001" t="s">
        <v>17663</v>
      </c>
      <c r="Y1001" t="s">
        <v>17664</v>
      </c>
      <c r="Z1001" t="s">
        <v>17665</v>
      </c>
      <c r="AA1001" t="s">
        <v>17666</v>
      </c>
      <c r="AB1001" t="s">
        <v>17667</v>
      </c>
      <c r="AC1001" t="s">
        <v>17668</v>
      </c>
      <c r="AD1001" t="s">
        <v>17669</v>
      </c>
      <c r="AE1001" t="s">
        <v>17670</v>
      </c>
      <c r="AF1001" t="s">
        <v>74</v>
      </c>
      <c r="AG1001">
        <v>35</v>
      </c>
      <c r="AH1001">
        <v>4</v>
      </c>
      <c r="AI1001">
        <v>4</v>
      </c>
      <c r="AJ1001">
        <v>0</v>
      </c>
      <c r="AK1001">
        <v>21</v>
      </c>
      <c r="AL1001" t="s">
        <v>1931</v>
      </c>
      <c r="AM1001" t="s">
        <v>684</v>
      </c>
      <c r="AN1001" t="s">
        <v>1932</v>
      </c>
      <c r="AO1001" t="s">
        <v>8299</v>
      </c>
      <c r="AP1001" t="s">
        <v>74</v>
      </c>
      <c r="AQ1001" t="s">
        <v>74</v>
      </c>
      <c r="AR1001" t="s">
        <v>8301</v>
      </c>
      <c r="AS1001" t="s">
        <v>8302</v>
      </c>
      <c r="AT1001" t="s">
        <v>15810</v>
      </c>
      <c r="AU1001">
        <v>2009</v>
      </c>
      <c r="AV1001">
        <v>49</v>
      </c>
      <c r="AW1001">
        <v>3</v>
      </c>
      <c r="AX1001" t="s">
        <v>74</v>
      </c>
      <c r="AY1001" t="s">
        <v>74</v>
      </c>
      <c r="AZ1001" t="s">
        <v>74</v>
      </c>
      <c r="BA1001" t="s">
        <v>74</v>
      </c>
      <c r="BB1001">
        <v>368</v>
      </c>
      <c r="BC1001">
        <v>376</v>
      </c>
      <c r="BD1001" t="s">
        <v>74</v>
      </c>
      <c r="BE1001" t="s">
        <v>17671</v>
      </c>
      <c r="BF1001" t="str">
        <f>HYPERLINK("http://dx.doi.org/10.1134/S0001437009030096","http://dx.doi.org/10.1134/S0001437009030096")</f>
        <v>http://dx.doi.org/10.1134/S0001437009030096</v>
      </c>
      <c r="BG1001" t="s">
        <v>74</v>
      </c>
      <c r="BH1001" t="s">
        <v>74</v>
      </c>
      <c r="BI1001">
        <v>9</v>
      </c>
      <c r="BJ1001" t="s">
        <v>806</v>
      </c>
      <c r="BK1001" t="s">
        <v>98</v>
      </c>
      <c r="BL1001" t="s">
        <v>806</v>
      </c>
      <c r="BM1001" t="s">
        <v>17642</v>
      </c>
      <c r="BN1001" t="s">
        <v>74</v>
      </c>
      <c r="BO1001" t="s">
        <v>74</v>
      </c>
      <c r="BP1001" t="s">
        <v>74</v>
      </c>
      <c r="BQ1001" t="s">
        <v>74</v>
      </c>
      <c r="BR1001" t="s">
        <v>101</v>
      </c>
      <c r="BS1001" t="s">
        <v>17672</v>
      </c>
      <c r="BT1001" t="str">
        <f>HYPERLINK("https%3A%2F%2Fwww.webofscience.com%2Fwos%2Fwoscc%2Ffull-record%2FWOS:000267592700009","View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2024-07-28T15:24:35Z</dcterms:created>
  <dcterms:modified xsi:type="dcterms:W3CDTF">2024-07-28T15:24:35Z</dcterms:modified>
</cp:coreProperties>
</file>